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3118576\Work Folders\Tiedostot Johannes\Simulointimalli varmuuskopiot\"/>
    </mc:Choice>
  </mc:AlternateContent>
  <bookViews>
    <workbookView xWindow="0" yWindow="0" windowWidth="20490" windowHeight="6420" tabRatio="652"/>
  </bookViews>
  <sheets>
    <sheet name="OHJEET" sheetId="41" r:id="rId1"/>
    <sheet name="0 Järjestäjätiedot" sheetId="20" state="hidden" r:id="rId2"/>
    <sheet name="1.1 Jakotaulu" sheetId="18" r:id="rId3"/>
    <sheet name="1.2 Ohjaus-laskentataulu" sheetId="17" r:id="rId4"/>
    <sheet name="1.3 Vertailulukuja" sheetId="24" r:id="rId5"/>
    <sheet name="2.1 Toteut. op.vuodet" sheetId="5" r:id="rId6"/>
    <sheet name="2.2 Tutk. ja osien pain. pist." sheetId="27" r:id="rId7"/>
    <sheet name="2.3 Työll. ja jatko-opisk." sheetId="3" r:id="rId8"/>
    <sheet name="2.4 Aloittaneet palaute" sheetId="1" r:id="rId9"/>
    <sheet name="2.5 Päättäneet palaute" sheetId="2" r:id="rId10"/>
    <sheet name="3.1 Alv vahvistettu" sheetId="43" r:id="rId11"/>
    <sheet name="3.2 Suoritepäätös 2019" sheetId="13" r:id="rId12"/>
  </sheets>
  <externalReferences>
    <externalReference r:id="rId13"/>
  </externalReferences>
  <definedNames>
    <definedName name="_xlnm._FilterDatabase" localSheetId="3" hidden="1">'1.2 Ohjaus-laskentataulu'!$C$6:$C$156</definedName>
    <definedName name="FuusiotKpl">[1]Fuusiot!$C$1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6" i="17" l="1"/>
  <c r="AA152" i="17" l="1"/>
  <c r="V6" i="17"/>
  <c r="V7" i="17"/>
  <c r="V8" i="17"/>
  <c r="V9" i="17"/>
  <c r="V10" i="17"/>
  <c r="V11" i="17"/>
  <c r="V12" i="17"/>
  <c r="V13" i="17"/>
  <c r="V14" i="17"/>
  <c r="V15" i="17"/>
  <c r="V16" i="17"/>
  <c r="V17" i="17"/>
  <c r="V18" i="17"/>
  <c r="V19" i="17"/>
  <c r="V20" i="17"/>
  <c r="V21" i="17"/>
  <c r="V22" i="17"/>
  <c r="V23" i="17"/>
  <c r="V24" i="17"/>
  <c r="V25" i="17"/>
  <c r="V26" i="17"/>
  <c r="V27" i="17"/>
  <c r="V28" i="17"/>
  <c r="V29" i="17"/>
  <c r="V30" i="17"/>
  <c r="V31" i="17"/>
  <c r="V32" i="17"/>
  <c r="V33" i="17"/>
  <c r="V34" i="17"/>
  <c r="V35" i="17"/>
  <c r="V36" i="17"/>
  <c r="V37" i="17"/>
  <c r="V38" i="17"/>
  <c r="V39" i="17"/>
  <c r="V40" i="17"/>
  <c r="V41" i="17"/>
  <c r="V42" i="17"/>
  <c r="V43" i="17"/>
  <c r="V44" i="17"/>
  <c r="V45" i="17"/>
  <c r="V46" i="17"/>
  <c r="V47" i="17"/>
  <c r="V48" i="17"/>
  <c r="V49" i="17"/>
  <c r="V50" i="17"/>
  <c r="V51" i="17"/>
  <c r="V52" i="17"/>
  <c r="V53" i="17"/>
  <c r="V54" i="17"/>
  <c r="V55" i="17"/>
  <c r="V56" i="17"/>
  <c r="V57" i="17"/>
  <c r="V58" i="17"/>
  <c r="V59" i="17"/>
  <c r="V60" i="17"/>
  <c r="V61" i="17"/>
  <c r="V62" i="17"/>
  <c r="V63" i="17"/>
  <c r="V64" i="17"/>
  <c r="V65" i="17"/>
  <c r="V66" i="17"/>
  <c r="V67" i="17"/>
  <c r="V68" i="17"/>
  <c r="V69" i="17"/>
  <c r="V70" i="17"/>
  <c r="V71" i="17"/>
  <c r="V72" i="17"/>
  <c r="V73" i="17"/>
  <c r="V74" i="17"/>
  <c r="V75" i="17"/>
  <c r="V76" i="17"/>
  <c r="V77" i="17"/>
  <c r="V78" i="17"/>
  <c r="V79" i="17"/>
  <c r="V80" i="17"/>
  <c r="V81" i="17"/>
  <c r="V82" i="17"/>
  <c r="V83" i="17"/>
  <c r="V84" i="17"/>
  <c r="V85" i="17"/>
  <c r="V86" i="17"/>
  <c r="V87" i="17"/>
  <c r="V88" i="17"/>
  <c r="V89" i="17"/>
  <c r="V90" i="17"/>
  <c r="V91" i="17"/>
  <c r="V92" i="17"/>
  <c r="V93" i="17"/>
  <c r="V94" i="17"/>
  <c r="V95" i="17"/>
  <c r="V96" i="17"/>
  <c r="V97" i="17"/>
  <c r="V98" i="17"/>
  <c r="V99" i="17"/>
  <c r="V100" i="17"/>
  <c r="V101" i="17"/>
  <c r="V102" i="17"/>
  <c r="V103" i="17"/>
  <c r="V104" i="17"/>
  <c r="V105" i="17"/>
  <c r="V106" i="17"/>
  <c r="V107" i="17"/>
  <c r="V108" i="17"/>
  <c r="V109" i="17"/>
  <c r="V110" i="17"/>
  <c r="V111" i="17"/>
  <c r="V112" i="17"/>
  <c r="V113" i="17"/>
  <c r="V114" i="17"/>
  <c r="V115" i="17"/>
  <c r="V116" i="17"/>
  <c r="V117" i="17"/>
  <c r="V118" i="17"/>
  <c r="V119" i="17"/>
  <c r="V120" i="17"/>
  <c r="V121" i="17"/>
  <c r="V122" i="17"/>
  <c r="V123" i="17"/>
  <c r="V124" i="17"/>
  <c r="V125" i="17"/>
  <c r="V126" i="17"/>
  <c r="V127" i="17"/>
  <c r="V128" i="17"/>
  <c r="V129" i="17"/>
  <c r="V130" i="17"/>
  <c r="V131" i="17"/>
  <c r="V132" i="17"/>
  <c r="V133" i="17"/>
  <c r="V134" i="17"/>
  <c r="V135" i="17"/>
  <c r="V136" i="17"/>
  <c r="V137" i="17"/>
  <c r="V138" i="17"/>
  <c r="V139" i="17"/>
  <c r="V140" i="17"/>
  <c r="V141" i="17"/>
  <c r="V142" i="17"/>
  <c r="V143" i="17"/>
  <c r="V144" i="17"/>
  <c r="V145" i="17"/>
  <c r="V146" i="17"/>
  <c r="V147" i="17"/>
  <c r="V148" i="17"/>
  <c r="V149" i="17"/>
  <c r="V150" i="17"/>
  <c r="V151" i="17"/>
  <c r="V152" i="17"/>
  <c r="V153" i="17"/>
  <c r="V154" i="17"/>
  <c r="V155" i="17"/>
  <c r="V156" i="17"/>
  <c r="S6" i="17"/>
  <c r="S7" i="17"/>
  <c r="S8" i="17"/>
  <c r="S9" i="17"/>
  <c r="S10" i="17"/>
  <c r="S11" i="17"/>
  <c r="S12" i="17"/>
  <c r="S13" i="17"/>
  <c r="S14" i="17"/>
  <c r="S15" i="17"/>
  <c r="S16" i="17"/>
  <c r="S17" i="17"/>
  <c r="S18" i="17"/>
  <c r="S19" i="17"/>
  <c r="S20" i="17"/>
  <c r="S21" i="17"/>
  <c r="S22" i="17"/>
  <c r="S23" i="17"/>
  <c r="S24" i="17"/>
  <c r="S25" i="17"/>
  <c r="S26" i="17"/>
  <c r="S27" i="17"/>
  <c r="S28" i="17"/>
  <c r="S29" i="17"/>
  <c r="S30" i="17"/>
  <c r="S31" i="17"/>
  <c r="S32" i="17"/>
  <c r="S33" i="17"/>
  <c r="S34" i="17"/>
  <c r="S35" i="17"/>
  <c r="S36" i="17"/>
  <c r="S37" i="17"/>
  <c r="S38" i="17"/>
  <c r="S39" i="17"/>
  <c r="S40" i="17"/>
  <c r="S41" i="17"/>
  <c r="S42" i="17"/>
  <c r="S43" i="17"/>
  <c r="S44" i="17"/>
  <c r="S45" i="17"/>
  <c r="S46" i="17"/>
  <c r="S47" i="17"/>
  <c r="S48" i="17"/>
  <c r="S49" i="17"/>
  <c r="S50" i="17"/>
  <c r="S51" i="17"/>
  <c r="S52" i="17"/>
  <c r="S53" i="17"/>
  <c r="S54" i="17"/>
  <c r="S55" i="17"/>
  <c r="S56" i="17"/>
  <c r="S57" i="17"/>
  <c r="S58" i="17"/>
  <c r="S59" i="17"/>
  <c r="S60" i="17"/>
  <c r="S61" i="17"/>
  <c r="S62" i="17"/>
  <c r="S63" i="17"/>
  <c r="S64" i="17"/>
  <c r="S65" i="17"/>
  <c r="S66" i="17"/>
  <c r="S67" i="17"/>
  <c r="S68" i="17"/>
  <c r="S69" i="17"/>
  <c r="S70" i="17"/>
  <c r="S71" i="17"/>
  <c r="S72" i="17"/>
  <c r="S73" i="17"/>
  <c r="S74" i="17"/>
  <c r="S75" i="17"/>
  <c r="S76" i="17"/>
  <c r="S77" i="17"/>
  <c r="S78" i="17"/>
  <c r="S79" i="17"/>
  <c r="S80" i="17"/>
  <c r="S81" i="17"/>
  <c r="S82" i="17"/>
  <c r="S83" i="17"/>
  <c r="S84" i="17"/>
  <c r="S85" i="17"/>
  <c r="S86" i="17"/>
  <c r="S87" i="17"/>
  <c r="S88" i="17"/>
  <c r="S89" i="17"/>
  <c r="S90" i="17"/>
  <c r="S91" i="17"/>
  <c r="S92" i="17"/>
  <c r="S93" i="17"/>
  <c r="S94" i="17"/>
  <c r="S95" i="17"/>
  <c r="S96" i="17"/>
  <c r="S97" i="17"/>
  <c r="S98" i="17"/>
  <c r="S99" i="17"/>
  <c r="S100" i="17"/>
  <c r="S101" i="17"/>
  <c r="S102" i="17"/>
  <c r="S103" i="17"/>
  <c r="S104" i="17"/>
  <c r="S105" i="17"/>
  <c r="S106" i="17"/>
  <c r="S107" i="17"/>
  <c r="S108" i="17"/>
  <c r="S109" i="17"/>
  <c r="S110" i="17"/>
  <c r="S111" i="17"/>
  <c r="S112" i="17"/>
  <c r="S113" i="17"/>
  <c r="S114" i="17"/>
  <c r="S115" i="17"/>
  <c r="S116" i="17"/>
  <c r="S117" i="17"/>
  <c r="S118" i="17"/>
  <c r="S119" i="17"/>
  <c r="S120" i="17"/>
  <c r="S121" i="17"/>
  <c r="S122" i="17"/>
  <c r="S123" i="17"/>
  <c r="S124" i="17"/>
  <c r="S125" i="17"/>
  <c r="S126" i="17"/>
  <c r="S127" i="17"/>
  <c r="S128" i="17"/>
  <c r="S129" i="17"/>
  <c r="S130" i="17"/>
  <c r="S131" i="17"/>
  <c r="S132" i="17"/>
  <c r="S133" i="17"/>
  <c r="S134" i="17"/>
  <c r="S135" i="17"/>
  <c r="S136" i="17"/>
  <c r="S137" i="17"/>
  <c r="S138" i="17"/>
  <c r="S139" i="17"/>
  <c r="S140" i="17"/>
  <c r="S141" i="17"/>
  <c r="S142" i="17"/>
  <c r="S143" i="17"/>
  <c r="S144" i="17"/>
  <c r="S145" i="17"/>
  <c r="S146" i="17"/>
  <c r="S147" i="17"/>
  <c r="S148" i="17"/>
  <c r="S149" i="17"/>
  <c r="S150" i="17"/>
  <c r="S151" i="17"/>
  <c r="S152" i="17"/>
  <c r="S153" i="17"/>
  <c r="S154" i="17"/>
  <c r="S155" i="17"/>
  <c r="S156" i="17"/>
  <c r="P6" i="17"/>
  <c r="P7" i="17"/>
  <c r="P8" i="17"/>
  <c r="P9" i="17"/>
  <c r="P10" i="17"/>
  <c r="P11" i="17"/>
  <c r="P12" i="17"/>
  <c r="P13" i="17"/>
  <c r="P14" i="17"/>
  <c r="P15" i="17"/>
  <c r="P16" i="17"/>
  <c r="P17" i="17"/>
  <c r="P18" i="17"/>
  <c r="P19" i="17"/>
  <c r="P20" i="17"/>
  <c r="P21" i="17"/>
  <c r="P22" i="17"/>
  <c r="P23" i="17"/>
  <c r="P24" i="17"/>
  <c r="P25" i="17"/>
  <c r="P26" i="17"/>
  <c r="P27" i="17"/>
  <c r="P28" i="17"/>
  <c r="P29" i="17"/>
  <c r="P30" i="17"/>
  <c r="P31" i="17"/>
  <c r="P32" i="17"/>
  <c r="P33" i="17"/>
  <c r="P34" i="17"/>
  <c r="P35" i="17"/>
  <c r="P36" i="17"/>
  <c r="P37" i="17"/>
  <c r="P38" i="17"/>
  <c r="P39" i="17"/>
  <c r="P40" i="17"/>
  <c r="P41" i="17"/>
  <c r="P42" i="17"/>
  <c r="P43" i="17"/>
  <c r="P44" i="17"/>
  <c r="P45" i="17"/>
  <c r="P46" i="17"/>
  <c r="P47" i="17"/>
  <c r="P48" i="17"/>
  <c r="P49" i="17"/>
  <c r="P50" i="17"/>
  <c r="P51" i="17"/>
  <c r="P52" i="17"/>
  <c r="P53" i="17"/>
  <c r="P54" i="17"/>
  <c r="P55" i="17"/>
  <c r="P56" i="17"/>
  <c r="P57" i="17"/>
  <c r="P58" i="17"/>
  <c r="P59" i="17"/>
  <c r="P60" i="17"/>
  <c r="P61" i="17"/>
  <c r="P62" i="17"/>
  <c r="P63" i="17"/>
  <c r="P64" i="17"/>
  <c r="P65" i="17"/>
  <c r="P66" i="17"/>
  <c r="P67" i="17"/>
  <c r="P68" i="17"/>
  <c r="P69" i="17"/>
  <c r="P70" i="17"/>
  <c r="P71" i="17"/>
  <c r="P72" i="17"/>
  <c r="P73" i="17"/>
  <c r="P74" i="17"/>
  <c r="P75" i="17"/>
  <c r="P76" i="17"/>
  <c r="P77" i="17"/>
  <c r="P78" i="17"/>
  <c r="P79" i="17"/>
  <c r="P80" i="17"/>
  <c r="P81" i="17"/>
  <c r="P82" i="17"/>
  <c r="P83" i="17"/>
  <c r="P84" i="17"/>
  <c r="P85" i="17"/>
  <c r="P86" i="17"/>
  <c r="P87" i="17"/>
  <c r="P88" i="17"/>
  <c r="P89" i="17"/>
  <c r="P90" i="17"/>
  <c r="P91" i="17"/>
  <c r="P92" i="17"/>
  <c r="P93" i="17"/>
  <c r="P94" i="17"/>
  <c r="P95" i="17"/>
  <c r="P96" i="17"/>
  <c r="P97" i="17"/>
  <c r="P98" i="17"/>
  <c r="P99" i="17"/>
  <c r="P100" i="17"/>
  <c r="P101" i="17"/>
  <c r="P102" i="17"/>
  <c r="P103" i="17"/>
  <c r="P104" i="17"/>
  <c r="P105" i="17"/>
  <c r="P106" i="17"/>
  <c r="P107" i="17"/>
  <c r="P108" i="17"/>
  <c r="P109" i="17"/>
  <c r="P110" i="17"/>
  <c r="P111" i="17"/>
  <c r="P112" i="17"/>
  <c r="P113" i="17"/>
  <c r="P114" i="17"/>
  <c r="P115" i="17"/>
  <c r="P116" i="17"/>
  <c r="P117" i="17"/>
  <c r="P118" i="17"/>
  <c r="P119" i="17"/>
  <c r="P120" i="17"/>
  <c r="P121" i="17"/>
  <c r="P122" i="17"/>
  <c r="P123" i="17"/>
  <c r="P124" i="17"/>
  <c r="P125" i="17"/>
  <c r="P126" i="17"/>
  <c r="P127" i="17"/>
  <c r="P128" i="17"/>
  <c r="P129" i="17"/>
  <c r="P130" i="17"/>
  <c r="P131" i="17"/>
  <c r="P132" i="17"/>
  <c r="P133" i="17"/>
  <c r="P134" i="17"/>
  <c r="P135" i="17"/>
  <c r="P136" i="17"/>
  <c r="P137" i="17"/>
  <c r="P138" i="17"/>
  <c r="P139" i="17"/>
  <c r="P140" i="17"/>
  <c r="P141" i="17"/>
  <c r="P142" i="17"/>
  <c r="P143" i="17"/>
  <c r="P144" i="17"/>
  <c r="P145" i="17"/>
  <c r="P146" i="17"/>
  <c r="P147" i="17"/>
  <c r="P148" i="17"/>
  <c r="P149" i="17"/>
  <c r="P150" i="17"/>
  <c r="P151" i="17"/>
  <c r="P152" i="17"/>
  <c r="P153" i="17"/>
  <c r="P154" i="17"/>
  <c r="P155" i="17"/>
  <c r="P156" i="17"/>
  <c r="G6" i="17"/>
  <c r="G7" i="17"/>
  <c r="G8"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83" i="17"/>
  <c r="G84" i="17"/>
  <c r="G85" i="17"/>
  <c r="G86" i="17"/>
  <c r="G87" i="17"/>
  <c r="G88" i="17"/>
  <c r="G89" i="17"/>
  <c r="G90" i="17"/>
  <c r="G91" i="17"/>
  <c r="G92" i="17"/>
  <c r="G93" i="17"/>
  <c r="G94" i="17"/>
  <c r="G95" i="17"/>
  <c r="G96" i="17"/>
  <c r="G97" i="17"/>
  <c r="G98" i="17"/>
  <c r="G99" i="17"/>
  <c r="G100" i="17"/>
  <c r="G101" i="17"/>
  <c r="G102" i="17"/>
  <c r="G103" i="17"/>
  <c r="G104" i="17"/>
  <c r="G105" i="17"/>
  <c r="G106" i="17"/>
  <c r="G107" i="17"/>
  <c r="G108" i="17"/>
  <c r="G109" i="17"/>
  <c r="G110" i="17"/>
  <c r="G111" i="17"/>
  <c r="G112" i="17"/>
  <c r="G113" i="17"/>
  <c r="G114" i="17"/>
  <c r="G115" i="17"/>
  <c r="G116" i="17"/>
  <c r="G117" i="17"/>
  <c r="G118" i="17"/>
  <c r="G119" i="17"/>
  <c r="G120" i="17"/>
  <c r="G121" i="17"/>
  <c r="G122" i="17"/>
  <c r="G123" i="17"/>
  <c r="G124" i="17"/>
  <c r="G125" i="17"/>
  <c r="G126" i="17"/>
  <c r="G127" i="17"/>
  <c r="G128" i="17"/>
  <c r="G129" i="17"/>
  <c r="G130" i="17"/>
  <c r="G131" i="17"/>
  <c r="G132" i="17"/>
  <c r="G133" i="17"/>
  <c r="G134" i="17"/>
  <c r="G135" i="17"/>
  <c r="G136" i="17"/>
  <c r="G137" i="17"/>
  <c r="G138" i="17"/>
  <c r="G139" i="17"/>
  <c r="G140" i="17"/>
  <c r="G141" i="17"/>
  <c r="G142" i="17"/>
  <c r="G143" i="17"/>
  <c r="G144" i="17"/>
  <c r="G145" i="17"/>
  <c r="G147" i="17"/>
  <c r="G148" i="17"/>
  <c r="G149" i="17"/>
  <c r="G150" i="17"/>
  <c r="G151" i="17"/>
  <c r="G152" i="17"/>
  <c r="G153" i="17"/>
  <c r="G154" i="17"/>
  <c r="G155" i="17"/>
  <c r="B5" i="5" l="1"/>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N24" i="18" l="1"/>
  <c r="N25" i="18"/>
  <c r="M6" i="17" l="1"/>
  <c r="M8" i="17"/>
  <c r="M10" i="17"/>
  <c r="M12" i="17"/>
  <c r="M13" i="17"/>
  <c r="M15" i="17"/>
  <c r="M16" i="17"/>
  <c r="M17" i="17"/>
  <c r="M18" i="17"/>
  <c r="M19" i="17"/>
  <c r="M20" i="17"/>
  <c r="M21" i="17"/>
  <c r="M22" i="17"/>
  <c r="M23" i="17"/>
  <c r="M24" i="17"/>
  <c r="M25" i="17"/>
  <c r="M26" i="17"/>
  <c r="M27" i="17"/>
  <c r="M28" i="17"/>
  <c r="M29" i="17"/>
  <c r="M30" i="17"/>
  <c r="M31" i="17"/>
  <c r="M32" i="17"/>
  <c r="M33" i="17"/>
  <c r="M34" i="17"/>
  <c r="M35" i="17"/>
  <c r="M36" i="17"/>
  <c r="M37" i="17"/>
  <c r="M38" i="17"/>
  <c r="M39" i="17"/>
  <c r="M40" i="17"/>
  <c r="M41" i="17"/>
  <c r="M42" i="17"/>
  <c r="M43" i="17"/>
  <c r="M44" i="17"/>
  <c r="M45" i="17"/>
  <c r="M46" i="17"/>
  <c r="M47" i="17"/>
  <c r="M48" i="17"/>
  <c r="M49" i="17"/>
  <c r="M50" i="17"/>
  <c r="M51" i="17"/>
  <c r="M52" i="17"/>
  <c r="M53" i="17"/>
  <c r="M54" i="17"/>
  <c r="M55" i="17"/>
  <c r="M56" i="17"/>
  <c r="M57" i="17"/>
  <c r="M58" i="17"/>
  <c r="M59" i="17"/>
  <c r="M60" i="17"/>
  <c r="M61" i="17"/>
  <c r="M62" i="17"/>
  <c r="M63" i="17"/>
  <c r="M64" i="17"/>
  <c r="M65" i="17"/>
  <c r="M66" i="17"/>
  <c r="M67" i="17"/>
  <c r="M68" i="17"/>
  <c r="M69" i="17"/>
  <c r="M70" i="17"/>
  <c r="M71" i="17"/>
  <c r="M72" i="17"/>
  <c r="M73" i="17"/>
  <c r="M74" i="17"/>
  <c r="M75" i="17"/>
  <c r="M76" i="17"/>
  <c r="M77" i="17"/>
  <c r="M78" i="17"/>
  <c r="M79" i="17"/>
  <c r="M80" i="17"/>
  <c r="M81" i="17"/>
  <c r="M82" i="17"/>
  <c r="M83" i="17"/>
  <c r="M85" i="17"/>
  <c r="M86" i="17"/>
  <c r="M87" i="17"/>
  <c r="M88" i="17"/>
  <c r="M89" i="17"/>
  <c r="M90" i="17"/>
  <c r="M91" i="17"/>
  <c r="M92" i="17"/>
  <c r="M93" i="17"/>
  <c r="M94" i="17"/>
  <c r="M95" i="17"/>
  <c r="M96" i="17"/>
  <c r="M97" i="17"/>
  <c r="M98" i="17"/>
  <c r="M99" i="17"/>
  <c r="M100" i="17"/>
  <c r="M101" i="17"/>
  <c r="M102" i="17"/>
  <c r="M103" i="17"/>
  <c r="M104" i="17"/>
  <c r="M105" i="17"/>
  <c r="M106" i="17"/>
  <c r="M107" i="17"/>
  <c r="M108" i="17"/>
  <c r="M109" i="17"/>
  <c r="M110" i="17"/>
  <c r="M111" i="17"/>
  <c r="M112" i="17"/>
  <c r="M113" i="17"/>
  <c r="M114" i="17"/>
  <c r="M115" i="17"/>
  <c r="M116" i="17"/>
  <c r="M117" i="17"/>
  <c r="M118" i="17"/>
  <c r="M119" i="17"/>
  <c r="M120" i="17"/>
  <c r="M121" i="17"/>
  <c r="M122" i="17"/>
  <c r="M123" i="17"/>
  <c r="M124" i="17"/>
  <c r="M125" i="17"/>
  <c r="M126" i="17"/>
  <c r="M128" i="17"/>
  <c r="M129" i="17"/>
  <c r="M130" i="17"/>
  <c r="M131" i="17"/>
  <c r="M132" i="17"/>
  <c r="M133" i="17"/>
  <c r="M134" i="17"/>
  <c r="M135" i="17"/>
  <c r="M136" i="17"/>
  <c r="M137" i="17"/>
  <c r="M138" i="17"/>
  <c r="M139" i="17"/>
  <c r="M140" i="17"/>
  <c r="M142" i="17"/>
  <c r="M143" i="17"/>
  <c r="M144" i="17"/>
  <c r="M145" i="17"/>
  <c r="M146" i="17"/>
  <c r="M147" i="17"/>
  <c r="M148" i="17"/>
  <c r="M149" i="17"/>
  <c r="M150" i="17"/>
  <c r="M151" i="17"/>
  <c r="M152" i="17"/>
  <c r="M153" i="17"/>
  <c r="M154" i="17"/>
  <c r="M155" i="17"/>
  <c r="M156" i="17"/>
  <c r="M156" i="24" l="1"/>
  <c r="B157" i="24" l="1"/>
  <c r="B157" i="17"/>
  <c r="E156" i="24"/>
  <c r="I156" i="24"/>
  <c r="I6" i="17" l="1"/>
  <c r="I8" i="17"/>
  <c r="I9" i="17"/>
  <c r="I10" i="17"/>
  <c r="I11" i="17"/>
  <c r="I12" i="17"/>
  <c r="I13" i="17"/>
  <c r="I15" i="17"/>
  <c r="I16" i="17"/>
  <c r="I17" i="17"/>
  <c r="I18" i="17"/>
  <c r="I19" i="17"/>
  <c r="I20" i="17"/>
  <c r="I21" i="17"/>
  <c r="I22" i="17"/>
  <c r="I23" i="17"/>
  <c r="I24" i="17"/>
  <c r="I25" i="17"/>
  <c r="I26" i="17"/>
  <c r="I27" i="17"/>
  <c r="I28" i="17"/>
  <c r="I29" i="17"/>
  <c r="I30" i="17"/>
  <c r="I31" i="17"/>
  <c r="I32" i="17"/>
  <c r="I33" i="17"/>
  <c r="I34" i="17"/>
  <c r="I35" i="17"/>
  <c r="I36" i="17"/>
  <c r="I37" i="17"/>
  <c r="I38" i="17"/>
  <c r="I39" i="17"/>
  <c r="I40" i="17"/>
  <c r="I41" i="17"/>
  <c r="I42" i="17"/>
  <c r="I43" i="17"/>
  <c r="I44" i="17"/>
  <c r="I46" i="17"/>
  <c r="I47" i="17"/>
  <c r="I48" i="17"/>
  <c r="I49" i="17"/>
  <c r="I50" i="17"/>
  <c r="I51" i="17"/>
  <c r="I52" i="17"/>
  <c r="I53" i="17"/>
  <c r="I54" i="17"/>
  <c r="I55" i="17"/>
  <c r="I56" i="17"/>
  <c r="I57" i="17"/>
  <c r="I58" i="17"/>
  <c r="I59" i="17"/>
  <c r="I60" i="17"/>
  <c r="I61" i="17"/>
  <c r="I62" i="17"/>
  <c r="I63" i="17"/>
  <c r="I64" i="17"/>
  <c r="I65" i="17"/>
  <c r="I66" i="17"/>
  <c r="I67" i="17"/>
  <c r="I68" i="17"/>
  <c r="I69" i="17"/>
  <c r="I70" i="17"/>
  <c r="I71" i="17"/>
  <c r="I72" i="17"/>
  <c r="I73" i="17"/>
  <c r="I74" i="17"/>
  <c r="I75" i="17"/>
  <c r="I76" i="17"/>
  <c r="I77" i="17"/>
  <c r="I78" i="17"/>
  <c r="I79" i="17"/>
  <c r="I80" i="17"/>
  <c r="I81" i="17"/>
  <c r="I82" i="17"/>
  <c r="I83" i="17"/>
  <c r="I85" i="17"/>
  <c r="I86" i="17"/>
  <c r="I87" i="17"/>
  <c r="I88" i="17"/>
  <c r="I89" i="17"/>
  <c r="I90" i="17"/>
  <c r="I91" i="17"/>
  <c r="I92" i="17"/>
  <c r="I93" i="17"/>
  <c r="I94" i="17"/>
  <c r="I95" i="17"/>
  <c r="I96" i="17"/>
  <c r="I97" i="17"/>
  <c r="I98" i="17"/>
  <c r="I99" i="17"/>
  <c r="I100" i="17"/>
  <c r="I101" i="17"/>
  <c r="I102" i="17"/>
  <c r="I103" i="17"/>
  <c r="I104" i="17"/>
  <c r="I105" i="17"/>
  <c r="I106" i="17"/>
  <c r="I107" i="17"/>
  <c r="I108" i="17"/>
  <c r="I109" i="17"/>
  <c r="I110" i="17"/>
  <c r="I111" i="17"/>
  <c r="I112" i="17"/>
  <c r="I113" i="17"/>
  <c r="I114" i="17"/>
  <c r="I115" i="17"/>
  <c r="I116" i="17"/>
  <c r="I117" i="17"/>
  <c r="I118" i="17"/>
  <c r="I119" i="17"/>
  <c r="I120" i="17"/>
  <c r="I121" i="17"/>
  <c r="I122" i="17"/>
  <c r="I123" i="17"/>
  <c r="I124" i="17"/>
  <c r="I126" i="17"/>
  <c r="I128" i="17"/>
  <c r="I129" i="17"/>
  <c r="I130" i="17"/>
  <c r="I131" i="17"/>
  <c r="I132" i="17"/>
  <c r="I133" i="17"/>
  <c r="I134" i="17"/>
  <c r="I135" i="17"/>
  <c r="I136" i="17"/>
  <c r="I138" i="17"/>
  <c r="I139" i="17"/>
  <c r="I140" i="17"/>
  <c r="I142" i="17"/>
  <c r="I143" i="17"/>
  <c r="I144" i="17"/>
  <c r="I145" i="17"/>
  <c r="I146" i="17"/>
  <c r="I147" i="17"/>
  <c r="I148" i="17"/>
  <c r="I149" i="17"/>
  <c r="I150" i="17"/>
  <c r="I151" i="17"/>
  <c r="I152" i="17"/>
  <c r="I153" i="17"/>
  <c r="I154" i="17"/>
  <c r="I155" i="17"/>
  <c r="AA6" i="17" l="1"/>
  <c r="AA7" i="17"/>
  <c r="AA8" i="17"/>
  <c r="AA9" i="17"/>
  <c r="AA10" i="17"/>
  <c r="AA11" i="17"/>
  <c r="AA12" i="17"/>
  <c r="AA13" i="17"/>
  <c r="AA14" i="17"/>
  <c r="AA15" i="17"/>
  <c r="AA16" i="17"/>
  <c r="AA17" i="17"/>
  <c r="AA18" i="17"/>
  <c r="AA19" i="17"/>
  <c r="AA20" i="17"/>
  <c r="AA21" i="17"/>
  <c r="AA22" i="17"/>
  <c r="AA23" i="17"/>
  <c r="AA24" i="17"/>
  <c r="AA25" i="17"/>
  <c r="AA26" i="17"/>
  <c r="AA27" i="17"/>
  <c r="AA28" i="17"/>
  <c r="AA29" i="17"/>
  <c r="AA30" i="17"/>
  <c r="AA31" i="17"/>
  <c r="AA32" i="17"/>
  <c r="AA33" i="17"/>
  <c r="AA34" i="17"/>
  <c r="AA35" i="17"/>
  <c r="AA36" i="17"/>
  <c r="AA37" i="17"/>
  <c r="AA38" i="17"/>
  <c r="AA39" i="17"/>
  <c r="AA40" i="17"/>
  <c r="AA41" i="17"/>
  <c r="AA42" i="17"/>
  <c r="AA43" i="17"/>
  <c r="AA44" i="17"/>
  <c r="AA45" i="17"/>
  <c r="AA46" i="17"/>
  <c r="AA47" i="17"/>
  <c r="AA48" i="17"/>
  <c r="AA49" i="17"/>
  <c r="AA50" i="17"/>
  <c r="AA51" i="17"/>
  <c r="AA52" i="17"/>
  <c r="AA53" i="17"/>
  <c r="AA54" i="17"/>
  <c r="AA55" i="17"/>
  <c r="AA56" i="17"/>
  <c r="AA57" i="17"/>
  <c r="AA58" i="17"/>
  <c r="AA59" i="17"/>
  <c r="AA60" i="17"/>
  <c r="AA61" i="17"/>
  <c r="AA62" i="17"/>
  <c r="AA63" i="17"/>
  <c r="AA64" i="17"/>
  <c r="AA65" i="17"/>
  <c r="AA66" i="17"/>
  <c r="AA67" i="17"/>
  <c r="AA68" i="17"/>
  <c r="AA69" i="17"/>
  <c r="AA70" i="17"/>
  <c r="AA71" i="17"/>
  <c r="AA72" i="17"/>
  <c r="AA73" i="17"/>
  <c r="AA74" i="17"/>
  <c r="AA75" i="17"/>
  <c r="AA76" i="17"/>
  <c r="AA77" i="17"/>
  <c r="AA78" i="17"/>
  <c r="AA79" i="17"/>
  <c r="AA80" i="17"/>
  <c r="AA81" i="17"/>
  <c r="AA82" i="17"/>
  <c r="AA83" i="17"/>
  <c r="AA84" i="17"/>
  <c r="AA85" i="17"/>
  <c r="AA86" i="17"/>
  <c r="AA87" i="17"/>
  <c r="AA88" i="17"/>
  <c r="AA89" i="17"/>
  <c r="AA90" i="17"/>
  <c r="AA91" i="17"/>
  <c r="AA92" i="17"/>
  <c r="AA93" i="17"/>
  <c r="AA94" i="17"/>
  <c r="AA95" i="17"/>
  <c r="AA96" i="17"/>
  <c r="AA97" i="17"/>
  <c r="AA98" i="17"/>
  <c r="AA99" i="17"/>
  <c r="AA100" i="17"/>
  <c r="AA101" i="17"/>
  <c r="AA102" i="17"/>
  <c r="AA103" i="17"/>
  <c r="AA104" i="17"/>
  <c r="AA105" i="17"/>
  <c r="AA106" i="17"/>
  <c r="AA107" i="17"/>
  <c r="AA108" i="17"/>
  <c r="AA109" i="17"/>
  <c r="AA110" i="17"/>
  <c r="AA111" i="17"/>
  <c r="AA112" i="17"/>
  <c r="AA113" i="17"/>
  <c r="AA114" i="17"/>
  <c r="AA115" i="17"/>
  <c r="AA116" i="17"/>
  <c r="AA117" i="17"/>
  <c r="AA118" i="17"/>
  <c r="AA119" i="17"/>
  <c r="AA120" i="17"/>
  <c r="AA121" i="17"/>
  <c r="AA122" i="17"/>
  <c r="AA123" i="17"/>
  <c r="AA124" i="17"/>
  <c r="AA125" i="17"/>
  <c r="AA126" i="17"/>
  <c r="AA127" i="17"/>
  <c r="AA128" i="17"/>
  <c r="AA129" i="17"/>
  <c r="AA130" i="17"/>
  <c r="AA131" i="17"/>
  <c r="AA132" i="17"/>
  <c r="AA133" i="17"/>
  <c r="AA134" i="17"/>
  <c r="AA135" i="17"/>
  <c r="AA136" i="17"/>
  <c r="AA137" i="17"/>
  <c r="AA138" i="17"/>
  <c r="AA139" i="17"/>
  <c r="AA140" i="17"/>
  <c r="AA141" i="17"/>
  <c r="AA142" i="17"/>
  <c r="AA143" i="17"/>
  <c r="AA144" i="17"/>
  <c r="AA145" i="17"/>
  <c r="AA146" i="17"/>
  <c r="AA147" i="17"/>
  <c r="AA148" i="17"/>
  <c r="AA149" i="17"/>
  <c r="AA150" i="17"/>
  <c r="AA151" i="17"/>
  <c r="AA153" i="17"/>
  <c r="AA154" i="17"/>
  <c r="AA155" i="17"/>
  <c r="AA156" i="17" l="1"/>
  <c r="AA157" i="17"/>
  <c r="C134" i="43" l="1"/>
  <c r="C133" i="43"/>
  <c r="C132" i="43"/>
  <c r="C131" i="43"/>
  <c r="C130" i="43"/>
  <c r="C129" i="43"/>
  <c r="C128" i="43"/>
  <c r="C127" i="43"/>
  <c r="C3" i="43"/>
  <c r="D165" i="13" l="1"/>
  <c r="E165" i="13"/>
  <c r="F165" i="13"/>
  <c r="G165" i="13"/>
  <c r="I165" i="13"/>
  <c r="J165" i="13"/>
  <c r="K165" i="13"/>
  <c r="L165" i="13"/>
  <c r="M165" i="13"/>
  <c r="N165" i="13"/>
  <c r="O165" i="13"/>
  <c r="P165" i="13"/>
  <c r="Q165" i="13"/>
  <c r="R165" i="13"/>
  <c r="D166" i="13"/>
  <c r="E166" i="13"/>
  <c r="F166" i="13"/>
  <c r="G166" i="13"/>
  <c r="I166" i="13"/>
  <c r="H166" i="13" s="1"/>
  <c r="J166" i="13"/>
  <c r="K166" i="13"/>
  <c r="L166" i="13"/>
  <c r="M166" i="13"/>
  <c r="N166" i="13"/>
  <c r="O166" i="13"/>
  <c r="P166" i="13"/>
  <c r="Q166" i="13"/>
  <c r="R166" i="13"/>
  <c r="D167" i="13"/>
  <c r="E167" i="13"/>
  <c r="F167" i="13"/>
  <c r="G167" i="13"/>
  <c r="I167" i="13"/>
  <c r="J167" i="13"/>
  <c r="K167" i="13"/>
  <c r="L167" i="13"/>
  <c r="M167" i="13"/>
  <c r="N167" i="13"/>
  <c r="O167" i="13"/>
  <c r="P167" i="13"/>
  <c r="Q167" i="13"/>
  <c r="R167" i="13"/>
  <c r="D168" i="13"/>
  <c r="E168" i="13"/>
  <c r="F168" i="13"/>
  <c r="G168" i="13"/>
  <c r="I168" i="13"/>
  <c r="J168" i="13"/>
  <c r="K168" i="13"/>
  <c r="L168" i="13"/>
  <c r="M168" i="13"/>
  <c r="N168" i="13"/>
  <c r="O168" i="13"/>
  <c r="P168" i="13"/>
  <c r="Q168" i="13"/>
  <c r="R168" i="13"/>
  <c r="H167" i="13" l="1"/>
  <c r="H168" i="13"/>
  <c r="H165" i="13"/>
  <c r="B124" i="2" l="1"/>
  <c r="B125" i="2"/>
  <c r="B126" i="2"/>
  <c r="B127" i="2"/>
  <c r="B128" i="2"/>
  <c r="B129" i="2"/>
  <c r="B130" i="2"/>
  <c r="B131" i="2"/>
  <c r="B132" i="2"/>
  <c r="B133" i="2"/>
  <c r="B134" i="2"/>
  <c r="B135" i="2"/>
  <c r="M152" i="24" l="1"/>
  <c r="M144" i="24"/>
  <c r="M132" i="24"/>
  <c r="M120" i="24"/>
  <c r="M108" i="24"/>
  <c r="M104" i="24"/>
  <c r="M100" i="24"/>
  <c r="M96" i="24"/>
  <c r="M92" i="24"/>
  <c r="M88" i="24"/>
  <c r="M76" i="24"/>
  <c r="M64" i="24"/>
  <c r="M56" i="24"/>
  <c r="M48" i="24"/>
  <c r="M36" i="24"/>
  <c r="M24" i="24"/>
  <c r="M8" i="24"/>
  <c r="M155" i="24"/>
  <c r="M143" i="24"/>
  <c r="M135" i="24"/>
  <c r="M131" i="24"/>
  <c r="M6" i="24"/>
  <c r="M148" i="24"/>
  <c r="M140" i="24"/>
  <c r="M136" i="24"/>
  <c r="M128" i="24"/>
  <c r="M124" i="24"/>
  <c r="M116" i="24"/>
  <c r="M112" i="24"/>
  <c r="M123" i="24"/>
  <c r="M119" i="24"/>
  <c r="M115" i="24"/>
  <c r="M111" i="24"/>
  <c r="M107" i="24"/>
  <c r="M103" i="24"/>
  <c r="M99" i="24"/>
  <c r="M95" i="24"/>
  <c r="M91" i="24"/>
  <c r="M87" i="24"/>
  <c r="M83" i="24"/>
  <c r="M79" i="24"/>
  <c r="M75" i="24"/>
  <c r="M71" i="24"/>
  <c r="M67" i="24"/>
  <c r="M63" i="24"/>
  <c r="M59" i="24"/>
  <c r="M55" i="24"/>
  <c r="M51" i="24"/>
  <c r="M47" i="24"/>
  <c r="M43" i="24"/>
  <c r="M39" i="24"/>
  <c r="M35" i="24"/>
  <c r="M31" i="24"/>
  <c r="M27" i="24"/>
  <c r="M23" i="24"/>
  <c r="M19" i="24"/>
  <c r="M15" i="24"/>
  <c r="M11" i="24"/>
  <c r="M154" i="24"/>
  <c r="M150" i="24"/>
  <c r="M146" i="24"/>
  <c r="M142" i="24"/>
  <c r="M138" i="24"/>
  <c r="M134" i="24"/>
  <c r="M130" i="24"/>
  <c r="M126" i="24"/>
  <c r="M122" i="24"/>
  <c r="M118" i="24"/>
  <c r="M114" i="24"/>
  <c r="M110" i="24"/>
  <c r="M106" i="24"/>
  <c r="M102" i="24"/>
  <c r="M98" i="24"/>
  <c r="M94" i="24"/>
  <c r="M90" i="24"/>
  <c r="M86" i="24"/>
  <c r="M82" i="24"/>
  <c r="M78" i="24"/>
  <c r="M74" i="24"/>
  <c r="M70" i="24"/>
  <c r="M66" i="24"/>
  <c r="M62" i="24"/>
  <c r="M58" i="24"/>
  <c r="M54" i="24"/>
  <c r="M50" i="24"/>
  <c r="M46" i="24"/>
  <c r="M42" i="24"/>
  <c r="M38" i="24"/>
  <c r="M34" i="24"/>
  <c r="M30" i="24"/>
  <c r="M26" i="24"/>
  <c r="M22" i="24"/>
  <c r="M18" i="24"/>
  <c r="M14" i="24"/>
  <c r="M10" i="24"/>
  <c r="M80" i="24"/>
  <c r="M72" i="24"/>
  <c r="M68" i="24"/>
  <c r="M60" i="24"/>
  <c r="M52" i="24"/>
  <c r="M44" i="24"/>
  <c r="M40" i="24"/>
  <c r="M32" i="24"/>
  <c r="M28" i="24"/>
  <c r="M20" i="24"/>
  <c r="M16" i="24"/>
  <c r="M12" i="24"/>
  <c r="M151" i="24"/>
  <c r="M147" i="24"/>
  <c r="M139" i="24"/>
  <c r="M153" i="24"/>
  <c r="M149" i="24"/>
  <c r="M145" i="24"/>
  <c r="M137" i="24"/>
  <c r="M133" i="24"/>
  <c r="M129" i="24"/>
  <c r="M125" i="24"/>
  <c r="M121" i="24"/>
  <c r="M117" i="24"/>
  <c r="M113" i="24"/>
  <c r="M109" i="24"/>
  <c r="M105" i="24"/>
  <c r="M101" i="24"/>
  <c r="M97" i="24"/>
  <c r="M93" i="24"/>
  <c r="M89" i="24"/>
  <c r="M85" i="24"/>
  <c r="M81" i="24"/>
  <c r="M77" i="24"/>
  <c r="M73" i="24"/>
  <c r="M69" i="24"/>
  <c r="M65" i="24"/>
  <c r="M61" i="24"/>
  <c r="M57" i="24"/>
  <c r="M53" i="24"/>
  <c r="M49" i="24"/>
  <c r="M45" i="24"/>
  <c r="M41" i="24"/>
  <c r="M37" i="24"/>
  <c r="M33" i="24"/>
  <c r="M29" i="24"/>
  <c r="M25" i="24"/>
  <c r="M21" i="24"/>
  <c r="M17" i="24"/>
  <c r="M13" i="24"/>
  <c r="M9" i="24"/>
  <c r="E100" i="24"/>
  <c r="I100" i="24"/>
  <c r="E96" i="24"/>
  <c r="I96" i="24"/>
  <c r="E92" i="24"/>
  <c r="I92" i="24"/>
  <c r="E88" i="24"/>
  <c r="I88" i="24"/>
  <c r="E80" i="24"/>
  <c r="I80" i="24"/>
  <c r="E76" i="24"/>
  <c r="I76" i="24"/>
  <c r="E72" i="24"/>
  <c r="I72" i="24"/>
  <c r="E68" i="24"/>
  <c r="I68" i="24"/>
  <c r="E60" i="24"/>
  <c r="I60" i="24"/>
  <c r="E56" i="24"/>
  <c r="I56" i="24"/>
  <c r="E52" i="24"/>
  <c r="I52" i="24"/>
  <c r="E44" i="24"/>
  <c r="I44" i="24"/>
  <c r="E40" i="24"/>
  <c r="I40" i="24"/>
  <c r="E36" i="24"/>
  <c r="I36" i="24"/>
  <c r="E32" i="24"/>
  <c r="I32" i="24"/>
  <c r="E28" i="24"/>
  <c r="I28" i="24"/>
  <c r="E24" i="24"/>
  <c r="I24" i="24"/>
  <c r="E20" i="24"/>
  <c r="I20" i="24"/>
  <c r="E16" i="24"/>
  <c r="I16" i="24"/>
  <c r="E12" i="24"/>
  <c r="I12" i="24"/>
  <c r="E8" i="24"/>
  <c r="I8" i="24"/>
  <c r="E155" i="24"/>
  <c r="I155" i="24"/>
  <c r="E151" i="24"/>
  <c r="I151" i="24"/>
  <c r="E147" i="24"/>
  <c r="I147" i="24"/>
  <c r="E143" i="24"/>
  <c r="I143" i="24"/>
  <c r="E139" i="24"/>
  <c r="I139" i="24"/>
  <c r="E135" i="24"/>
  <c r="I135" i="24"/>
  <c r="E131" i="24"/>
  <c r="I131" i="24"/>
  <c r="E123" i="24"/>
  <c r="I123" i="24"/>
  <c r="E119" i="24"/>
  <c r="I119" i="24"/>
  <c r="E115" i="24"/>
  <c r="I115" i="24"/>
  <c r="E111" i="24"/>
  <c r="I111" i="24"/>
  <c r="E107" i="24"/>
  <c r="I107" i="24"/>
  <c r="E103" i="24"/>
  <c r="I103" i="24"/>
  <c r="E99" i="24"/>
  <c r="I99" i="24"/>
  <c r="E95" i="24"/>
  <c r="I95" i="24"/>
  <c r="E91" i="24"/>
  <c r="I91" i="24"/>
  <c r="E83" i="24"/>
  <c r="I83" i="24"/>
  <c r="E71" i="24"/>
  <c r="I71" i="24"/>
  <c r="E59" i="24"/>
  <c r="I59" i="24"/>
  <c r="E43" i="24"/>
  <c r="I43" i="24"/>
  <c r="E27" i="24"/>
  <c r="I27" i="24"/>
  <c r="E15" i="24"/>
  <c r="I15" i="24"/>
  <c r="E146" i="24"/>
  <c r="I146" i="24"/>
  <c r="E134" i="24"/>
  <c r="I134" i="24"/>
  <c r="E118" i="24"/>
  <c r="I118" i="24"/>
  <c r="E106" i="24"/>
  <c r="I106" i="24"/>
  <c r="E90" i="24"/>
  <c r="I90" i="24"/>
  <c r="E78" i="24"/>
  <c r="I78" i="24"/>
  <c r="E66" i="24"/>
  <c r="I66" i="24"/>
  <c r="E54" i="24"/>
  <c r="I54" i="24"/>
  <c r="E38" i="24"/>
  <c r="I38" i="24"/>
  <c r="E22" i="24"/>
  <c r="I22" i="24"/>
  <c r="E14" i="24"/>
  <c r="I14" i="24"/>
  <c r="E6" i="24"/>
  <c r="I6" i="24"/>
  <c r="E152" i="24"/>
  <c r="I152" i="24"/>
  <c r="E148" i="24"/>
  <c r="I148" i="24"/>
  <c r="E144" i="24"/>
  <c r="I144" i="24"/>
  <c r="E140" i="24"/>
  <c r="I140" i="24"/>
  <c r="E136" i="24"/>
  <c r="I136" i="24"/>
  <c r="E132" i="24"/>
  <c r="I132" i="24"/>
  <c r="E128" i="24"/>
  <c r="I128" i="24"/>
  <c r="E124" i="24"/>
  <c r="I124" i="24"/>
  <c r="E120" i="24"/>
  <c r="I120" i="24"/>
  <c r="E116" i="24"/>
  <c r="I116" i="24"/>
  <c r="E112" i="24"/>
  <c r="I112" i="24"/>
  <c r="E108" i="24"/>
  <c r="I108" i="24"/>
  <c r="E104" i="24"/>
  <c r="I104" i="24"/>
  <c r="E64" i="24"/>
  <c r="I64" i="24"/>
  <c r="E48" i="24"/>
  <c r="I48" i="24"/>
  <c r="E87" i="24"/>
  <c r="I87" i="24"/>
  <c r="E79" i="24"/>
  <c r="I79" i="24"/>
  <c r="E75" i="24"/>
  <c r="I75" i="24"/>
  <c r="E67" i="24"/>
  <c r="I67" i="24"/>
  <c r="E63" i="24"/>
  <c r="I63" i="24"/>
  <c r="E55" i="24"/>
  <c r="I55" i="24"/>
  <c r="E51" i="24"/>
  <c r="I51" i="24"/>
  <c r="E47" i="24"/>
  <c r="I47" i="24"/>
  <c r="E39" i="24"/>
  <c r="I39" i="24"/>
  <c r="E35" i="24"/>
  <c r="I35" i="24"/>
  <c r="E31" i="24"/>
  <c r="I31" i="24"/>
  <c r="E23" i="24"/>
  <c r="I23" i="24"/>
  <c r="E19" i="24"/>
  <c r="I19" i="24"/>
  <c r="E11" i="24"/>
  <c r="I11" i="24"/>
  <c r="E154" i="24"/>
  <c r="I154" i="24"/>
  <c r="E150" i="24"/>
  <c r="I150" i="24"/>
  <c r="E142" i="24"/>
  <c r="I142" i="24"/>
  <c r="E138" i="24"/>
  <c r="I138" i="24"/>
  <c r="E130" i="24"/>
  <c r="I130" i="24"/>
  <c r="E126" i="24"/>
  <c r="I126" i="24"/>
  <c r="E122" i="24"/>
  <c r="I122" i="24"/>
  <c r="E114" i="24"/>
  <c r="I114" i="24"/>
  <c r="E110" i="24"/>
  <c r="I110" i="24"/>
  <c r="E102" i="24"/>
  <c r="I102" i="24"/>
  <c r="E98" i="24"/>
  <c r="I98" i="24"/>
  <c r="E94" i="24"/>
  <c r="I94" i="24"/>
  <c r="E86" i="24"/>
  <c r="I86" i="24"/>
  <c r="E82" i="24"/>
  <c r="I82" i="24"/>
  <c r="E74" i="24"/>
  <c r="I74" i="24"/>
  <c r="E70" i="24"/>
  <c r="I70" i="24"/>
  <c r="E62" i="24"/>
  <c r="I62" i="24"/>
  <c r="E58" i="24"/>
  <c r="I58" i="24"/>
  <c r="E50" i="24"/>
  <c r="I50" i="24"/>
  <c r="E46" i="24"/>
  <c r="I46" i="24"/>
  <c r="E42" i="24"/>
  <c r="I42" i="24"/>
  <c r="E34" i="24"/>
  <c r="I34" i="24"/>
  <c r="E30" i="24"/>
  <c r="I30" i="24"/>
  <c r="E26" i="24"/>
  <c r="I26" i="24"/>
  <c r="E18" i="24"/>
  <c r="I18" i="24"/>
  <c r="E10" i="24"/>
  <c r="I10" i="24"/>
  <c r="E153" i="24"/>
  <c r="I153" i="24"/>
  <c r="E149" i="24"/>
  <c r="I149" i="24"/>
  <c r="E145" i="24"/>
  <c r="I145" i="24"/>
  <c r="E137" i="24"/>
  <c r="I137" i="24"/>
  <c r="E133" i="24"/>
  <c r="I133" i="24"/>
  <c r="E129" i="24"/>
  <c r="I129" i="24"/>
  <c r="E125" i="24"/>
  <c r="I125" i="24"/>
  <c r="E121" i="24"/>
  <c r="I121" i="24"/>
  <c r="E117" i="24"/>
  <c r="I117" i="24"/>
  <c r="E113" i="24"/>
  <c r="I113" i="24"/>
  <c r="E109" i="24"/>
  <c r="I109" i="24"/>
  <c r="E105" i="24"/>
  <c r="I105" i="24"/>
  <c r="E101" i="24"/>
  <c r="I101" i="24"/>
  <c r="E97" i="24"/>
  <c r="I97" i="24"/>
  <c r="E93" i="24"/>
  <c r="I93" i="24"/>
  <c r="E89" i="24"/>
  <c r="I89" i="24"/>
  <c r="E85" i="24"/>
  <c r="I85" i="24"/>
  <c r="E81" i="24"/>
  <c r="I81" i="24"/>
  <c r="E77" i="24"/>
  <c r="I77" i="24"/>
  <c r="E73" i="24"/>
  <c r="I73" i="24"/>
  <c r="E69" i="24"/>
  <c r="I69" i="24"/>
  <c r="E65" i="24"/>
  <c r="I65" i="24"/>
  <c r="E61" i="24"/>
  <c r="I61" i="24"/>
  <c r="E57" i="24"/>
  <c r="I57" i="24"/>
  <c r="E53" i="24"/>
  <c r="I53" i="24"/>
  <c r="E49" i="24"/>
  <c r="I49" i="24"/>
  <c r="E45" i="24"/>
  <c r="I45" i="24"/>
  <c r="E41" i="24"/>
  <c r="I41" i="24"/>
  <c r="E37" i="24"/>
  <c r="I37" i="24"/>
  <c r="E33" i="24"/>
  <c r="I33" i="24"/>
  <c r="E29" i="24"/>
  <c r="I29" i="24"/>
  <c r="E25" i="24"/>
  <c r="I25" i="24"/>
  <c r="E21" i="24"/>
  <c r="I21" i="24"/>
  <c r="E17" i="24"/>
  <c r="I17" i="24"/>
  <c r="E13" i="24"/>
  <c r="I13" i="24"/>
  <c r="E9" i="24"/>
  <c r="I9" i="24"/>
  <c r="M9" i="17" l="1"/>
  <c r="M11" i="17"/>
  <c r="M14" i="17"/>
  <c r="M141" i="17" l="1"/>
  <c r="M84" i="17"/>
  <c r="M7" i="17"/>
  <c r="M127" i="17"/>
  <c r="M127" i="24"/>
  <c r="E127" i="24"/>
  <c r="I127" i="24"/>
  <c r="M84" i="24"/>
  <c r="E84" i="24"/>
  <c r="I84" i="24"/>
  <c r="M7" i="24"/>
  <c r="I7" i="24"/>
  <c r="E7" i="24"/>
  <c r="E141" i="24"/>
  <c r="M141" i="24"/>
  <c r="I141" i="24"/>
  <c r="M157" i="24" l="1"/>
  <c r="I127" i="17"/>
  <c r="I7" i="17"/>
  <c r="I141" i="17"/>
  <c r="I84" i="17"/>
  <c r="B122" i="2" l="1"/>
  <c r="B123" i="2"/>
  <c r="I45" i="17" l="1"/>
  <c r="I137" i="17"/>
  <c r="I14" i="17"/>
  <c r="I125" i="17"/>
  <c r="AF156" i="17" l="1"/>
  <c r="AF153" i="17"/>
  <c r="AF149" i="17"/>
  <c r="AF145" i="17"/>
  <c r="AF141" i="17"/>
  <c r="AF137" i="17"/>
  <c r="AF133" i="17"/>
  <c r="AF129" i="17"/>
  <c r="AF125" i="17"/>
  <c r="AF121" i="17"/>
  <c r="AF117" i="17"/>
  <c r="AF113" i="17"/>
  <c r="AF109" i="17"/>
  <c r="AF105" i="17"/>
  <c r="AF101" i="17"/>
  <c r="AF97" i="17"/>
  <c r="AF93" i="17"/>
  <c r="AF89" i="17"/>
  <c r="AF85" i="17"/>
  <c r="AF81" i="17"/>
  <c r="AF77" i="17"/>
  <c r="AF73" i="17"/>
  <c r="AF69" i="17"/>
  <c r="AF65" i="17"/>
  <c r="AF61" i="17"/>
  <c r="AF57" i="17"/>
  <c r="AF53" i="17"/>
  <c r="AF49" i="17"/>
  <c r="AF45" i="17"/>
  <c r="AF41" i="17"/>
  <c r="AF37" i="17"/>
  <c r="AF33" i="17"/>
  <c r="AF29" i="17"/>
  <c r="AF25" i="17"/>
  <c r="AF21" i="17"/>
  <c r="AF17" i="17"/>
  <c r="AF13" i="17"/>
  <c r="AF9" i="17"/>
  <c r="AF152" i="17"/>
  <c r="AF148" i="17"/>
  <c r="AF144" i="17"/>
  <c r="AF140" i="17"/>
  <c r="AF136" i="17"/>
  <c r="AF132" i="17"/>
  <c r="AF128" i="17"/>
  <c r="AF124" i="17"/>
  <c r="AF120" i="17"/>
  <c r="AF116" i="17"/>
  <c r="AF112" i="17"/>
  <c r="AF108" i="17"/>
  <c r="AF104" i="17"/>
  <c r="AF100" i="17"/>
  <c r="AF96" i="17"/>
  <c r="AF92" i="17"/>
  <c r="AF88" i="17"/>
  <c r="AF84" i="17"/>
  <c r="AF80" i="17"/>
  <c r="AF76" i="17"/>
  <c r="AF72" i="17"/>
  <c r="AF68" i="17"/>
  <c r="AF64" i="17"/>
  <c r="AF60" i="17"/>
  <c r="AF56" i="17"/>
  <c r="AF52" i="17"/>
  <c r="AF48" i="17"/>
  <c r="AF44" i="17"/>
  <c r="AF40" i="17"/>
  <c r="AF36" i="17"/>
  <c r="AF32" i="17"/>
  <c r="AF28" i="17"/>
  <c r="AF24" i="17"/>
  <c r="AF20" i="17"/>
  <c r="AF16" i="17"/>
  <c r="AF12" i="17"/>
  <c r="AF8" i="17"/>
  <c r="AF155" i="17"/>
  <c r="AF151" i="17"/>
  <c r="AF147" i="17"/>
  <c r="AF143" i="17"/>
  <c r="AF139" i="17"/>
  <c r="AF135" i="17"/>
  <c r="AF131" i="17"/>
  <c r="AF127" i="17"/>
  <c r="AF123" i="17"/>
  <c r="AF119" i="17"/>
  <c r="AF115" i="17"/>
  <c r="AF111" i="17"/>
  <c r="AF107" i="17"/>
  <c r="AF103" i="17"/>
  <c r="AF99" i="17"/>
  <c r="AF95" i="17"/>
  <c r="AF91" i="17"/>
  <c r="AF87" i="17"/>
  <c r="AF83" i="17"/>
  <c r="AF79" i="17"/>
  <c r="AF75" i="17"/>
  <c r="AF71" i="17"/>
  <c r="AF67" i="17"/>
  <c r="AF63" i="17"/>
  <c r="AF59" i="17"/>
  <c r="AF55" i="17"/>
  <c r="AF51" i="17"/>
  <c r="AF47" i="17"/>
  <c r="AF43" i="17"/>
  <c r="AF39" i="17"/>
  <c r="AF35" i="17"/>
  <c r="AF31" i="17"/>
  <c r="AF27" i="17"/>
  <c r="AF23" i="17"/>
  <c r="AF19" i="17"/>
  <c r="AF15" i="17"/>
  <c r="AF11" i="17"/>
  <c r="AF7" i="17"/>
  <c r="AF154" i="17"/>
  <c r="AF150" i="17"/>
  <c r="AF146" i="17"/>
  <c r="AF142" i="17"/>
  <c r="AF138" i="17"/>
  <c r="AF134" i="17"/>
  <c r="AF130" i="17"/>
  <c r="AF126" i="17"/>
  <c r="AF122" i="17"/>
  <c r="AF118" i="17"/>
  <c r="AF114" i="17"/>
  <c r="AF110" i="17"/>
  <c r="AF106" i="17"/>
  <c r="AF102" i="17"/>
  <c r="AF98" i="17"/>
  <c r="AF94" i="17"/>
  <c r="AF90" i="17"/>
  <c r="AF86" i="17"/>
  <c r="AF82" i="17"/>
  <c r="AF78" i="17"/>
  <c r="AF74" i="17"/>
  <c r="AF70" i="17"/>
  <c r="AF66" i="17"/>
  <c r="AF62" i="17"/>
  <c r="AF58" i="17"/>
  <c r="AF54" i="17"/>
  <c r="AF50" i="17"/>
  <c r="AF46" i="17"/>
  <c r="AF42" i="17"/>
  <c r="AF38" i="17"/>
  <c r="AF34" i="17"/>
  <c r="AF30" i="17"/>
  <c r="AF26" i="17"/>
  <c r="AF22" i="17"/>
  <c r="AF18" i="17"/>
  <c r="AF14" i="17"/>
  <c r="AF10" i="17"/>
  <c r="AF6" i="17"/>
  <c r="B6" i="27" l="1"/>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54" i="27"/>
  <c r="B55" i="27"/>
  <c r="B56" i="27"/>
  <c r="B57" i="27"/>
  <c r="B58" i="27"/>
  <c r="B59" i="27"/>
  <c r="B60" i="27"/>
  <c r="B61" i="27"/>
  <c r="B62" i="27"/>
  <c r="B63" i="27"/>
  <c r="B64" i="27"/>
  <c r="B65" i="27"/>
  <c r="B66" i="27"/>
  <c r="B67" i="27"/>
  <c r="B68" i="27"/>
  <c r="B69" i="27"/>
  <c r="B70" i="27"/>
  <c r="B71" i="27"/>
  <c r="B72" i="27"/>
  <c r="B73" i="27"/>
  <c r="B74" i="27"/>
  <c r="B75" i="27"/>
  <c r="B76" i="27"/>
  <c r="B77" i="27"/>
  <c r="B78" i="27"/>
  <c r="B79" i="27"/>
  <c r="B80" i="27"/>
  <c r="B81" i="27"/>
  <c r="B82" i="27"/>
  <c r="B83" i="27"/>
  <c r="B84" i="27"/>
  <c r="B85" i="27"/>
  <c r="B86" i="27"/>
  <c r="B87" i="27"/>
  <c r="B88" i="27"/>
  <c r="B89" i="27"/>
  <c r="B90" i="27"/>
  <c r="B91" i="27"/>
  <c r="B92" i="27"/>
  <c r="B93" i="27"/>
  <c r="B94" i="27"/>
  <c r="B95" i="27"/>
  <c r="B96" i="27"/>
  <c r="B97" i="27"/>
  <c r="B98" i="27"/>
  <c r="B99" i="27"/>
  <c r="B100" i="27"/>
  <c r="B101" i="27"/>
  <c r="B102" i="27"/>
  <c r="B103" i="27"/>
  <c r="B104" i="27"/>
  <c r="B105" i="27"/>
  <c r="B106" i="27"/>
  <c r="B107" i="27"/>
  <c r="B108" i="27"/>
  <c r="B109" i="27"/>
  <c r="B110" i="27"/>
  <c r="B111" i="27"/>
  <c r="B112" i="27"/>
  <c r="B113" i="27"/>
  <c r="B114" i="27"/>
  <c r="B115" i="27"/>
  <c r="B116" i="27"/>
  <c r="B117" i="27"/>
  <c r="B118" i="27"/>
  <c r="B119" i="27"/>
  <c r="B120" i="27"/>
  <c r="B121" i="27"/>
  <c r="B122" i="27"/>
  <c r="B123" i="27"/>
  <c r="B124" i="27"/>
  <c r="B125" i="27"/>
  <c r="B126" i="27"/>
  <c r="B127" i="27"/>
  <c r="B128" i="27"/>
  <c r="B129" i="27"/>
  <c r="B130" i="27"/>
  <c r="B131" i="27"/>
  <c r="B132" i="27"/>
  <c r="B133" i="27"/>
  <c r="B134" i="27"/>
  <c r="B135" i="27"/>
  <c r="B136" i="27"/>
  <c r="B137" i="27"/>
  <c r="B138" i="27"/>
  <c r="B139" i="27"/>
  <c r="B140" i="27"/>
  <c r="B5" i="27"/>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7" i="2"/>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7" i="1"/>
  <c r="I157" i="24" l="1"/>
  <c r="H6" i="17"/>
  <c r="H5" i="18" l="1"/>
  <c r="Q14" i="18" l="1"/>
  <c r="L14" i="18" s="1"/>
  <c r="N14" i="18" l="1"/>
  <c r="R17" i="18"/>
  <c r="R16" i="18"/>
  <c r="Q15" i="18"/>
  <c r="Q13" i="18"/>
  <c r="J7" i="18" l="1"/>
  <c r="N22" i="18"/>
  <c r="N23" i="18"/>
  <c r="N21" i="18"/>
  <c r="O25" i="18" l="1"/>
  <c r="O24" i="18"/>
  <c r="J19" i="18"/>
  <c r="J18" i="18"/>
  <c r="K8" i="18"/>
  <c r="H28" i="18" s="1"/>
  <c r="H29" i="18" s="1"/>
  <c r="H31" i="18" s="1"/>
  <c r="H33" i="18" s="1"/>
  <c r="G156" i="17" s="1"/>
  <c r="K12" i="18"/>
  <c r="K11" i="18"/>
  <c r="O23" i="18"/>
  <c r="O14" i="18"/>
  <c r="O22" i="18"/>
  <c r="N6" i="18"/>
  <c r="P24" i="18" l="1"/>
  <c r="P25" i="18"/>
  <c r="O19" i="18"/>
  <c r="N19" i="18"/>
  <c r="L9" i="18"/>
  <c r="P22" i="18"/>
  <c r="P23" i="18"/>
  <c r="N7" i="18"/>
  <c r="O7" i="18"/>
  <c r="E157" i="24" l="1"/>
  <c r="N12" i="18"/>
  <c r="L15" i="18"/>
  <c r="L13" i="18"/>
  <c r="Q12" i="18"/>
  <c r="N11" i="18"/>
  <c r="M17" i="18" l="1"/>
  <c r="M16" i="18"/>
  <c r="N8" i="18"/>
  <c r="L10" i="18"/>
  <c r="P8" i="18"/>
  <c r="O15" i="18"/>
  <c r="N15" i="18"/>
  <c r="R15" i="18"/>
  <c r="O13" i="18"/>
  <c r="N13" i="18"/>
  <c r="N9" i="18" l="1"/>
  <c r="P9" i="18"/>
  <c r="O9" i="18"/>
  <c r="P10" i="18"/>
  <c r="O10" i="18"/>
  <c r="N10" i="18"/>
  <c r="N16" i="18"/>
  <c r="Q16" i="18"/>
  <c r="O16" i="18"/>
  <c r="Q17" i="18"/>
  <c r="O17" i="18"/>
  <c r="N17" i="18"/>
  <c r="H57" i="17" l="1"/>
  <c r="H21" i="17"/>
  <c r="H33" i="17"/>
  <c r="H60" i="17"/>
  <c r="H150" i="17"/>
  <c r="H44" i="17"/>
  <c r="H19" i="17"/>
  <c r="H70" i="17"/>
  <c r="H47" i="17"/>
  <c r="H154" i="17"/>
  <c r="H117" i="17"/>
  <c r="H153" i="17"/>
  <c r="H129" i="17"/>
  <c r="H87" i="17"/>
  <c r="H116" i="17"/>
  <c r="H151" i="17"/>
  <c r="H74" i="17"/>
  <c r="H54" i="17"/>
  <c r="H53" i="17"/>
  <c r="H17" i="17"/>
  <c r="H94" i="17"/>
  <c r="H145" i="17"/>
  <c r="H88" i="17"/>
  <c r="H66" i="17"/>
  <c r="H84" i="17"/>
  <c r="H26" i="17"/>
  <c r="H72" i="17"/>
  <c r="H35" i="17"/>
  <c r="H59" i="17"/>
  <c r="H62" i="17"/>
  <c r="H149" i="17"/>
  <c r="H135" i="17"/>
  <c r="H123" i="17"/>
  <c r="H56" i="17"/>
  <c r="H147" i="17"/>
  <c r="H38" i="17"/>
  <c r="H108" i="17"/>
  <c r="H91" i="17"/>
  <c r="H133" i="17"/>
  <c r="H107" i="17"/>
  <c r="H46" i="17"/>
  <c r="H69" i="17"/>
  <c r="H41" i="17"/>
  <c r="H105" i="17"/>
  <c r="H52" i="17"/>
  <c r="H143" i="17"/>
  <c r="H113" i="17"/>
  <c r="H64" i="17"/>
  <c r="H27" i="17"/>
  <c r="H76" i="17"/>
  <c r="H20" i="17"/>
  <c r="H65" i="17"/>
  <c r="H97" i="17"/>
  <c r="H48" i="17"/>
  <c r="H148" i="17"/>
  <c r="H23" i="17"/>
  <c r="H80" i="17"/>
  <c r="H144" i="17"/>
  <c r="H99" i="17"/>
  <c r="H37" i="17"/>
  <c r="H58" i="17"/>
  <c r="H29" i="17"/>
  <c r="H112" i="17"/>
  <c r="H45" i="17"/>
  <c r="H40" i="17"/>
  <c r="H86" i="17"/>
  <c r="H43" i="17"/>
  <c r="H24" i="17"/>
  <c r="H30" i="17"/>
  <c r="H34" i="17"/>
  <c r="H92" i="17"/>
  <c r="H124" i="17"/>
  <c r="H28" i="17"/>
  <c r="H79" i="17"/>
  <c r="H126" i="17"/>
  <c r="H131" i="17"/>
  <c r="H98" i="17"/>
  <c r="H90" i="17"/>
  <c r="H136" i="17"/>
  <c r="H138" i="17"/>
  <c r="H121" i="17"/>
  <c r="H39" i="17"/>
  <c r="H25" i="17"/>
  <c r="H104" i="17" l="1"/>
  <c r="H8" i="17"/>
  <c r="P157" i="17"/>
  <c r="Q64" i="17" s="1"/>
  <c r="R64" i="17" s="1"/>
  <c r="G157" i="17"/>
  <c r="M157" i="17"/>
  <c r="N31" i="17" s="1"/>
  <c r="O31" i="17" s="1"/>
  <c r="S157" i="17"/>
  <c r="V157" i="17"/>
  <c r="W18" i="17" s="1"/>
  <c r="X18" i="17" s="1"/>
  <c r="AF157" i="17"/>
  <c r="F157" i="17"/>
  <c r="H101" i="17"/>
  <c r="H156" i="17"/>
  <c r="H81" i="17"/>
  <c r="H110" i="17"/>
  <c r="H73" i="17"/>
  <c r="H142" i="17"/>
  <c r="H85" i="17"/>
  <c r="H63" i="17"/>
  <c r="H152" i="17"/>
  <c r="H96" i="17"/>
  <c r="H75" i="17"/>
  <c r="H16" i="17"/>
  <c r="H155" i="17"/>
  <c r="H49" i="17"/>
  <c r="H125" i="17"/>
  <c r="H134" i="17"/>
  <c r="H78" i="17"/>
  <c r="H13" i="17"/>
  <c r="H119" i="17"/>
  <c r="H77" i="17"/>
  <c r="H132" i="17"/>
  <c r="H103" i="17"/>
  <c r="H106" i="17"/>
  <c r="H139" i="17"/>
  <c r="H93" i="17"/>
  <c r="H18" i="17"/>
  <c r="H115" i="17"/>
  <c r="H14" i="17"/>
  <c r="H32" i="17"/>
  <c r="H36" i="17"/>
  <c r="H114" i="17"/>
  <c r="H120" i="17"/>
  <c r="H83" i="17"/>
  <c r="H128" i="17"/>
  <c r="H10" i="17"/>
  <c r="H51" i="17"/>
  <c r="H82" i="17"/>
  <c r="H67" i="17"/>
  <c r="H102" i="17"/>
  <c r="H11" i="17"/>
  <c r="H100" i="17"/>
  <c r="H140" i="17"/>
  <c r="H9" i="17"/>
  <c r="H141" i="17"/>
  <c r="H122" i="17"/>
  <c r="H55" i="17"/>
  <c r="H31" i="17"/>
  <c r="H61" i="17"/>
  <c r="H12" i="17"/>
  <c r="H42" i="17"/>
  <c r="H15" i="17"/>
  <c r="H95" i="17"/>
  <c r="H71" i="17"/>
  <c r="H146" i="17"/>
  <c r="H50" i="17"/>
  <c r="H68" i="17"/>
  <c r="H89" i="17"/>
  <c r="H137" i="17"/>
  <c r="H127" i="17"/>
  <c r="H118" i="17"/>
  <c r="H111" i="17"/>
  <c r="H22" i="17"/>
  <c r="H130" i="17"/>
  <c r="H109" i="17"/>
  <c r="H7" i="17"/>
  <c r="N40" i="17" l="1"/>
  <c r="N155" i="17"/>
  <c r="Q42" i="17"/>
  <c r="R42" i="17" s="1"/>
  <c r="Q144" i="17"/>
  <c r="R144" i="17" s="1"/>
  <c r="Q149" i="17"/>
  <c r="R149" i="17" s="1"/>
  <c r="N111" i="17"/>
  <c r="O111" i="17" s="1"/>
  <c r="N124" i="17"/>
  <c r="N116" i="17"/>
  <c r="N144" i="17"/>
  <c r="N32" i="17"/>
  <c r="N12" i="17"/>
  <c r="N134" i="17"/>
  <c r="N41" i="17"/>
  <c r="N26" i="17"/>
  <c r="N50" i="17"/>
  <c r="N63" i="17"/>
  <c r="N14" i="17"/>
  <c r="O14" i="17" s="1"/>
  <c r="T106" i="17"/>
  <c r="U106" i="17" s="1"/>
  <c r="T148" i="17"/>
  <c r="U148" i="17" s="1"/>
  <c r="T109" i="17"/>
  <c r="U109" i="17" s="1"/>
  <c r="Q134" i="17"/>
  <c r="R134" i="17" s="1"/>
  <c r="T89" i="17"/>
  <c r="U89" i="17" s="1"/>
  <c r="T149" i="17"/>
  <c r="U149" i="17" s="1"/>
  <c r="Q150" i="17"/>
  <c r="R150" i="17" s="1"/>
  <c r="Q133" i="17"/>
  <c r="R133" i="17" s="1"/>
  <c r="T91" i="17"/>
  <c r="U91" i="17" s="1"/>
  <c r="T39" i="17"/>
  <c r="U39" i="17" s="1"/>
  <c r="Q99" i="17"/>
  <c r="R99" i="17" s="1"/>
  <c r="T139" i="17"/>
  <c r="U139" i="17" s="1"/>
  <c r="T144" i="17"/>
  <c r="U144" i="17" s="1"/>
  <c r="Q52" i="17"/>
  <c r="R52" i="17" s="1"/>
  <c r="N90" i="17"/>
  <c r="T146" i="17"/>
  <c r="U146" i="17" s="1"/>
  <c r="T65" i="17"/>
  <c r="U65" i="17" s="1"/>
  <c r="Q117" i="17"/>
  <c r="R117" i="17" s="1"/>
  <c r="T44" i="17"/>
  <c r="U44" i="17" s="1"/>
  <c r="T61" i="17"/>
  <c r="U61" i="17" s="1"/>
  <c r="T85" i="17"/>
  <c r="U85" i="17" s="1"/>
  <c r="Q104" i="17"/>
  <c r="R104" i="17" s="1"/>
  <c r="Q90" i="17"/>
  <c r="R90" i="17" s="1"/>
  <c r="T34" i="17"/>
  <c r="U34" i="17" s="1"/>
  <c r="Q110" i="17"/>
  <c r="R110" i="17" s="1"/>
  <c r="T22" i="17"/>
  <c r="U22" i="17" s="1"/>
  <c r="Q94" i="17"/>
  <c r="R94" i="17" s="1"/>
  <c r="Q93" i="17"/>
  <c r="R93" i="17" s="1"/>
  <c r="T50" i="17"/>
  <c r="U50" i="17" s="1"/>
  <c r="T105" i="17"/>
  <c r="U105" i="17" s="1"/>
  <c r="Q92" i="17"/>
  <c r="R92" i="17" s="1"/>
  <c r="Q53" i="17"/>
  <c r="R53" i="17" s="1"/>
  <c r="Q55" i="17"/>
  <c r="R55" i="17" s="1"/>
  <c r="T20" i="17"/>
  <c r="U20" i="17" s="1"/>
  <c r="T59" i="17"/>
  <c r="U59" i="17" s="1"/>
  <c r="T15" i="17"/>
  <c r="U15" i="17" s="1"/>
  <c r="T31" i="17"/>
  <c r="U31" i="17" s="1"/>
  <c r="T14" i="17"/>
  <c r="U14" i="17" s="1"/>
  <c r="T132" i="17"/>
  <c r="U132" i="17" s="1"/>
  <c r="T13" i="17"/>
  <c r="U13" i="17" s="1"/>
  <c r="T23" i="17"/>
  <c r="U23" i="17" s="1"/>
  <c r="Q27" i="17"/>
  <c r="R27" i="17" s="1"/>
  <c r="T104" i="17"/>
  <c r="U104" i="17" s="1"/>
  <c r="T138" i="17"/>
  <c r="U138" i="17" s="1"/>
  <c r="T83" i="17"/>
  <c r="U83" i="17" s="1"/>
  <c r="T93" i="17"/>
  <c r="U93" i="17" s="1"/>
  <c r="T29" i="17"/>
  <c r="U29" i="17" s="1"/>
  <c r="T153" i="17"/>
  <c r="U153" i="17" s="1"/>
  <c r="Q83" i="17"/>
  <c r="R83" i="17" s="1"/>
  <c r="Q35" i="17"/>
  <c r="R35" i="17" s="1"/>
  <c r="Q7" i="17"/>
  <c r="R7" i="17" s="1"/>
  <c r="Q95" i="17"/>
  <c r="R95" i="17" s="1"/>
  <c r="Q132" i="17"/>
  <c r="R132" i="17" s="1"/>
  <c r="T19" i="17"/>
  <c r="U19" i="17" s="1"/>
  <c r="T37" i="17"/>
  <c r="U37" i="17" s="1"/>
  <c r="T133" i="17"/>
  <c r="U133" i="17" s="1"/>
  <c r="T122" i="17"/>
  <c r="U122" i="17" s="1"/>
  <c r="T71" i="17"/>
  <c r="U71" i="17" s="1"/>
  <c r="T140" i="17"/>
  <c r="U140" i="17" s="1"/>
  <c r="Q28" i="17"/>
  <c r="R28" i="17" s="1"/>
  <c r="Q73" i="17"/>
  <c r="R73" i="17" s="1"/>
  <c r="T143" i="17"/>
  <c r="U143" i="17" s="1"/>
  <c r="T55" i="17"/>
  <c r="U55" i="17" s="1"/>
  <c r="T131" i="17"/>
  <c r="U131" i="17" s="1"/>
  <c r="T70" i="17"/>
  <c r="U70" i="17" s="1"/>
  <c r="T76" i="17"/>
  <c r="U76" i="17" s="1"/>
  <c r="Q81" i="17"/>
  <c r="R81" i="17" s="1"/>
  <c r="Q87" i="17"/>
  <c r="R87" i="17" s="1"/>
  <c r="Q103" i="17"/>
  <c r="R103" i="17" s="1"/>
  <c r="Q85" i="17"/>
  <c r="R85" i="17" s="1"/>
  <c r="Q79" i="17"/>
  <c r="R79" i="17" s="1"/>
  <c r="Q84" i="17"/>
  <c r="R84" i="17" s="1"/>
  <c r="Q14" i="17"/>
  <c r="R14" i="17" s="1"/>
  <c r="N66" i="17"/>
  <c r="N87" i="17"/>
  <c r="N97" i="17"/>
  <c r="N34" i="17"/>
  <c r="N130" i="17"/>
  <c r="N141" i="17"/>
  <c r="N10" i="17"/>
  <c r="N28" i="17"/>
  <c r="N49" i="17"/>
  <c r="N154" i="17"/>
  <c r="N114" i="17"/>
  <c r="N93" i="17"/>
  <c r="N88" i="17"/>
  <c r="N60" i="17"/>
  <c r="N39" i="17"/>
  <c r="N74" i="17"/>
  <c r="N59" i="17"/>
  <c r="N8" i="17"/>
  <c r="N13" i="17"/>
  <c r="N86" i="17"/>
  <c r="N33" i="17"/>
  <c r="N132" i="17"/>
  <c r="N44" i="17"/>
  <c r="N110" i="17"/>
  <c r="N65" i="17"/>
  <c r="N27" i="17"/>
  <c r="N101" i="17"/>
  <c r="N96" i="17"/>
  <c r="N95" i="17"/>
  <c r="N153" i="17"/>
  <c r="N11" i="17"/>
  <c r="N83" i="17"/>
  <c r="N9" i="17"/>
  <c r="N102" i="17"/>
  <c r="N98" i="17"/>
  <c r="N107" i="17"/>
  <c r="N53" i="17"/>
  <c r="N120" i="17"/>
  <c r="N152" i="17"/>
  <c r="N78" i="17"/>
  <c r="N35" i="17"/>
  <c r="N148" i="17"/>
  <c r="N71" i="17"/>
  <c r="N20" i="17"/>
  <c r="N7" i="17"/>
  <c r="T119" i="17"/>
  <c r="U119" i="17" s="1"/>
  <c r="T118" i="17"/>
  <c r="U118" i="17" s="1"/>
  <c r="T95" i="17"/>
  <c r="U95" i="17" s="1"/>
  <c r="T79" i="17"/>
  <c r="U79" i="17" s="1"/>
  <c r="T87" i="17"/>
  <c r="U87" i="17" s="1"/>
  <c r="T90" i="17"/>
  <c r="U90" i="17" s="1"/>
  <c r="Q63" i="17"/>
  <c r="R63" i="17" s="1"/>
  <c r="T81" i="17"/>
  <c r="U81" i="17" s="1"/>
  <c r="Q138" i="17"/>
  <c r="R138" i="17" s="1"/>
  <c r="Q57" i="17"/>
  <c r="R57" i="17" s="1"/>
  <c r="Q112" i="17"/>
  <c r="R112" i="17" s="1"/>
  <c r="T136" i="17"/>
  <c r="U136" i="17" s="1"/>
  <c r="T137" i="17"/>
  <c r="U137" i="17" s="1"/>
  <c r="T86" i="17"/>
  <c r="U86" i="17" s="1"/>
  <c r="T141" i="17"/>
  <c r="U141" i="17" s="1"/>
  <c r="T116" i="17"/>
  <c r="U116" i="17" s="1"/>
  <c r="T84" i="17"/>
  <c r="U84" i="17" s="1"/>
  <c r="Q107" i="17"/>
  <c r="R107" i="17" s="1"/>
  <c r="Q113" i="17"/>
  <c r="R113" i="17" s="1"/>
  <c r="Q122" i="17"/>
  <c r="R122" i="17" s="1"/>
  <c r="Q11" i="17"/>
  <c r="R11" i="17" s="1"/>
  <c r="Q97" i="17"/>
  <c r="R97" i="17" s="1"/>
  <c r="Q120" i="17"/>
  <c r="R120" i="17" s="1"/>
  <c r="T80" i="17"/>
  <c r="U80" i="17" s="1"/>
  <c r="H157" i="17"/>
  <c r="T43" i="17"/>
  <c r="U43" i="17" s="1"/>
  <c r="T60" i="17"/>
  <c r="U60" i="17" s="1"/>
  <c r="T47" i="17"/>
  <c r="U47" i="17" s="1"/>
  <c r="T120" i="17"/>
  <c r="U120" i="17" s="1"/>
  <c r="T57" i="17"/>
  <c r="U57" i="17" s="1"/>
  <c r="T36" i="17"/>
  <c r="U36" i="17" s="1"/>
  <c r="T114" i="17"/>
  <c r="U114" i="17" s="1"/>
  <c r="T40" i="17"/>
  <c r="U40" i="17" s="1"/>
  <c r="T24" i="17"/>
  <c r="U24" i="17" s="1"/>
  <c r="T56" i="17"/>
  <c r="U56" i="17" s="1"/>
  <c r="T121" i="17"/>
  <c r="U121" i="17" s="1"/>
  <c r="T33" i="17"/>
  <c r="U33" i="17" s="1"/>
  <c r="T107" i="17"/>
  <c r="U107" i="17" s="1"/>
  <c r="T63" i="17"/>
  <c r="U63" i="17" s="1"/>
  <c r="T102" i="17"/>
  <c r="U102" i="17" s="1"/>
  <c r="T100" i="17"/>
  <c r="U100" i="17" s="1"/>
  <c r="T129" i="17"/>
  <c r="U129" i="17" s="1"/>
  <c r="T154" i="17"/>
  <c r="U154" i="17" s="1"/>
  <c r="T64" i="17"/>
  <c r="U64" i="17" s="1"/>
  <c r="T51" i="17"/>
  <c r="U51" i="17" s="1"/>
  <c r="T125" i="17"/>
  <c r="U125" i="17" s="1"/>
  <c r="T88" i="17"/>
  <c r="U88" i="17" s="1"/>
  <c r="T6" i="17"/>
  <c r="U6" i="17" s="1"/>
  <c r="T25" i="17"/>
  <c r="U25" i="17" s="1"/>
  <c r="T48" i="17"/>
  <c r="U48" i="17" s="1"/>
  <c r="T49" i="17"/>
  <c r="U49" i="17" s="1"/>
  <c r="T62" i="17"/>
  <c r="U62" i="17" s="1"/>
  <c r="T94" i="17"/>
  <c r="U94" i="17" s="1"/>
  <c r="T111" i="17"/>
  <c r="U111" i="17" s="1"/>
  <c r="T18" i="17"/>
  <c r="U18" i="17" s="1"/>
  <c r="T155" i="17"/>
  <c r="U155" i="17" s="1"/>
  <c r="T126" i="17"/>
  <c r="U126" i="17" s="1"/>
  <c r="T151" i="17"/>
  <c r="U151" i="17" s="1"/>
  <c r="T46" i="17"/>
  <c r="U46" i="17" s="1"/>
  <c r="T150" i="17"/>
  <c r="U150" i="17" s="1"/>
  <c r="T135" i="17"/>
  <c r="U135" i="17" s="1"/>
  <c r="T69" i="17"/>
  <c r="U69" i="17" s="1"/>
  <c r="T99" i="17"/>
  <c r="U99" i="17" s="1"/>
  <c r="T28" i="17"/>
  <c r="U28" i="17" s="1"/>
  <c r="T53" i="17"/>
  <c r="U53" i="17" s="1"/>
  <c r="T130" i="17"/>
  <c r="U130" i="17" s="1"/>
  <c r="T152" i="17"/>
  <c r="U152" i="17" s="1"/>
  <c r="T17" i="17"/>
  <c r="U17" i="17" s="1"/>
  <c r="T10" i="17"/>
  <c r="U10" i="17" s="1"/>
  <c r="T9" i="17"/>
  <c r="U9" i="17" s="1"/>
  <c r="T117" i="17"/>
  <c r="U117" i="17" s="1"/>
  <c r="T96" i="17"/>
  <c r="U96" i="17" s="1"/>
  <c r="T112" i="17"/>
  <c r="U112" i="17" s="1"/>
  <c r="T35" i="17"/>
  <c r="U35" i="17" s="1"/>
  <c r="T75" i="17"/>
  <c r="U75" i="17" s="1"/>
  <c r="T103" i="17"/>
  <c r="U103" i="17" s="1"/>
  <c r="T156" i="17"/>
  <c r="U156" i="17" s="1"/>
  <c r="T74" i="17"/>
  <c r="U74" i="17" s="1"/>
  <c r="T54" i="17"/>
  <c r="U54" i="17" s="1"/>
  <c r="T26" i="17"/>
  <c r="U26" i="17" s="1"/>
  <c r="T142" i="17"/>
  <c r="U142" i="17" s="1"/>
  <c r="T77" i="17"/>
  <c r="U77" i="17" s="1"/>
  <c r="T38" i="17"/>
  <c r="U38" i="17" s="1"/>
  <c r="T58" i="17"/>
  <c r="U58" i="17" s="1"/>
  <c r="T108" i="17"/>
  <c r="U108" i="17" s="1"/>
  <c r="T42" i="17"/>
  <c r="U42" i="17" s="1"/>
  <c r="T52" i="17"/>
  <c r="U52" i="17" s="1"/>
  <c r="T12" i="17"/>
  <c r="U12" i="17" s="1"/>
  <c r="T82" i="17"/>
  <c r="U82" i="17" s="1"/>
  <c r="T73" i="17"/>
  <c r="U73" i="17" s="1"/>
  <c r="T16" i="17"/>
  <c r="U16" i="17" s="1"/>
  <c r="T128" i="17"/>
  <c r="U128" i="17" s="1"/>
  <c r="T113" i="17"/>
  <c r="U113" i="17" s="1"/>
  <c r="T68" i="17"/>
  <c r="U68" i="17" s="1"/>
  <c r="T145" i="17"/>
  <c r="U145" i="17" s="1"/>
  <c r="T7" i="17"/>
  <c r="U7" i="17" s="1"/>
  <c r="T41" i="17"/>
  <c r="U41" i="17" s="1"/>
  <c r="T147" i="17"/>
  <c r="U147" i="17" s="1"/>
  <c r="T115" i="17"/>
  <c r="U115" i="17" s="1"/>
  <c r="T72" i="17"/>
  <c r="U72" i="17" s="1"/>
  <c r="T101" i="17"/>
  <c r="U101" i="17" s="1"/>
  <c r="T127" i="17"/>
  <c r="U127" i="17" s="1"/>
  <c r="T92" i="17"/>
  <c r="U92" i="17" s="1"/>
  <c r="T97" i="17"/>
  <c r="U97" i="17" s="1"/>
  <c r="T32" i="17"/>
  <c r="U32" i="17" s="1"/>
  <c r="T110" i="17"/>
  <c r="U110" i="17" s="1"/>
  <c r="T30" i="17"/>
  <c r="U30" i="17" s="1"/>
  <c r="T8" i="17"/>
  <c r="U8" i="17" s="1"/>
  <c r="T11" i="17"/>
  <c r="U11" i="17" s="1"/>
  <c r="T67" i="17"/>
  <c r="U67" i="17" s="1"/>
  <c r="T78" i="17"/>
  <c r="U78" i="17" s="1"/>
  <c r="T66" i="17"/>
  <c r="U66" i="17" s="1"/>
  <c r="T98" i="17"/>
  <c r="U98" i="17" s="1"/>
  <c r="T124" i="17"/>
  <c r="U124" i="17" s="1"/>
  <c r="T45" i="17"/>
  <c r="U45" i="17" s="1"/>
  <c r="T27" i="17"/>
  <c r="U27" i="17" s="1"/>
  <c r="T21" i="17"/>
  <c r="U21" i="17" s="1"/>
  <c r="T134" i="17"/>
  <c r="U134" i="17" s="1"/>
  <c r="T123" i="17"/>
  <c r="U123" i="17" s="1"/>
  <c r="N45" i="17"/>
  <c r="N15" i="17"/>
  <c r="N68" i="17"/>
  <c r="N62" i="17"/>
  <c r="N52" i="17"/>
  <c r="N117" i="17"/>
  <c r="N103" i="17"/>
  <c r="N58" i="17"/>
  <c r="N122" i="17"/>
  <c r="N112" i="17"/>
  <c r="N56" i="17"/>
  <c r="W7" i="17"/>
  <c r="X7" i="17" s="1"/>
  <c r="N23" i="17"/>
  <c r="N133" i="17"/>
  <c r="N18" i="17"/>
  <c r="N73" i="17"/>
  <c r="N129" i="17"/>
  <c r="W76" i="17"/>
  <c r="X76" i="17" s="1"/>
  <c r="Q78" i="17"/>
  <c r="R78" i="17" s="1"/>
  <c r="W15" i="17"/>
  <c r="X15" i="17" s="1"/>
  <c r="W37" i="17"/>
  <c r="X37" i="17" s="1"/>
  <c r="W67" i="17"/>
  <c r="X67" i="17" s="1"/>
  <c r="W56" i="17"/>
  <c r="X56" i="17" s="1"/>
  <c r="W109" i="17"/>
  <c r="X109" i="17" s="1"/>
  <c r="N113" i="17"/>
  <c r="N67" i="17"/>
  <c r="N55" i="17"/>
  <c r="N77" i="17"/>
  <c r="Q86" i="17"/>
  <c r="R86" i="17" s="1"/>
  <c r="N85" i="17"/>
  <c r="N61" i="17"/>
  <c r="N109" i="17"/>
  <c r="N136" i="17"/>
  <c r="N139" i="17"/>
  <c r="N149" i="17"/>
  <c r="N72" i="17"/>
  <c r="N94" i="17"/>
  <c r="N105" i="17"/>
  <c r="Q139" i="17"/>
  <c r="R139" i="17" s="1"/>
  <c r="W100" i="17"/>
  <c r="X100" i="17" s="1"/>
  <c r="W17" i="17"/>
  <c r="X17" i="17" s="1"/>
  <c r="N22" i="17"/>
  <c r="N156" i="17"/>
  <c r="N89" i="17"/>
  <c r="N146" i="17"/>
  <c r="N64" i="17"/>
  <c r="N30" i="17"/>
  <c r="N69" i="17"/>
  <c r="N119" i="17"/>
  <c r="N143" i="17"/>
  <c r="N25" i="17"/>
  <c r="N92" i="17"/>
  <c r="N126" i="17"/>
  <c r="N84" i="17"/>
  <c r="Q106" i="17"/>
  <c r="R106" i="17" s="1"/>
  <c r="Q38" i="17"/>
  <c r="R38" i="17" s="1"/>
  <c r="Q56" i="17"/>
  <c r="R56" i="17" s="1"/>
  <c r="Q76" i="17"/>
  <c r="R76" i="17" s="1"/>
  <c r="Q156" i="17"/>
  <c r="R156" i="17" s="1"/>
  <c r="N76" i="17"/>
  <c r="N75" i="17"/>
  <c r="N106" i="17"/>
  <c r="N6" i="17"/>
  <c r="O6" i="17" s="1"/>
  <c r="N123" i="17"/>
  <c r="N108" i="17"/>
  <c r="N125" i="17"/>
  <c r="N16" i="17"/>
  <c r="N150" i="17"/>
  <c r="N138" i="17"/>
  <c r="N128" i="17"/>
  <c r="N140" i="17"/>
  <c r="N24" i="17"/>
  <c r="N145" i="17"/>
  <c r="N104" i="17"/>
  <c r="N70" i="17"/>
  <c r="N151" i="17"/>
  <c r="N43" i="17"/>
  <c r="N47" i="17"/>
  <c r="N37" i="17"/>
  <c r="N48" i="17"/>
  <c r="N80" i="17"/>
  <c r="W43" i="17"/>
  <c r="X43" i="17" s="1"/>
  <c r="W98" i="17"/>
  <c r="X98" i="17" s="1"/>
  <c r="W144" i="17"/>
  <c r="X144" i="17" s="1"/>
  <c r="W12" i="17"/>
  <c r="X12" i="17" s="1"/>
  <c r="Q46" i="17"/>
  <c r="R46" i="17" s="1"/>
  <c r="N82" i="17"/>
  <c r="O82" i="17" s="1"/>
  <c r="N36" i="17"/>
  <c r="O36" i="17" s="1"/>
  <c r="N42" i="17"/>
  <c r="N81" i="17"/>
  <c r="N115" i="17"/>
  <c r="N17" i="17"/>
  <c r="N100" i="17"/>
  <c r="N38" i="17"/>
  <c r="N137" i="17"/>
  <c r="N127" i="17"/>
  <c r="N79" i="17"/>
  <c r="N118" i="17"/>
  <c r="N99" i="17"/>
  <c r="N51" i="17"/>
  <c r="N46" i="17"/>
  <c r="N21" i="17"/>
  <c r="N131" i="17"/>
  <c r="N91" i="17"/>
  <c r="N29" i="17"/>
  <c r="N121" i="17"/>
  <c r="N135" i="17"/>
  <c r="N54" i="17"/>
  <c r="N147" i="17"/>
  <c r="N19" i="17"/>
  <c r="N57" i="17"/>
  <c r="N142" i="17"/>
  <c r="W69" i="17"/>
  <c r="X69" i="17" s="1"/>
  <c r="W24" i="17"/>
  <c r="X24" i="17" s="1"/>
  <c r="W84" i="17"/>
  <c r="X84" i="17" s="1"/>
  <c r="W21" i="17"/>
  <c r="X21" i="17" s="1"/>
  <c r="W94" i="17"/>
  <c r="X94" i="17" s="1"/>
  <c r="W119" i="17"/>
  <c r="X119" i="17" s="1"/>
  <c r="W73" i="17"/>
  <c r="X73" i="17" s="1"/>
  <c r="W151" i="17"/>
  <c r="X151" i="17" s="1"/>
  <c r="W29" i="17"/>
  <c r="X29" i="17" s="1"/>
  <c r="W19" i="17"/>
  <c r="X19" i="17" s="1"/>
  <c r="W131" i="17"/>
  <c r="X131" i="17" s="1"/>
  <c r="W92" i="17"/>
  <c r="X92" i="17" s="1"/>
  <c r="W86" i="17"/>
  <c r="X86" i="17" s="1"/>
  <c r="W121" i="17"/>
  <c r="X121" i="17" s="1"/>
  <c r="W63" i="17"/>
  <c r="X63" i="17" s="1"/>
  <c r="W90" i="17"/>
  <c r="X90" i="17" s="1"/>
  <c r="W138" i="17"/>
  <c r="X138" i="17" s="1"/>
  <c r="W80" i="17"/>
  <c r="X80" i="17" s="1"/>
  <c r="W26" i="17"/>
  <c r="X26" i="17" s="1"/>
  <c r="W60" i="17"/>
  <c r="X60" i="17" s="1"/>
  <c r="W143" i="17"/>
  <c r="X143" i="17" s="1"/>
  <c r="W41" i="17"/>
  <c r="X41" i="17" s="1"/>
  <c r="W77" i="17"/>
  <c r="X77" i="17" s="1"/>
  <c r="W124" i="17"/>
  <c r="X124" i="17" s="1"/>
  <c r="W132" i="17"/>
  <c r="X132" i="17" s="1"/>
  <c r="W53" i="17"/>
  <c r="X53" i="17" s="1"/>
  <c r="W59" i="17"/>
  <c r="X59" i="17" s="1"/>
  <c r="W30" i="17"/>
  <c r="X30" i="17" s="1"/>
  <c r="W38" i="17"/>
  <c r="X38" i="17" s="1"/>
  <c r="W116" i="17"/>
  <c r="X116" i="17" s="1"/>
  <c r="W110" i="17"/>
  <c r="X110" i="17" s="1"/>
  <c r="W45" i="17"/>
  <c r="X45" i="17" s="1"/>
  <c r="W23" i="17"/>
  <c r="X23" i="17" s="1"/>
  <c r="W11" i="17"/>
  <c r="X11" i="17" s="1"/>
  <c r="W61" i="17"/>
  <c r="X61" i="17" s="1"/>
  <c r="W103" i="17"/>
  <c r="X103" i="17" s="1"/>
  <c r="W47" i="17"/>
  <c r="X47" i="17" s="1"/>
  <c r="W87" i="17"/>
  <c r="X87" i="17" s="1"/>
  <c r="W147" i="17"/>
  <c r="X147" i="17" s="1"/>
  <c r="W97" i="17"/>
  <c r="X97" i="17" s="1"/>
  <c r="W78" i="17"/>
  <c r="X78" i="17" s="1"/>
  <c r="W20" i="17"/>
  <c r="X20" i="17" s="1"/>
  <c r="W93" i="17"/>
  <c r="X93" i="17" s="1"/>
  <c r="W120" i="17"/>
  <c r="X120" i="17" s="1"/>
  <c r="W65" i="17"/>
  <c r="X65" i="17" s="1"/>
  <c r="W150" i="17"/>
  <c r="X150" i="17" s="1"/>
  <c r="W139" i="17"/>
  <c r="X139" i="17" s="1"/>
  <c r="W155" i="17"/>
  <c r="X155" i="17" s="1"/>
  <c r="W22" i="17"/>
  <c r="X22" i="17" s="1"/>
  <c r="W75" i="17"/>
  <c r="X75" i="17" s="1"/>
  <c r="W154" i="17"/>
  <c r="X154" i="17" s="1"/>
  <c r="W137" i="17"/>
  <c r="X137" i="17" s="1"/>
  <c r="W130" i="17"/>
  <c r="X130" i="17" s="1"/>
  <c r="W96" i="17"/>
  <c r="X96" i="17" s="1"/>
  <c r="W152" i="17"/>
  <c r="X152" i="17" s="1"/>
  <c r="W51" i="17"/>
  <c r="X51" i="17" s="1"/>
  <c r="W44" i="17"/>
  <c r="X44" i="17" s="1"/>
  <c r="W99" i="17"/>
  <c r="X99" i="17" s="1"/>
  <c r="W129" i="17"/>
  <c r="X129" i="17" s="1"/>
  <c r="W81" i="17"/>
  <c r="X81" i="17" s="1"/>
  <c r="W107" i="17"/>
  <c r="X107" i="17" s="1"/>
  <c r="W128" i="17"/>
  <c r="X128" i="17" s="1"/>
  <c r="W71" i="17"/>
  <c r="X71" i="17" s="1"/>
  <c r="W72" i="17"/>
  <c r="X72" i="17" s="1"/>
  <c r="W14" i="17"/>
  <c r="X14" i="17" s="1"/>
  <c r="W141" i="17"/>
  <c r="X141" i="17" s="1"/>
  <c r="W28" i="17"/>
  <c r="X28" i="17" s="1"/>
  <c r="W9" i="17"/>
  <c r="X9" i="17" s="1"/>
  <c r="W136" i="17"/>
  <c r="X136" i="17" s="1"/>
  <c r="W50" i="17"/>
  <c r="X50" i="17" s="1"/>
  <c r="W8" i="17"/>
  <c r="X8" i="17" s="1"/>
  <c r="W55" i="17"/>
  <c r="X55" i="17" s="1"/>
  <c r="W6" i="17"/>
  <c r="X6" i="17" s="1"/>
  <c r="W101" i="17"/>
  <c r="X101" i="17" s="1"/>
  <c r="W32" i="17"/>
  <c r="X32" i="17" s="1"/>
  <c r="W83" i="17"/>
  <c r="X83" i="17" s="1"/>
  <c r="Q123" i="17"/>
  <c r="R123" i="17" s="1"/>
  <c r="Q127" i="17"/>
  <c r="R127" i="17" s="1"/>
  <c r="Q98" i="17"/>
  <c r="R98" i="17" s="1"/>
  <c r="Q67" i="17"/>
  <c r="R67" i="17" s="1"/>
  <c r="Q125" i="17"/>
  <c r="R125" i="17" s="1"/>
  <c r="Q135" i="17"/>
  <c r="R135" i="17" s="1"/>
  <c r="Q130" i="17"/>
  <c r="R130" i="17" s="1"/>
  <c r="Q126" i="17"/>
  <c r="R126" i="17" s="1"/>
  <c r="Q12" i="17"/>
  <c r="R12" i="17" s="1"/>
  <c r="Q17" i="17"/>
  <c r="R17" i="17" s="1"/>
  <c r="Q88" i="17"/>
  <c r="R88" i="17" s="1"/>
  <c r="Q50" i="17"/>
  <c r="R50" i="17" s="1"/>
  <c r="Q31" i="17"/>
  <c r="R31" i="17" s="1"/>
  <c r="Q111" i="17"/>
  <c r="R111" i="17" s="1"/>
  <c r="Q66" i="17"/>
  <c r="R66" i="17" s="1"/>
  <c r="Q145" i="17"/>
  <c r="R145" i="17" s="1"/>
  <c r="Q142" i="17"/>
  <c r="R142" i="17" s="1"/>
  <c r="Q74" i="17"/>
  <c r="R74" i="17" s="1"/>
  <c r="Q108" i="17"/>
  <c r="R108" i="17" s="1"/>
  <c r="Q15" i="17"/>
  <c r="R15" i="17" s="1"/>
  <c r="Q101" i="17"/>
  <c r="R101" i="17" s="1"/>
  <c r="Q114" i="17"/>
  <c r="R114" i="17" s="1"/>
  <c r="Q115" i="17"/>
  <c r="R115" i="17" s="1"/>
  <c r="Q6" i="17"/>
  <c r="R6" i="17" s="1"/>
  <c r="Q82" i="17"/>
  <c r="R82" i="17" s="1"/>
  <c r="Q21" i="17"/>
  <c r="R21" i="17" s="1"/>
  <c r="Q47" i="17"/>
  <c r="R47" i="17" s="1"/>
  <c r="Q154" i="17"/>
  <c r="R154" i="17" s="1"/>
  <c r="Q69" i="17"/>
  <c r="R69" i="17" s="1"/>
  <c r="Q72" i="17"/>
  <c r="R72" i="17" s="1"/>
  <c r="Q91" i="17"/>
  <c r="R91" i="17" s="1"/>
  <c r="Q39" i="17"/>
  <c r="R39" i="17" s="1"/>
  <c r="Q16" i="17"/>
  <c r="R16" i="17" s="1"/>
  <c r="Q96" i="17"/>
  <c r="R96" i="17" s="1"/>
  <c r="Q43" i="17"/>
  <c r="R43" i="17" s="1"/>
  <c r="Q37" i="17"/>
  <c r="R37" i="17" s="1"/>
  <c r="Q18" i="17"/>
  <c r="R18" i="17" s="1"/>
  <c r="Q60" i="17"/>
  <c r="R60" i="17" s="1"/>
  <c r="Q10" i="17"/>
  <c r="R10" i="17" s="1"/>
  <c r="Q13" i="17"/>
  <c r="R13" i="17" s="1"/>
  <c r="Q33" i="17"/>
  <c r="R33" i="17" s="1"/>
  <c r="Q146" i="17"/>
  <c r="R146" i="17" s="1"/>
  <c r="Q151" i="17"/>
  <c r="R151" i="17" s="1"/>
  <c r="Q41" i="17"/>
  <c r="R41" i="17" s="1"/>
  <c r="Q19" i="17"/>
  <c r="R19" i="17" s="1"/>
  <c r="Q89" i="17"/>
  <c r="R89" i="17" s="1"/>
  <c r="Q23" i="17"/>
  <c r="R23" i="17" s="1"/>
  <c r="Q148" i="17"/>
  <c r="R148" i="17" s="1"/>
  <c r="Q129" i="17"/>
  <c r="R129" i="17" s="1"/>
  <c r="Q30" i="17"/>
  <c r="R30" i="17" s="1"/>
  <c r="Q54" i="17"/>
  <c r="R54" i="17" s="1"/>
  <c r="Q29" i="17"/>
  <c r="R29" i="17" s="1"/>
  <c r="Q75" i="17"/>
  <c r="R75" i="17" s="1"/>
  <c r="Q9" i="17"/>
  <c r="R9" i="17" s="1"/>
  <c r="Q58" i="17"/>
  <c r="R58" i="17" s="1"/>
  <c r="Q71" i="17"/>
  <c r="R71" i="17" s="1"/>
  <c r="Q100" i="17"/>
  <c r="R100" i="17" s="1"/>
  <c r="Q36" i="17"/>
  <c r="R36" i="17" s="1"/>
  <c r="Q80" i="17"/>
  <c r="R80" i="17" s="1"/>
  <c r="Q137" i="17"/>
  <c r="R137" i="17" s="1"/>
  <c r="Q121" i="17"/>
  <c r="R121" i="17" s="1"/>
  <c r="Q141" i="17"/>
  <c r="R141" i="17" s="1"/>
  <c r="Q24" i="17"/>
  <c r="R24" i="17" s="1"/>
  <c r="Q48" i="17"/>
  <c r="R48" i="17" s="1"/>
  <c r="Q44" i="17"/>
  <c r="R44" i="17" s="1"/>
  <c r="Q119" i="17"/>
  <c r="R119" i="17" s="1"/>
  <c r="Q109" i="17"/>
  <c r="R109" i="17" s="1"/>
  <c r="Q20" i="17"/>
  <c r="R20" i="17" s="1"/>
  <c r="Q49" i="17"/>
  <c r="R49" i="17" s="1"/>
  <c r="Q70" i="17"/>
  <c r="R70" i="17" s="1"/>
  <c r="Q118" i="17"/>
  <c r="R118" i="17" s="1"/>
  <c r="Q77" i="17"/>
  <c r="R77" i="17" s="1"/>
  <c r="Q59" i="17"/>
  <c r="R59" i="17" s="1"/>
  <c r="Q34" i="17"/>
  <c r="R34" i="17" s="1"/>
  <c r="Q32" i="17"/>
  <c r="R32" i="17" s="1"/>
  <c r="Q65" i="17"/>
  <c r="R65" i="17" s="1"/>
  <c r="Q155" i="17"/>
  <c r="R155" i="17" s="1"/>
  <c r="Q147" i="17"/>
  <c r="R147" i="17" s="1"/>
  <c r="Q140" i="17"/>
  <c r="R140" i="17" s="1"/>
  <c r="Q136" i="17"/>
  <c r="R136" i="17" s="1"/>
  <c r="Q105" i="17"/>
  <c r="R105" i="17" s="1"/>
  <c r="Q22" i="17"/>
  <c r="R22" i="17" s="1"/>
  <c r="Q40" i="17"/>
  <c r="R40" i="17" s="1"/>
  <c r="Q116" i="17"/>
  <c r="R116" i="17" s="1"/>
  <c r="Q62" i="17"/>
  <c r="R62" i="17" s="1"/>
  <c r="Q51" i="17"/>
  <c r="R51" i="17" s="1"/>
  <c r="W49" i="17"/>
  <c r="X49" i="17" s="1"/>
  <c r="W102" i="17"/>
  <c r="X102" i="17" s="1"/>
  <c r="W42" i="17"/>
  <c r="X42" i="17" s="1"/>
  <c r="W142" i="17"/>
  <c r="X142" i="17" s="1"/>
  <c r="W95" i="17"/>
  <c r="X95" i="17" s="1"/>
  <c r="W134" i="17"/>
  <c r="X134" i="17" s="1"/>
  <c r="W82" i="17"/>
  <c r="X82" i="17" s="1"/>
  <c r="W91" i="17"/>
  <c r="X91" i="17" s="1"/>
  <c r="Q143" i="17"/>
  <c r="R143" i="17" s="1"/>
  <c r="Q153" i="17"/>
  <c r="R153" i="17" s="1"/>
  <c r="Q45" i="17"/>
  <c r="R45" i="17" s="1"/>
  <c r="Q128" i="17"/>
  <c r="R128" i="17" s="1"/>
  <c r="Q102" i="17"/>
  <c r="R102" i="17" s="1"/>
  <c r="Q68" i="17"/>
  <c r="R68" i="17" s="1"/>
  <c r="Q26" i="17"/>
  <c r="R26" i="17" s="1"/>
  <c r="Q124" i="17"/>
  <c r="R124" i="17" s="1"/>
  <c r="W13" i="17"/>
  <c r="X13" i="17" s="1"/>
  <c r="W123" i="17"/>
  <c r="X123" i="17" s="1"/>
  <c r="W46" i="17"/>
  <c r="X46" i="17" s="1"/>
  <c r="W57" i="17"/>
  <c r="X57" i="17" s="1"/>
  <c r="W25" i="17"/>
  <c r="X25" i="17" s="1"/>
  <c r="W118" i="17"/>
  <c r="X118" i="17" s="1"/>
  <c r="W133" i="17"/>
  <c r="X133" i="17" s="1"/>
  <c r="W146" i="17"/>
  <c r="X146" i="17" s="1"/>
  <c r="W127" i="17"/>
  <c r="X127" i="17" s="1"/>
  <c r="W62" i="17"/>
  <c r="X62" i="17" s="1"/>
  <c r="W66" i="17"/>
  <c r="X66" i="17" s="1"/>
  <c r="W89" i="17"/>
  <c r="X89" i="17" s="1"/>
  <c r="W112" i="17"/>
  <c r="X112" i="17" s="1"/>
  <c r="W115" i="17"/>
  <c r="X115" i="17" s="1"/>
  <c r="W104" i="17"/>
  <c r="X104" i="17" s="1"/>
  <c r="W40" i="17"/>
  <c r="X40" i="17" s="1"/>
  <c r="W52" i="17"/>
  <c r="X52" i="17" s="1"/>
  <c r="W153" i="17"/>
  <c r="X153" i="17" s="1"/>
  <c r="W88" i="17"/>
  <c r="X88" i="17" s="1"/>
  <c r="W105" i="17"/>
  <c r="X105" i="17" s="1"/>
  <c r="W111" i="17"/>
  <c r="X111" i="17" s="1"/>
  <c r="Q152" i="17"/>
  <c r="R152" i="17" s="1"/>
  <c r="Q131" i="17"/>
  <c r="R131" i="17" s="1"/>
  <c r="W35" i="17"/>
  <c r="X35" i="17" s="1"/>
  <c r="W27" i="17"/>
  <c r="X27" i="17" s="1"/>
  <c r="W33" i="17"/>
  <c r="X33" i="17" s="1"/>
  <c r="W126" i="17"/>
  <c r="X126" i="17" s="1"/>
  <c r="W156" i="17"/>
  <c r="X156" i="17" s="1"/>
  <c r="W58" i="17"/>
  <c r="X58" i="17" s="1"/>
  <c r="W64" i="17"/>
  <c r="X64" i="17" s="1"/>
  <c r="W113" i="17"/>
  <c r="X113" i="17" s="1"/>
  <c r="W117" i="17"/>
  <c r="X117" i="17" s="1"/>
  <c r="W16" i="17"/>
  <c r="X16" i="17" s="1"/>
  <c r="W48" i="17"/>
  <c r="X48" i="17" s="1"/>
  <c r="W148" i="17"/>
  <c r="X148" i="17" s="1"/>
  <c r="W68" i="17"/>
  <c r="X68" i="17" s="1"/>
  <c r="W85" i="17"/>
  <c r="X85" i="17" s="1"/>
  <c r="W114" i="17"/>
  <c r="X114" i="17" s="1"/>
  <c r="W135" i="17"/>
  <c r="X135" i="17" s="1"/>
  <c r="W10" i="17"/>
  <c r="X10" i="17" s="1"/>
  <c r="W70" i="17"/>
  <c r="X70" i="17" s="1"/>
  <c r="W74" i="17"/>
  <c r="X74" i="17" s="1"/>
  <c r="W39" i="17"/>
  <c r="X39" i="17" s="1"/>
  <c r="W145" i="17"/>
  <c r="X145" i="17" s="1"/>
  <c r="W106" i="17"/>
  <c r="X106" i="17" s="1"/>
  <c r="W54" i="17"/>
  <c r="X54" i="17" s="1"/>
  <c r="W149" i="17"/>
  <c r="X149" i="17" s="1"/>
  <c r="W31" i="17"/>
  <c r="X31" i="17" s="1"/>
  <c r="W79" i="17"/>
  <c r="X79" i="17" s="1"/>
  <c r="W125" i="17"/>
  <c r="X125" i="17" s="1"/>
  <c r="W108" i="17"/>
  <c r="X108" i="17" s="1"/>
  <c r="W34" i="17"/>
  <c r="X34" i="17" s="1"/>
  <c r="W140" i="17"/>
  <c r="X140" i="17" s="1"/>
  <c r="W36" i="17"/>
  <c r="X36" i="17" s="1"/>
  <c r="W122" i="17"/>
  <c r="X122" i="17" s="1"/>
  <c r="Q8" i="17"/>
  <c r="R8" i="17" s="1"/>
  <c r="Q61" i="17"/>
  <c r="R61" i="17" s="1"/>
  <c r="Q25" i="17"/>
  <c r="R25" i="17" s="1"/>
  <c r="AC31" i="17"/>
  <c r="AC111" i="17" l="1"/>
  <c r="AC14" i="17"/>
  <c r="O121" i="17"/>
  <c r="O38" i="17"/>
  <c r="O80" i="17"/>
  <c r="O30" i="17"/>
  <c r="O94" i="17"/>
  <c r="O68" i="17"/>
  <c r="O91" i="17"/>
  <c r="O51" i="17"/>
  <c r="O127" i="17"/>
  <c r="O17" i="17"/>
  <c r="O42" i="17"/>
  <c r="O37" i="17"/>
  <c r="O70" i="17"/>
  <c r="O140" i="17"/>
  <c r="O16" i="17"/>
  <c r="O126" i="17"/>
  <c r="O119" i="17"/>
  <c r="O146" i="17"/>
  <c r="O149" i="17"/>
  <c r="O61" i="17"/>
  <c r="O77" i="17"/>
  <c r="O18" i="17"/>
  <c r="O112" i="17"/>
  <c r="O45" i="17"/>
  <c r="O57" i="17"/>
  <c r="O135" i="17"/>
  <c r="O131" i="17"/>
  <c r="O99" i="17"/>
  <c r="O137" i="17"/>
  <c r="O115" i="17"/>
  <c r="O47" i="17"/>
  <c r="O104" i="17"/>
  <c r="O128" i="17"/>
  <c r="O125" i="17"/>
  <c r="O106" i="17"/>
  <c r="O92" i="17"/>
  <c r="O69" i="17"/>
  <c r="O89" i="17"/>
  <c r="O105" i="17"/>
  <c r="O139" i="17"/>
  <c r="O85" i="17"/>
  <c r="O55" i="17"/>
  <c r="O133" i="17"/>
  <c r="O122" i="17"/>
  <c r="O117" i="17"/>
  <c r="O71" i="17"/>
  <c r="O152" i="17"/>
  <c r="O98" i="17"/>
  <c r="O11" i="17"/>
  <c r="O101" i="17"/>
  <c r="O110" i="17"/>
  <c r="O59" i="17"/>
  <c r="O88" i="17"/>
  <c r="O49" i="17"/>
  <c r="O130" i="17"/>
  <c r="O66" i="17"/>
  <c r="O41" i="17"/>
  <c r="O144" i="17"/>
  <c r="O40" i="17"/>
  <c r="O145" i="17"/>
  <c r="O108" i="17"/>
  <c r="O156" i="17"/>
  <c r="O136" i="17"/>
  <c r="O67" i="17"/>
  <c r="O129" i="17"/>
  <c r="O148" i="17"/>
  <c r="O120" i="17"/>
  <c r="O102" i="17"/>
  <c r="O153" i="17"/>
  <c r="O27" i="17"/>
  <c r="O44" i="17"/>
  <c r="O86" i="17"/>
  <c r="O74" i="17"/>
  <c r="O93" i="17"/>
  <c r="O28" i="17"/>
  <c r="O34" i="17"/>
  <c r="O63" i="17"/>
  <c r="O134" i="17"/>
  <c r="O116" i="17"/>
  <c r="O19" i="17"/>
  <c r="O118" i="17"/>
  <c r="O81" i="17"/>
  <c r="O43" i="17"/>
  <c r="O52" i="17"/>
  <c r="O142" i="17"/>
  <c r="O147" i="17"/>
  <c r="O29" i="17"/>
  <c r="O46" i="17"/>
  <c r="O79" i="17"/>
  <c r="O100" i="17"/>
  <c r="O48" i="17"/>
  <c r="O151" i="17"/>
  <c r="O24" i="17"/>
  <c r="O150" i="17"/>
  <c r="O123" i="17"/>
  <c r="O76" i="17"/>
  <c r="O84" i="17"/>
  <c r="O143" i="17"/>
  <c r="O64" i="17"/>
  <c r="O22" i="17"/>
  <c r="O72" i="17"/>
  <c r="O109" i="17"/>
  <c r="O113" i="17"/>
  <c r="O73" i="17"/>
  <c r="O56" i="17"/>
  <c r="O103" i="17"/>
  <c r="O62" i="17"/>
  <c r="O15" i="17"/>
  <c r="O7" i="17"/>
  <c r="O35" i="17"/>
  <c r="O53" i="17"/>
  <c r="O9" i="17"/>
  <c r="O95" i="17"/>
  <c r="O132" i="17"/>
  <c r="O13" i="17"/>
  <c r="O39" i="17"/>
  <c r="O114" i="17"/>
  <c r="O10" i="17"/>
  <c r="O97" i="17"/>
  <c r="O50" i="17"/>
  <c r="O12" i="17"/>
  <c r="O124" i="17"/>
  <c r="O21" i="17"/>
  <c r="O138" i="17"/>
  <c r="O75" i="17"/>
  <c r="O25" i="17"/>
  <c r="O23" i="17"/>
  <c r="O58" i="17"/>
  <c r="O54" i="17"/>
  <c r="O20" i="17"/>
  <c r="O78" i="17"/>
  <c r="O107" i="17"/>
  <c r="O83" i="17"/>
  <c r="O96" i="17"/>
  <c r="O65" i="17"/>
  <c r="O33" i="17"/>
  <c r="O8" i="17"/>
  <c r="O60" i="17"/>
  <c r="O154" i="17"/>
  <c r="O141" i="17"/>
  <c r="O87" i="17"/>
  <c r="O90" i="17"/>
  <c r="O26" i="17"/>
  <c r="O32" i="17"/>
  <c r="O155" i="17"/>
  <c r="AD85" i="17"/>
  <c r="AD133" i="17"/>
  <c r="AD83" i="17"/>
  <c r="AD55" i="17"/>
  <c r="AD144" i="17"/>
  <c r="AD28" i="17"/>
  <c r="AD14" i="17"/>
  <c r="AD93" i="17"/>
  <c r="AD90" i="17"/>
  <c r="AD132" i="17"/>
  <c r="AD87" i="17"/>
  <c r="AD79" i="17"/>
  <c r="AD95" i="17"/>
  <c r="AD138" i="17"/>
  <c r="AD81" i="17"/>
  <c r="AD57" i="17"/>
  <c r="AD92" i="17"/>
  <c r="AD63" i="17"/>
  <c r="AD107" i="17"/>
  <c r="AD112" i="17"/>
  <c r="AD110" i="17"/>
  <c r="AD99" i="17"/>
  <c r="AD52" i="17"/>
  <c r="W157" i="17"/>
  <c r="T157" i="17"/>
  <c r="U157" i="17"/>
  <c r="AC6" i="17"/>
  <c r="N157" i="17"/>
  <c r="Q157" i="17"/>
  <c r="AD7" i="17"/>
  <c r="AD53" i="17"/>
  <c r="AD120" i="17"/>
  <c r="AD103" i="17"/>
  <c r="AD73" i="17"/>
  <c r="AC82" i="17"/>
  <c r="AD94" i="17"/>
  <c r="AD139" i="17"/>
  <c r="AD134" i="17"/>
  <c r="AD86" i="17"/>
  <c r="AD150" i="17"/>
  <c r="AD11" i="17"/>
  <c r="AD42" i="17"/>
  <c r="AD113" i="17"/>
  <c r="AD97" i="17"/>
  <c r="AD78" i="17"/>
  <c r="AD106" i="17"/>
  <c r="AD156" i="17"/>
  <c r="AD76" i="17"/>
  <c r="AD56" i="17"/>
  <c r="AD38" i="17"/>
  <c r="AD117" i="17"/>
  <c r="AD152" i="17"/>
  <c r="AD153" i="17"/>
  <c r="AD62" i="17"/>
  <c r="AD40" i="17"/>
  <c r="AD140" i="17"/>
  <c r="AD32" i="17"/>
  <c r="AD118" i="17"/>
  <c r="AD44" i="17"/>
  <c r="AD121" i="17"/>
  <c r="AD100" i="17"/>
  <c r="AD30" i="17"/>
  <c r="AD23" i="17"/>
  <c r="AD41" i="17"/>
  <c r="AD13" i="17"/>
  <c r="AD37" i="17"/>
  <c r="AD154" i="17"/>
  <c r="AD101" i="17"/>
  <c r="AD142" i="17"/>
  <c r="AD31" i="17"/>
  <c r="AD12" i="17"/>
  <c r="AD130" i="17"/>
  <c r="AD98" i="17"/>
  <c r="AD123" i="17"/>
  <c r="AD8" i="17"/>
  <c r="AD131" i="17"/>
  <c r="AD102" i="17"/>
  <c r="AD143" i="17"/>
  <c r="AD22" i="17"/>
  <c r="AD147" i="17"/>
  <c r="AD34" i="17"/>
  <c r="AD70" i="17"/>
  <c r="AD109" i="17"/>
  <c r="AD48" i="17"/>
  <c r="AD137" i="17"/>
  <c r="AD71" i="17"/>
  <c r="AD75" i="17"/>
  <c r="AD129" i="17"/>
  <c r="AD89" i="17"/>
  <c r="AD151" i="17"/>
  <c r="AD10" i="17"/>
  <c r="AD91" i="17"/>
  <c r="AD115" i="17"/>
  <c r="AD15" i="17"/>
  <c r="AD145" i="17"/>
  <c r="AD50" i="17"/>
  <c r="AD135" i="17"/>
  <c r="AD127" i="17"/>
  <c r="AD25" i="17"/>
  <c r="AD61" i="17"/>
  <c r="AD64" i="17"/>
  <c r="AD35" i="17"/>
  <c r="AD68" i="17"/>
  <c r="AD128" i="17"/>
  <c r="AD149" i="17"/>
  <c r="AD105" i="17"/>
  <c r="AD155" i="17"/>
  <c r="AD59" i="17"/>
  <c r="AD49" i="17"/>
  <c r="AD80" i="17"/>
  <c r="AD58" i="17"/>
  <c r="AD29" i="17"/>
  <c r="AD146" i="17"/>
  <c r="AD60" i="17"/>
  <c r="AD96" i="17"/>
  <c r="AD72" i="17"/>
  <c r="AD114" i="17"/>
  <c r="AD108" i="17"/>
  <c r="AD66" i="17"/>
  <c r="AD88" i="17"/>
  <c r="AD126" i="17"/>
  <c r="AD125" i="17"/>
  <c r="AD122" i="17"/>
  <c r="AD124" i="17"/>
  <c r="AD45" i="17"/>
  <c r="AD104" i="17"/>
  <c r="AD51" i="17"/>
  <c r="AD116" i="17"/>
  <c r="AD136" i="17"/>
  <c r="AD65" i="17"/>
  <c r="AD77" i="17"/>
  <c r="AD119" i="17"/>
  <c r="AD141" i="17"/>
  <c r="AD36" i="17"/>
  <c r="AD9" i="17"/>
  <c r="AD148" i="17"/>
  <c r="AD18" i="17"/>
  <c r="AD16" i="17"/>
  <c r="AD82" i="17"/>
  <c r="AD111" i="17"/>
  <c r="AD17" i="17"/>
  <c r="AC88" i="17" l="1"/>
  <c r="AC85" i="17"/>
  <c r="AC128" i="17"/>
  <c r="AC57" i="17"/>
  <c r="AC119" i="17"/>
  <c r="AC32" i="17"/>
  <c r="AC141" i="17"/>
  <c r="AC95" i="17"/>
  <c r="AC7" i="17"/>
  <c r="AC56" i="17"/>
  <c r="AC72" i="17"/>
  <c r="AC84" i="17"/>
  <c r="AC24" i="17"/>
  <c r="AC142" i="17"/>
  <c r="AC63" i="17"/>
  <c r="AC153" i="17"/>
  <c r="AC108" i="17"/>
  <c r="AC11" i="17"/>
  <c r="AC69" i="17"/>
  <c r="AC137" i="17"/>
  <c r="AC77" i="17"/>
  <c r="AC107" i="17"/>
  <c r="AC58" i="17"/>
  <c r="AC138" i="17"/>
  <c r="AC50" i="17"/>
  <c r="AC39" i="17"/>
  <c r="AC9" i="17"/>
  <c r="AC15" i="17"/>
  <c r="AC73" i="17"/>
  <c r="AC76" i="17"/>
  <c r="AC151" i="17"/>
  <c r="AC46" i="17"/>
  <c r="AC52" i="17"/>
  <c r="AC19" i="17"/>
  <c r="AC34" i="17"/>
  <c r="AC86" i="17"/>
  <c r="AC102" i="17"/>
  <c r="AC67" i="17"/>
  <c r="AC145" i="17"/>
  <c r="AC66" i="17"/>
  <c r="AC59" i="17"/>
  <c r="AC98" i="17"/>
  <c r="AC122" i="17"/>
  <c r="AC139" i="17"/>
  <c r="AC92" i="17"/>
  <c r="AC61" i="17"/>
  <c r="AC126" i="17"/>
  <c r="AC37" i="17"/>
  <c r="AC51" i="17"/>
  <c r="AC30" i="17"/>
  <c r="AC26" i="17"/>
  <c r="AC154" i="17"/>
  <c r="AC65" i="17"/>
  <c r="AC78" i="17"/>
  <c r="AC23" i="17"/>
  <c r="AC21" i="17"/>
  <c r="AC97" i="17"/>
  <c r="AC13" i="17"/>
  <c r="AC53" i="17"/>
  <c r="AC62" i="17"/>
  <c r="AC113" i="17"/>
  <c r="AC118" i="17"/>
  <c r="AC74" i="17"/>
  <c r="AC129" i="17"/>
  <c r="AC117" i="17"/>
  <c r="AC99" i="17"/>
  <c r="AC155" i="17"/>
  <c r="AC87" i="17"/>
  <c r="AC8" i="17"/>
  <c r="AC83" i="17"/>
  <c r="AC54" i="17"/>
  <c r="AC75" i="17"/>
  <c r="AC12" i="17"/>
  <c r="AC127" i="17"/>
  <c r="AC94" i="17"/>
  <c r="AC121" i="17"/>
  <c r="AC120" i="17"/>
  <c r="AC136" i="17"/>
  <c r="AC40" i="17"/>
  <c r="AC130" i="17"/>
  <c r="AC110" i="17"/>
  <c r="AC152" i="17"/>
  <c r="AC133" i="17"/>
  <c r="AC105" i="17"/>
  <c r="AC106" i="17"/>
  <c r="AC47" i="17"/>
  <c r="AC131" i="17"/>
  <c r="AC112" i="17"/>
  <c r="AC149" i="17"/>
  <c r="AC16" i="17"/>
  <c r="AC42" i="17"/>
  <c r="AC91" i="17"/>
  <c r="AC80" i="17"/>
  <c r="AC64" i="17"/>
  <c r="AC123" i="17"/>
  <c r="AC48" i="17"/>
  <c r="AC29" i="17"/>
  <c r="AC43" i="17"/>
  <c r="AC116" i="17"/>
  <c r="AC28" i="17"/>
  <c r="AC90" i="17"/>
  <c r="AC60" i="17"/>
  <c r="AC96" i="17"/>
  <c r="AC20" i="17"/>
  <c r="AC25" i="17"/>
  <c r="AC124" i="17"/>
  <c r="AC10" i="17"/>
  <c r="AC132" i="17"/>
  <c r="AC35" i="17"/>
  <c r="AC103" i="17"/>
  <c r="AC109" i="17"/>
  <c r="AC143" i="17"/>
  <c r="AC150" i="17"/>
  <c r="AC100" i="17"/>
  <c r="AC147" i="17"/>
  <c r="AC81" i="17"/>
  <c r="AC134" i="17"/>
  <c r="AC93" i="17"/>
  <c r="AC27" i="17"/>
  <c r="AC148" i="17"/>
  <c r="AC156" i="17"/>
  <c r="AC144" i="17"/>
  <c r="AC49" i="17"/>
  <c r="AC101" i="17"/>
  <c r="AC71" i="17"/>
  <c r="AC89" i="17"/>
  <c r="AC125" i="17"/>
  <c r="AC115" i="17"/>
  <c r="AC135" i="17"/>
  <c r="AC18" i="17"/>
  <c r="AC146" i="17"/>
  <c r="AC140" i="17"/>
  <c r="AC17" i="17"/>
  <c r="AC68" i="17"/>
  <c r="AC38" i="17"/>
  <c r="AC22" i="17"/>
  <c r="AC79" i="17"/>
  <c r="AC41" i="17"/>
  <c r="AC104" i="17"/>
  <c r="AC45" i="17"/>
  <c r="AC33" i="17"/>
  <c r="AC114" i="17"/>
  <c r="AC44" i="17"/>
  <c r="AC55" i="17"/>
  <c r="AC70" i="17"/>
  <c r="X157" i="17"/>
  <c r="R157" i="17"/>
  <c r="O157" i="17"/>
  <c r="AC36" i="17"/>
  <c r="AD67" i="17"/>
  <c r="AD19" i="17"/>
  <c r="AD84" i="17"/>
  <c r="AD43" i="17"/>
  <c r="AD46" i="17"/>
  <c r="AD6" i="17"/>
  <c r="AD26" i="17"/>
  <c r="AD54" i="17"/>
  <c r="AD24" i="17"/>
  <c r="AD74" i="17"/>
  <c r="AD69" i="17"/>
  <c r="AD33" i="17"/>
  <c r="AD20" i="17"/>
  <c r="AD39" i="17"/>
  <c r="AD21" i="17"/>
  <c r="AD27" i="17"/>
  <c r="AD47" i="17"/>
  <c r="AD157" i="17" l="1"/>
  <c r="AC157" i="17"/>
  <c r="J116" i="17" l="1"/>
  <c r="J77" i="17"/>
  <c r="J109" i="17"/>
  <c r="J127" i="17"/>
  <c r="J90" i="17"/>
  <c r="J152" i="17"/>
  <c r="J76" i="17"/>
  <c r="J106" i="17"/>
  <c r="J131" i="17"/>
  <c r="J103" i="17"/>
  <c r="J11" i="17"/>
  <c r="J34" i="17"/>
  <c r="J80" i="17"/>
  <c r="J46" i="17"/>
  <c r="J84" i="17"/>
  <c r="J43" i="17"/>
  <c r="J139" i="17"/>
  <c r="J142" i="17"/>
  <c r="J39" i="17"/>
  <c r="J54" i="17"/>
  <c r="J112" i="17"/>
  <c r="J61" i="17"/>
  <c r="J115" i="17"/>
  <c r="J94" i="17"/>
  <c r="J105" i="17"/>
  <c r="J104" i="17"/>
  <c r="J57" i="17"/>
  <c r="J100" i="17"/>
  <c r="J118" i="17"/>
  <c r="J141" i="17"/>
  <c r="J21" i="17"/>
  <c r="J60" i="17"/>
  <c r="J108" i="17"/>
  <c r="J138" i="17"/>
  <c r="J110" i="17"/>
  <c r="J14" i="17"/>
  <c r="J133" i="17"/>
  <c r="J97" i="17"/>
  <c r="J113" i="17"/>
  <c r="J98" i="17"/>
  <c r="J69" i="17"/>
  <c r="J132" i="17"/>
  <c r="J72" i="17"/>
  <c r="J47" i="17"/>
  <c r="J74" i="17"/>
  <c r="J126" i="17"/>
  <c r="J153" i="17"/>
  <c r="J117" i="17"/>
  <c r="J136" i="17"/>
  <c r="J62" i="17"/>
  <c r="J82" i="17"/>
  <c r="J40" i="17"/>
  <c r="J13" i="17"/>
  <c r="J87" i="17"/>
  <c r="J92" i="17"/>
  <c r="J124" i="17"/>
  <c r="J101" i="17"/>
  <c r="J134" i="17"/>
  <c r="J95" i="17"/>
  <c r="J143" i="17"/>
  <c r="J42" i="17"/>
  <c r="J68" i="17"/>
  <c r="J20" i="17"/>
  <c r="J122" i="17"/>
  <c r="J107" i="17"/>
  <c r="J147" i="17"/>
  <c r="J128" i="17"/>
  <c r="J59" i="17"/>
  <c r="J89" i="17"/>
  <c r="J102" i="17"/>
  <c r="J150" i="17"/>
  <c r="J120" i="17"/>
  <c r="J50" i="17"/>
  <c r="J52" i="17"/>
  <c r="J58" i="17"/>
  <c r="J26" i="17"/>
  <c r="J83" i="17"/>
  <c r="J55" i="17"/>
  <c r="J27" i="17"/>
  <c r="J111" i="17"/>
  <c r="J91" i="17"/>
  <c r="J148" i="17"/>
  <c r="J81" i="17"/>
  <c r="J119" i="17"/>
  <c r="J88" i="17"/>
  <c r="J99" i="17"/>
  <c r="J10" i="17"/>
  <c r="J130" i="17"/>
  <c r="J96" i="17"/>
  <c r="J129" i="17"/>
  <c r="J149" i="17"/>
  <c r="J140" i="17"/>
  <c r="J145" i="17"/>
  <c r="J155" i="17"/>
  <c r="J121" i="17"/>
  <c r="J70" i="17"/>
  <c r="J137" i="17"/>
  <c r="J9" i="17"/>
  <c r="J28" i="17"/>
  <c r="J32" i="17"/>
  <c r="J135" i="17"/>
  <c r="J45" i="17"/>
  <c r="J38" i="17"/>
  <c r="J65" i="17"/>
  <c r="J36" i="17"/>
  <c r="J7" i="17"/>
  <c r="J75" i="17"/>
  <c r="J49" i="17"/>
  <c r="J85" i="17"/>
  <c r="J35" i="17"/>
  <c r="J114" i="17"/>
  <c r="J12" i="17"/>
  <c r="J56" i="17"/>
  <c r="J78" i="17"/>
  <c r="J37" i="17"/>
  <c r="J51" i="17"/>
  <c r="J24" i="17"/>
  <c r="J16" i="17"/>
  <c r="J19" i="17"/>
  <c r="J22" i="17"/>
  <c r="J33" i="17"/>
  <c r="J25" i="17"/>
  <c r="J15" i="17"/>
  <c r="J144" i="17"/>
  <c r="J64" i="17"/>
  <c r="J123" i="17"/>
  <c r="J23" i="17"/>
  <c r="J125" i="17"/>
  <c r="J67" i="17"/>
  <c r="J86" i="17"/>
  <c r="J29" i="17"/>
  <c r="J66" i="17"/>
  <c r="J48" i="17"/>
  <c r="J18" i="17"/>
  <c r="J44" i="17"/>
  <c r="J154" i="17"/>
  <c r="J71" i="17"/>
  <c r="J17" i="17"/>
  <c r="J146" i="17"/>
  <c r="J30" i="17"/>
  <c r="J151" i="17"/>
  <c r="J41" i="17"/>
  <c r="J63" i="17"/>
  <c r="J93" i="17"/>
  <c r="J31" i="17"/>
  <c r="J73" i="17"/>
  <c r="J8" i="17"/>
  <c r="J53" i="17"/>
  <c r="J6" i="17"/>
  <c r="J79" i="17"/>
  <c r="I156" i="17" l="1"/>
  <c r="J156" i="17" l="1"/>
  <c r="J157" i="17"/>
  <c r="K138" i="17" s="1"/>
  <c r="L138" i="17" s="1"/>
  <c r="K156" i="17" l="1"/>
  <c r="L156" i="17" s="1"/>
  <c r="AB138" i="17"/>
  <c r="Z138" i="17"/>
  <c r="K146" i="17"/>
  <c r="L146" i="17" s="1"/>
  <c r="K73" i="17"/>
  <c r="L73" i="17" s="1"/>
  <c r="K67" i="17"/>
  <c r="L67" i="17" s="1"/>
  <c r="K56" i="17"/>
  <c r="L56" i="17" s="1"/>
  <c r="K145" i="17"/>
  <c r="L145" i="17" s="1"/>
  <c r="K107" i="17"/>
  <c r="L107" i="17" s="1"/>
  <c r="K41" i="17"/>
  <c r="K130" i="17"/>
  <c r="L130" i="17" s="1"/>
  <c r="K119" i="17"/>
  <c r="L119" i="17" s="1"/>
  <c r="K91" i="17"/>
  <c r="L91" i="17" s="1"/>
  <c r="K7" i="17"/>
  <c r="L7" i="17" s="1"/>
  <c r="K6" i="17"/>
  <c r="K55" i="17"/>
  <c r="L55" i="17" s="1"/>
  <c r="K128" i="17"/>
  <c r="L128" i="17" s="1"/>
  <c r="K37" i="17"/>
  <c r="K122" i="17"/>
  <c r="L122" i="17" s="1"/>
  <c r="K148" i="17"/>
  <c r="L148" i="17" s="1"/>
  <c r="K95" i="17"/>
  <c r="L95" i="17" s="1"/>
  <c r="K40" i="17"/>
  <c r="L40" i="17" s="1"/>
  <c r="K47" i="17"/>
  <c r="L47" i="17" s="1"/>
  <c r="K147" i="17"/>
  <c r="L147" i="17" s="1"/>
  <c r="K27" i="17"/>
  <c r="L27" i="17" s="1"/>
  <c r="K65" i="17"/>
  <c r="L65" i="17" s="1"/>
  <c r="K34" i="17"/>
  <c r="L34" i="17" s="1"/>
  <c r="K152" i="17"/>
  <c r="L152" i="17" s="1"/>
  <c r="K90" i="17"/>
  <c r="L90" i="17" s="1"/>
  <c r="K77" i="17"/>
  <c r="L77" i="17" s="1"/>
  <c r="K116" i="17"/>
  <c r="L116" i="17" s="1"/>
  <c r="K127" i="17"/>
  <c r="L127" i="17" s="1"/>
  <c r="K109" i="17"/>
  <c r="L109" i="17" s="1"/>
  <c r="K106" i="17"/>
  <c r="L106" i="17" s="1"/>
  <c r="K76" i="17"/>
  <c r="L76" i="17" s="1"/>
  <c r="K61" i="17"/>
  <c r="L61" i="17" s="1"/>
  <c r="K97" i="17"/>
  <c r="L97" i="17" s="1"/>
  <c r="K142" i="17"/>
  <c r="L142" i="17" s="1"/>
  <c r="K11" i="17"/>
  <c r="L11" i="17" s="1"/>
  <c r="K131" i="17"/>
  <c r="L131" i="17" s="1"/>
  <c r="K43" i="17"/>
  <c r="L43" i="17" s="1"/>
  <c r="K115" i="17"/>
  <c r="L115" i="17" s="1"/>
  <c r="K108" i="17"/>
  <c r="L108" i="17" s="1"/>
  <c r="K54" i="17"/>
  <c r="L54" i="17" s="1"/>
  <c r="K112" i="17"/>
  <c r="L112" i="17" s="1"/>
  <c r="K14" i="17"/>
  <c r="L14" i="17" s="1"/>
  <c r="K103" i="17"/>
  <c r="L103" i="17" s="1"/>
  <c r="K80" i="17"/>
  <c r="L80" i="17" s="1"/>
  <c r="K39" i="17"/>
  <c r="L39" i="17" s="1"/>
  <c r="K118" i="17"/>
  <c r="L118" i="17" s="1"/>
  <c r="K60" i="17"/>
  <c r="L60" i="17" s="1"/>
  <c r="K113" i="17"/>
  <c r="L113" i="17" s="1"/>
  <c r="K141" i="17"/>
  <c r="L141" i="17" s="1"/>
  <c r="K46" i="17"/>
  <c r="L46" i="17" s="1"/>
  <c r="K104" i="17"/>
  <c r="L104" i="17" s="1"/>
  <c r="K57" i="17"/>
  <c r="L57" i="17" s="1"/>
  <c r="K139" i="17"/>
  <c r="L139" i="17" s="1"/>
  <c r="K126" i="17"/>
  <c r="L126" i="17" s="1"/>
  <c r="K96" i="17"/>
  <c r="L96" i="17" s="1"/>
  <c r="K88" i="17"/>
  <c r="L88" i="17" s="1"/>
  <c r="K68" i="17"/>
  <c r="L68" i="17" s="1"/>
  <c r="K111" i="17"/>
  <c r="L111" i="17" s="1"/>
  <c r="K25" i="17"/>
  <c r="K69" i="17"/>
  <c r="L69" i="17" s="1"/>
  <c r="K94" i="17"/>
  <c r="L94" i="17" s="1"/>
  <c r="K100" i="17"/>
  <c r="L100" i="17" s="1"/>
  <c r="K105" i="17"/>
  <c r="L105" i="17" s="1"/>
  <c r="K13" i="17"/>
  <c r="L13" i="17" s="1"/>
  <c r="K101" i="17"/>
  <c r="L101" i="17" s="1"/>
  <c r="K81" i="17"/>
  <c r="L81" i="17" s="1"/>
  <c r="K151" i="17"/>
  <c r="L151" i="17" s="1"/>
  <c r="K75" i="17"/>
  <c r="L75" i="17" s="1"/>
  <c r="K114" i="17"/>
  <c r="L114" i="17" s="1"/>
  <c r="K149" i="17"/>
  <c r="L149" i="17" s="1"/>
  <c r="K84" i="17"/>
  <c r="L84" i="17" s="1"/>
  <c r="K153" i="17"/>
  <c r="L153" i="17" s="1"/>
  <c r="K133" i="17"/>
  <c r="L133" i="17" s="1"/>
  <c r="K143" i="17"/>
  <c r="L143" i="17" s="1"/>
  <c r="K9" i="17"/>
  <c r="L9" i="17" s="1"/>
  <c r="K87" i="17"/>
  <c r="L87" i="17" s="1"/>
  <c r="K62" i="17"/>
  <c r="L62" i="17" s="1"/>
  <c r="K31" i="17"/>
  <c r="K38" i="17"/>
  <c r="L38" i="17" s="1"/>
  <c r="K85" i="17"/>
  <c r="L85" i="17" s="1"/>
  <c r="K102" i="17"/>
  <c r="L102" i="17" s="1"/>
  <c r="K8" i="17"/>
  <c r="K53" i="17"/>
  <c r="K155" i="17"/>
  <c r="L155" i="17" s="1"/>
  <c r="K26" i="17"/>
  <c r="L26" i="17" s="1"/>
  <c r="K64" i="17"/>
  <c r="L64" i="17" s="1"/>
  <c r="K121" i="17"/>
  <c r="L121" i="17" s="1"/>
  <c r="K33" i="17"/>
  <c r="L33" i="17" s="1"/>
  <c r="K89" i="17"/>
  <c r="L89" i="17" s="1"/>
  <c r="K86" i="17"/>
  <c r="L86" i="17" s="1"/>
  <c r="K92" i="17"/>
  <c r="L92" i="17" s="1"/>
  <c r="K117" i="17"/>
  <c r="L117" i="17" s="1"/>
  <c r="K22" i="17"/>
  <c r="K51" i="17"/>
  <c r="K132" i="17"/>
  <c r="L132" i="17" s="1"/>
  <c r="K24" i="17"/>
  <c r="K52" i="17"/>
  <c r="L52" i="17" s="1"/>
  <c r="K71" i="17"/>
  <c r="K123" i="17"/>
  <c r="L123" i="17" s="1"/>
  <c r="K44" i="17"/>
  <c r="K93" i="17"/>
  <c r="L93" i="17" s="1"/>
  <c r="K12" i="17"/>
  <c r="L12" i="17" s="1"/>
  <c r="K154" i="17"/>
  <c r="L154" i="17" s="1"/>
  <c r="K63" i="17"/>
  <c r="L63" i="17" s="1"/>
  <c r="K48" i="17"/>
  <c r="L48" i="17" s="1"/>
  <c r="K15" i="17"/>
  <c r="L15" i="17" s="1"/>
  <c r="K18" i="17"/>
  <c r="K30" i="17"/>
  <c r="L30" i="17" s="1"/>
  <c r="K49" i="17"/>
  <c r="L49" i="17" s="1"/>
  <c r="K36" i="17"/>
  <c r="L36" i="17" s="1"/>
  <c r="K19" i="17"/>
  <c r="K70" i="17"/>
  <c r="L70" i="17" s="1"/>
  <c r="K99" i="17"/>
  <c r="L99" i="17" s="1"/>
  <c r="K28" i="17"/>
  <c r="L28" i="17" s="1"/>
  <c r="K10" i="17"/>
  <c r="L10" i="17" s="1"/>
  <c r="K137" i="17"/>
  <c r="L137" i="17" s="1"/>
  <c r="K150" i="17"/>
  <c r="L150" i="17" s="1"/>
  <c r="K134" i="17"/>
  <c r="L134" i="17" s="1"/>
  <c r="K136" i="17"/>
  <c r="L136" i="17" s="1"/>
  <c r="K72" i="17"/>
  <c r="L72" i="17" s="1"/>
  <c r="K124" i="17"/>
  <c r="L124" i="17" s="1"/>
  <c r="K140" i="17"/>
  <c r="L140" i="17" s="1"/>
  <c r="K20" i="17"/>
  <c r="L20" i="17" s="1"/>
  <c r="K135" i="17"/>
  <c r="L135" i="17" s="1"/>
  <c r="K32" i="17"/>
  <c r="L32" i="17" s="1"/>
  <c r="K29" i="17"/>
  <c r="L29" i="17" s="1"/>
  <c r="K23" i="17"/>
  <c r="L23" i="17" s="1"/>
  <c r="K79" i="17"/>
  <c r="K35" i="17"/>
  <c r="L35" i="17" s="1"/>
  <c r="K50" i="17"/>
  <c r="L50" i="17" s="1"/>
  <c r="K16" i="17"/>
  <c r="L16" i="17" s="1"/>
  <c r="K129" i="17"/>
  <c r="L129" i="17" s="1"/>
  <c r="K120" i="17"/>
  <c r="L120" i="17" s="1"/>
  <c r="K66" i="17"/>
  <c r="K125" i="17"/>
  <c r="L125" i="17" s="1"/>
  <c r="K45" i="17"/>
  <c r="K17" i="17"/>
  <c r="K82" i="17"/>
  <c r="L82" i="17" s="1"/>
  <c r="K98" i="17"/>
  <c r="L98" i="17" s="1"/>
  <c r="K110" i="17"/>
  <c r="L110" i="17" s="1"/>
  <c r="K21" i="17"/>
  <c r="L21" i="17" s="1"/>
  <c r="K74" i="17"/>
  <c r="L74" i="17" s="1"/>
  <c r="K42" i="17"/>
  <c r="L42" i="17" s="1"/>
  <c r="K58" i="17"/>
  <c r="L58" i="17" s="1"/>
  <c r="K59" i="17"/>
  <c r="L59" i="17" s="1"/>
  <c r="K78" i="17"/>
  <c r="L78" i="17" s="1"/>
  <c r="K83" i="17"/>
  <c r="L83" i="17" s="1"/>
  <c r="K144" i="17"/>
  <c r="L144" i="17" s="1"/>
  <c r="Z156" i="17" l="1"/>
  <c r="F156" i="24" s="1"/>
  <c r="G156" i="24" s="1"/>
  <c r="AB156" i="17"/>
  <c r="AB59" i="17"/>
  <c r="Z59" i="17"/>
  <c r="AB42" i="17"/>
  <c r="Z42" i="17"/>
  <c r="AB125" i="17"/>
  <c r="Z125" i="17"/>
  <c r="AB78" i="17"/>
  <c r="Z78" i="17"/>
  <c r="AB74" i="17"/>
  <c r="Z74" i="17"/>
  <c r="AB82" i="17"/>
  <c r="Z82" i="17"/>
  <c r="L66" i="17"/>
  <c r="AB50" i="17"/>
  <c r="Z50" i="17"/>
  <c r="AB29" i="17"/>
  <c r="Z29" i="17"/>
  <c r="AB140" i="17"/>
  <c r="Z140" i="17"/>
  <c r="AB134" i="17"/>
  <c r="Z134" i="17"/>
  <c r="AB28" i="17"/>
  <c r="Z28" i="17"/>
  <c r="AB36" i="17"/>
  <c r="Z36" i="17"/>
  <c r="AB15" i="17"/>
  <c r="Z15" i="17"/>
  <c r="AB12" i="17"/>
  <c r="Z12" i="17"/>
  <c r="L71" i="17"/>
  <c r="L51" i="17"/>
  <c r="AB86" i="17"/>
  <c r="Z86" i="17"/>
  <c r="AB64" i="17"/>
  <c r="Z64" i="17"/>
  <c r="L8" i="17"/>
  <c r="L31" i="17"/>
  <c r="AB143" i="17"/>
  <c r="Z143" i="17"/>
  <c r="AB149" i="17"/>
  <c r="Z149" i="17"/>
  <c r="AB81" i="17"/>
  <c r="Z81" i="17"/>
  <c r="AB100" i="17"/>
  <c r="Z100" i="17"/>
  <c r="AB111" i="17"/>
  <c r="Z111" i="17"/>
  <c r="AB126" i="17"/>
  <c r="Z126" i="17"/>
  <c r="AB46" i="17"/>
  <c r="Z46" i="17"/>
  <c r="AB118" i="17"/>
  <c r="Z118" i="17"/>
  <c r="AB14" i="17"/>
  <c r="Z14" i="17"/>
  <c r="AB115" i="17"/>
  <c r="Z115" i="17"/>
  <c r="AB142" i="17"/>
  <c r="Z142" i="17"/>
  <c r="AB106" i="17"/>
  <c r="Z106" i="17"/>
  <c r="AB77" i="17"/>
  <c r="Z77" i="17"/>
  <c r="AB65" i="17"/>
  <c r="Z65" i="17"/>
  <c r="AB40" i="17"/>
  <c r="Z40" i="17"/>
  <c r="L37" i="17"/>
  <c r="AB7" i="17"/>
  <c r="Z7" i="17"/>
  <c r="L41" i="17"/>
  <c r="AB67" i="17"/>
  <c r="Z67" i="17"/>
  <c r="AB21" i="17"/>
  <c r="Z21" i="17"/>
  <c r="L17" i="17"/>
  <c r="AB120" i="17"/>
  <c r="Z120" i="17"/>
  <c r="AB35" i="17"/>
  <c r="Z35" i="17"/>
  <c r="AB32" i="17"/>
  <c r="Z32" i="17"/>
  <c r="AB124" i="17"/>
  <c r="Z124" i="17"/>
  <c r="AB150" i="17"/>
  <c r="Z150" i="17"/>
  <c r="AB99" i="17"/>
  <c r="Z99" i="17"/>
  <c r="AB49" i="17"/>
  <c r="Z49" i="17"/>
  <c r="AB48" i="17"/>
  <c r="Z48" i="17"/>
  <c r="AB93" i="17"/>
  <c r="Z93" i="17"/>
  <c r="AB52" i="17"/>
  <c r="Z52" i="17"/>
  <c r="L22" i="17"/>
  <c r="AB89" i="17"/>
  <c r="Z89" i="17"/>
  <c r="AB26" i="17"/>
  <c r="Z26" i="17"/>
  <c r="AB102" i="17"/>
  <c r="Z102" i="17"/>
  <c r="AB62" i="17"/>
  <c r="Z62" i="17"/>
  <c r="AB133" i="17"/>
  <c r="Z133" i="17"/>
  <c r="AB114" i="17"/>
  <c r="Z114" i="17"/>
  <c r="AB101" i="17"/>
  <c r="Z101" i="17"/>
  <c r="AB94" i="17"/>
  <c r="Z94" i="17"/>
  <c r="AB68" i="17"/>
  <c r="Z68" i="17"/>
  <c r="AB139" i="17"/>
  <c r="Z139" i="17"/>
  <c r="AB141" i="17"/>
  <c r="Z141" i="17"/>
  <c r="AB39" i="17"/>
  <c r="Z39" i="17"/>
  <c r="AB112" i="17"/>
  <c r="Z112" i="17"/>
  <c r="AB43" i="17"/>
  <c r="Z43" i="17"/>
  <c r="AB97" i="17"/>
  <c r="Z97" i="17"/>
  <c r="AB109" i="17"/>
  <c r="Z109" i="17"/>
  <c r="AB90" i="17"/>
  <c r="Z90" i="17"/>
  <c r="AB27" i="17"/>
  <c r="Z27" i="17"/>
  <c r="AB95" i="17"/>
  <c r="Z95" i="17"/>
  <c r="AB128" i="17"/>
  <c r="Z128" i="17"/>
  <c r="AB91" i="17"/>
  <c r="Z91" i="17"/>
  <c r="AB107" i="17"/>
  <c r="Z107" i="17"/>
  <c r="AB73" i="17"/>
  <c r="Z73" i="17"/>
  <c r="F138" i="24"/>
  <c r="G138" i="24" s="1"/>
  <c r="H138" i="24" s="1"/>
  <c r="AE138" i="17"/>
  <c r="AB144" i="17"/>
  <c r="Z144" i="17"/>
  <c r="AB58" i="17"/>
  <c r="Z58" i="17"/>
  <c r="AB110" i="17"/>
  <c r="Z110" i="17"/>
  <c r="L45" i="17"/>
  <c r="AB129" i="17"/>
  <c r="Z129" i="17"/>
  <c r="L79" i="17"/>
  <c r="AB135" i="17"/>
  <c r="Z135" i="17"/>
  <c r="AB72" i="17"/>
  <c r="Z72" i="17"/>
  <c r="AB137" i="17"/>
  <c r="Z137" i="17"/>
  <c r="AB70" i="17"/>
  <c r="Z70" i="17"/>
  <c r="AB30" i="17"/>
  <c r="Z30" i="17"/>
  <c r="AB63" i="17"/>
  <c r="Z63" i="17"/>
  <c r="L44" i="17"/>
  <c r="L24" i="17"/>
  <c r="AB117" i="17"/>
  <c r="Z117" i="17"/>
  <c r="AB33" i="17"/>
  <c r="Z33" i="17"/>
  <c r="AB155" i="17"/>
  <c r="Z155" i="17"/>
  <c r="AB85" i="17"/>
  <c r="Z85" i="17"/>
  <c r="AB87" i="17"/>
  <c r="Z87" i="17"/>
  <c r="AB153" i="17"/>
  <c r="Z153" i="17"/>
  <c r="AB75" i="17"/>
  <c r="Z75" i="17"/>
  <c r="AB13" i="17"/>
  <c r="Z13" i="17"/>
  <c r="AB69" i="17"/>
  <c r="Z69" i="17"/>
  <c r="AB88" i="17"/>
  <c r="Z88" i="17"/>
  <c r="AB57" i="17"/>
  <c r="Z57" i="17"/>
  <c r="AB113" i="17"/>
  <c r="Z113" i="17"/>
  <c r="AB80" i="17"/>
  <c r="Z80" i="17"/>
  <c r="AB54" i="17"/>
  <c r="Z54" i="17"/>
  <c r="AB131" i="17"/>
  <c r="Z131" i="17"/>
  <c r="AB61" i="17"/>
  <c r="Z61" i="17"/>
  <c r="Z127" i="17"/>
  <c r="AB127" i="17"/>
  <c r="AB152" i="17"/>
  <c r="Z152" i="17"/>
  <c r="AB147" i="17"/>
  <c r="Z147" i="17"/>
  <c r="AB148" i="17"/>
  <c r="Z148" i="17"/>
  <c r="AB55" i="17"/>
  <c r="Z55" i="17"/>
  <c r="AB119" i="17"/>
  <c r="Z119" i="17"/>
  <c r="AB145" i="17"/>
  <c r="Z145" i="17"/>
  <c r="AB146" i="17"/>
  <c r="Z146" i="17"/>
  <c r="AB83" i="17"/>
  <c r="Z83" i="17"/>
  <c r="AB98" i="17"/>
  <c r="Z98" i="17"/>
  <c r="AB16" i="17"/>
  <c r="Z16" i="17"/>
  <c r="AB23" i="17"/>
  <c r="Z23" i="17"/>
  <c r="AB20" i="17"/>
  <c r="Z20" i="17"/>
  <c r="AB136" i="17"/>
  <c r="Z136" i="17"/>
  <c r="AB10" i="17"/>
  <c r="Z10" i="17"/>
  <c r="L19" i="17"/>
  <c r="L18" i="17"/>
  <c r="AB154" i="17"/>
  <c r="Z154" i="17"/>
  <c r="AB123" i="17"/>
  <c r="Z123" i="17"/>
  <c r="AB132" i="17"/>
  <c r="Z132" i="17"/>
  <c r="AB92" i="17"/>
  <c r="Z92" i="17"/>
  <c r="AB121" i="17"/>
  <c r="Z121" i="17"/>
  <c r="L53" i="17"/>
  <c r="AB38" i="17"/>
  <c r="Z38" i="17"/>
  <c r="AB9" i="17"/>
  <c r="Z9" i="17"/>
  <c r="AB84" i="17"/>
  <c r="Z84" i="17"/>
  <c r="AB151" i="17"/>
  <c r="Z151" i="17"/>
  <c r="Z105" i="17"/>
  <c r="AB105" i="17"/>
  <c r="L25" i="17"/>
  <c r="AB96" i="17"/>
  <c r="Z96" i="17"/>
  <c r="AB104" i="17"/>
  <c r="Z104" i="17"/>
  <c r="AB60" i="17"/>
  <c r="Z60" i="17"/>
  <c r="AB103" i="17"/>
  <c r="Z103" i="17"/>
  <c r="AB108" i="17"/>
  <c r="Z108" i="17"/>
  <c r="AB11" i="17"/>
  <c r="Z11" i="17"/>
  <c r="AB76" i="17"/>
  <c r="Z76" i="17"/>
  <c r="AB116" i="17"/>
  <c r="Z116" i="17"/>
  <c r="AB34" i="17"/>
  <c r="Z34" i="17"/>
  <c r="AB47" i="17"/>
  <c r="Z47" i="17"/>
  <c r="AB122" i="17"/>
  <c r="Z122" i="17"/>
  <c r="K157" i="17"/>
  <c r="L6" i="17"/>
  <c r="AB130" i="17"/>
  <c r="Z130" i="17"/>
  <c r="AB56" i="17"/>
  <c r="Z56" i="17"/>
  <c r="AE156" i="17" l="1"/>
  <c r="AG156" i="17" s="1"/>
  <c r="N156" i="24" s="1"/>
  <c r="O156" i="24" s="1"/>
  <c r="J156" i="24"/>
  <c r="K156" i="24" s="1"/>
  <c r="F130" i="24"/>
  <c r="G130" i="24" s="1"/>
  <c r="H130" i="24" s="1"/>
  <c r="AE130" i="17"/>
  <c r="F58" i="24"/>
  <c r="G58" i="24" s="1"/>
  <c r="H58" i="24" s="1"/>
  <c r="AE58" i="17"/>
  <c r="F91" i="24"/>
  <c r="G91" i="24" s="1"/>
  <c r="H91" i="24" s="1"/>
  <c r="AE91" i="17"/>
  <c r="F90" i="24"/>
  <c r="G90" i="24" s="1"/>
  <c r="H90" i="24" s="1"/>
  <c r="AE90" i="17"/>
  <c r="F112" i="24"/>
  <c r="G112" i="24" s="1"/>
  <c r="H112" i="24" s="1"/>
  <c r="AE112" i="17"/>
  <c r="F68" i="24"/>
  <c r="G68" i="24" s="1"/>
  <c r="H68" i="24" s="1"/>
  <c r="AE68" i="17"/>
  <c r="F133" i="24"/>
  <c r="G133" i="24" s="1"/>
  <c r="H133" i="24" s="1"/>
  <c r="AE133" i="17"/>
  <c r="F89" i="24"/>
  <c r="G89" i="24" s="1"/>
  <c r="H89" i="24" s="1"/>
  <c r="AE89" i="17"/>
  <c r="F56" i="24"/>
  <c r="G56" i="24" s="1"/>
  <c r="H56" i="24" s="1"/>
  <c r="AE56" i="17"/>
  <c r="F47" i="24"/>
  <c r="G47" i="24" s="1"/>
  <c r="H47" i="24" s="1"/>
  <c r="AE47" i="17"/>
  <c r="F11" i="24"/>
  <c r="G11" i="24" s="1"/>
  <c r="H11" i="24" s="1"/>
  <c r="AE11" i="17"/>
  <c r="F104" i="24"/>
  <c r="G104" i="24" s="1"/>
  <c r="H104" i="24" s="1"/>
  <c r="AE104" i="17"/>
  <c r="F38" i="24"/>
  <c r="G38" i="24" s="1"/>
  <c r="H38" i="24" s="1"/>
  <c r="AE38" i="17"/>
  <c r="F92" i="24"/>
  <c r="G92" i="24" s="1"/>
  <c r="H92" i="24" s="1"/>
  <c r="AE92" i="17"/>
  <c r="AB18" i="17"/>
  <c r="Z18" i="17"/>
  <c r="F10" i="24"/>
  <c r="G10" i="24" s="1"/>
  <c r="H10" i="24" s="1"/>
  <c r="AE10" i="17"/>
  <c r="F16" i="24"/>
  <c r="G16" i="24" s="1"/>
  <c r="H16" i="24" s="1"/>
  <c r="AE16" i="17"/>
  <c r="AE55" i="17"/>
  <c r="F55" i="24"/>
  <c r="G55" i="24" s="1"/>
  <c r="H55" i="24" s="1"/>
  <c r="F80" i="24"/>
  <c r="G80" i="24" s="1"/>
  <c r="H80" i="24" s="1"/>
  <c r="AE80" i="17"/>
  <c r="F69" i="24"/>
  <c r="G69" i="24" s="1"/>
  <c r="H69" i="24" s="1"/>
  <c r="AE69" i="17"/>
  <c r="F87" i="24"/>
  <c r="G87" i="24" s="1"/>
  <c r="H87" i="24" s="1"/>
  <c r="AE87" i="17"/>
  <c r="F117" i="24"/>
  <c r="G117" i="24" s="1"/>
  <c r="H117" i="24" s="1"/>
  <c r="AE117" i="17"/>
  <c r="F137" i="24"/>
  <c r="G137" i="24" s="1"/>
  <c r="H137" i="24" s="1"/>
  <c r="AE137" i="17"/>
  <c r="AE110" i="17"/>
  <c r="F110" i="24"/>
  <c r="G110" i="24" s="1"/>
  <c r="H110" i="24" s="1"/>
  <c r="F107" i="24"/>
  <c r="G107" i="24" s="1"/>
  <c r="H107" i="24" s="1"/>
  <c r="AE107" i="17"/>
  <c r="F27" i="24"/>
  <c r="G27" i="24" s="1"/>
  <c r="H27" i="24" s="1"/>
  <c r="AE27" i="17"/>
  <c r="AE43" i="17"/>
  <c r="F43" i="24"/>
  <c r="G43" i="24" s="1"/>
  <c r="H43" i="24" s="1"/>
  <c r="F139" i="24"/>
  <c r="G139" i="24" s="1"/>
  <c r="H139" i="24" s="1"/>
  <c r="AE139" i="17"/>
  <c r="F114" i="24"/>
  <c r="G114" i="24" s="1"/>
  <c r="H114" i="24" s="1"/>
  <c r="AE114" i="17"/>
  <c r="F26" i="24"/>
  <c r="G26" i="24" s="1"/>
  <c r="H26" i="24" s="1"/>
  <c r="AE26" i="17"/>
  <c r="AE52" i="17"/>
  <c r="F52" i="24"/>
  <c r="G52" i="24" s="1"/>
  <c r="H52" i="24" s="1"/>
  <c r="F99" i="24"/>
  <c r="G99" i="24" s="1"/>
  <c r="H99" i="24" s="1"/>
  <c r="AE99" i="17"/>
  <c r="F35" i="24"/>
  <c r="G35" i="24" s="1"/>
  <c r="H35" i="24" s="1"/>
  <c r="AE35" i="17"/>
  <c r="F21" i="24"/>
  <c r="G21" i="24" s="1"/>
  <c r="H21" i="24" s="1"/>
  <c r="AE21" i="17"/>
  <c r="F7" i="24"/>
  <c r="G7" i="24" s="1"/>
  <c r="H7" i="24" s="1"/>
  <c r="AE7" i="17"/>
  <c r="F65" i="24"/>
  <c r="G65" i="24" s="1"/>
  <c r="H65" i="24" s="1"/>
  <c r="AE65" i="17"/>
  <c r="AE115" i="17"/>
  <c r="F115" i="24"/>
  <c r="G115" i="24" s="1"/>
  <c r="H115" i="24" s="1"/>
  <c r="F126" i="24"/>
  <c r="G126" i="24" s="1"/>
  <c r="H126" i="24" s="1"/>
  <c r="AE126" i="17"/>
  <c r="F149" i="24"/>
  <c r="G149" i="24" s="1"/>
  <c r="H149" i="24" s="1"/>
  <c r="AE149" i="17"/>
  <c r="AB8" i="17"/>
  <c r="Z8" i="17"/>
  <c r="AB51" i="17"/>
  <c r="Z51" i="17"/>
  <c r="F12" i="24"/>
  <c r="G12" i="24" s="1"/>
  <c r="H12" i="24" s="1"/>
  <c r="AE12" i="17"/>
  <c r="F134" i="24"/>
  <c r="G134" i="24" s="1"/>
  <c r="H134" i="24" s="1"/>
  <c r="AE134" i="17"/>
  <c r="AB66" i="17"/>
  <c r="Z66" i="17"/>
  <c r="AE78" i="17"/>
  <c r="F78" i="24"/>
  <c r="G78" i="24" s="1"/>
  <c r="H78" i="24" s="1"/>
  <c r="F23" i="24"/>
  <c r="G23" i="24" s="1"/>
  <c r="H23" i="24" s="1"/>
  <c r="AE23" i="17"/>
  <c r="F119" i="24"/>
  <c r="G119" i="24" s="1"/>
  <c r="H119" i="24" s="1"/>
  <c r="AE119" i="17"/>
  <c r="F152" i="24"/>
  <c r="G152" i="24" s="1"/>
  <c r="H152" i="24" s="1"/>
  <c r="AE152" i="17"/>
  <c r="F127" i="24"/>
  <c r="G127" i="24" s="1"/>
  <c r="H127" i="24" s="1"/>
  <c r="AE127" i="17"/>
  <c r="F54" i="24"/>
  <c r="G54" i="24" s="1"/>
  <c r="H54" i="24" s="1"/>
  <c r="AE54" i="17"/>
  <c r="F88" i="24"/>
  <c r="G88" i="24" s="1"/>
  <c r="H88" i="24" s="1"/>
  <c r="AE88" i="17"/>
  <c r="F153" i="24"/>
  <c r="G153" i="24" s="1"/>
  <c r="H153" i="24" s="1"/>
  <c r="AE153" i="17"/>
  <c r="F33" i="24"/>
  <c r="G33" i="24" s="1"/>
  <c r="H33" i="24" s="1"/>
  <c r="AE33" i="17"/>
  <c r="AB44" i="17"/>
  <c r="Z44" i="17"/>
  <c r="F70" i="24"/>
  <c r="G70" i="24" s="1"/>
  <c r="H70" i="24" s="1"/>
  <c r="AE70" i="17"/>
  <c r="AB79" i="17"/>
  <c r="Z79" i="17"/>
  <c r="J138" i="24"/>
  <c r="K138" i="24" s="1"/>
  <c r="L138" i="24" s="1"/>
  <c r="AG138" i="17"/>
  <c r="N138" i="24" s="1"/>
  <c r="O138" i="24" s="1"/>
  <c r="P138" i="24" s="1"/>
  <c r="F73" i="24"/>
  <c r="G73" i="24" s="1"/>
  <c r="H73" i="24" s="1"/>
  <c r="AE73" i="17"/>
  <c r="F95" i="24"/>
  <c r="G95" i="24" s="1"/>
  <c r="H95" i="24" s="1"/>
  <c r="AE95" i="17"/>
  <c r="F97" i="24"/>
  <c r="G97" i="24" s="1"/>
  <c r="H97" i="24" s="1"/>
  <c r="AE97" i="17"/>
  <c r="F141" i="24"/>
  <c r="G141" i="24" s="1"/>
  <c r="H141" i="24" s="1"/>
  <c r="AE141" i="17"/>
  <c r="F101" i="24"/>
  <c r="G101" i="24" s="1"/>
  <c r="H101" i="24" s="1"/>
  <c r="AE101" i="17"/>
  <c r="F102" i="24"/>
  <c r="G102" i="24" s="1"/>
  <c r="H102" i="24" s="1"/>
  <c r="AE102" i="17"/>
  <c r="F49" i="24"/>
  <c r="G49" i="24" s="1"/>
  <c r="H49" i="24" s="1"/>
  <c r="AE49" i="17"/>
  <c r="F32" i="24"/>
  <c r="G32" i="24" s="1"/>
  <c r="H32" i="24" s="1"/>
  <c r="AE32" i="17"/>
  <c r="F40" i="24"/>
  <c r="G40" i="24" s="1"/>
  <c r="H40" i="24" s="1"/>
  <c r="AE40" i="17"/>
  <c r="F142" i="24"/>
  <c r="G142" i="24" s="1"/>
  <c r="H142" i="24" s="1"/>
  <c r="AE142" i="17"/>
  <c r="F46" i="24"/>
  <c r="G46" i="24" s="1"/>
  <c r="H46" i="24" s="1"/>
  <c r="AE46" i="17"/>
  <c r="F81" i="24"/>
  <c r="G81" i="24" s="1"/>
  <c r="H81" i="24" s="1"/>
  <c r="AE81" i="17"/>
  <c r="F86" i="24"/>
  <c r="G86" i="24" s="1"/>
  <c r="H86" i="24" s="1"/>
  <c r="AE86" i="17"/>
  <c r="F28" i="24"/>
  <c r="G28" i="24" s="1"/>
  <c r="H28" i="24" s="1"/>
  <c r="AE28" i="17"/>
  <c r="F50" i="24"/>
  <c r="G50" i="24" s="1"/>
  <c r="H50" i="24" s="1"/>
  <c r="AE50" i="17"/>
  <c r="F74" i="24"/>
  <c r="G74" i="24" s="1"/>
  <c r="H74" i="24" s="1"/>
  <c r="AE74" i="17"/>
  <c r="F59" i="24"/>
  <c r="G59" i="24" s="1"/>
  <c r="H59" i="24" s="1"/>
  <c r="AE59" i="17"/>
  <c r="F34" i="24"/>
  <c r="G34" i="24" s="1"/>
  <c r="H34" i="24" s="1"/>
  <c r="AE34" i="17"/>
  <c r="F108" i="24"/>
  <c r="G108" i="24" s="1"/>
  <c r="H108" i="24" s="1"/>
  <c r="AE108" i="17"/>
  <c r="F96" i="24"/>
  <c r="G96" i="24" s="1"/>
  <c r="H96" i="24" s="1"/>
  <c r="AE96" i="17"/>
  <c r="F151" i="24"/>
  <c r="G151" i="24" s="1"/>
  <c r="H151" i="24" s="1"/>
  <c r="AE151" i="17"/>
  <c r="AB53" i="17"/>
  <c r="Z53" i="17"/>
  <c r="F132" i="24"/>
  <c r="G132" i="24" s="1"/>
  <c r="H132" i="24" s="1"/>
  <c r="AE132" i="17"/>
  <c r="F136" i="24"/>
  <c r="G136" i="24" s="1"/>
  <c r="H136" i="24" s="1"/>
  <c r="AE136" i="17"/>
  <c r="F98" i="24"/>
  <c r="G98" i="24" s="1"/>
  <c r="H98" i="24" s="1"/>
  <c r="AE98" i="17"/>
  <c r="AB24" i="17"/>
  <c r="Z24" i="17"/>
  <c r="F72" i="24"/>
  <c r="G72" i="24" s="1"/>
  <c r="H72" i="24" s="1"/>
  <c r="AE72" i="17"/>
  <c r="F122" i="24"/>
  <c r="G122" i="24" s="1"/>
  <c r="H122" i="24" s="1"/>
  <c r="AE122" i="17"/>
  <c r="F76" i="24"/>
  <c r="G76" i="24" s="1"/>
  <c r="H76" i="24" s="1"/>
  <c r="AE76" i="17"/>
  <c r="F60" i="24"/>
  <c r="G60" i="24" s="1"/>
  <c r="H60" i="24" s="1"/>
  <c r="AE60" i="17"/>
  <c r="F105" i="24"/>
  <c r="G105" i="24" s="1"/>
  <c r="H105" i="24" s="1"/>
  <c r="AE105" i="17"/>
  <c r="F9" i="24"/>
  <c r="G9" i="24" s="1"/>
  <c r="H9" i="24" s="1"/>
  <c r="AE9" i="17"/>
  <c r="F121" i="24"/>
  <c r="G121" i="24" s="1"/>
  <c r="H121" i="24" s="1"/>
  <c r="AE121" i="17"/>
  <c r="F154" i="24"/>
  <c r="G154" i="24" s="1"/>
  <c r="H154" i="24" s="1"/>
  <c r="AE154" i="17"/>
  <c r="L157" i="17"/>
  <c r="Z6" i="17"/>
  <c r="AB6" i="17"/>
  <c r="F116" i="24"/>
  <c r="G116" i="24" s="1"/>
  <c r="H116" i="24" s="1"/>
  <c r="AE116" i="17"/>
  <c r="F103" i="24"/>
  <c r="G103" i="24" s="1"/>
  <c r="H103" i="24" s="1"/>
  <c r="AE103" i="17"/>
  <c r="AB25" i="17"/>
  <c r="Z25" i="17"/>
  <c r="F84" i="24"/>
  <c r="G84" i="24" s="1"/>
  <c r="H84" i="24" s="1"/>
  <c r="AE84" i="17"/>
  <c r="F123" i="24"/>
  <c r="G123" i="24" s="1"/>
  <c r="H123" i="24" s="1"/>
  <c r="AE123" i="17"/>
  <c r="AB19" i="17"/>
  <c r="Z19" i="17"/>
  <c r="F20" i="24"/>
  <c r="G20" i="24" s="1"/>
  <c r="H20" i="24" s="1"/>
  <c r="AE20" i="17"/>
  <c r="AE83" i="17"/>
  <c r="F83" i="24"/>
  <c r="G83" i="24" s="1"/>
  <c r="H83" i="24" s="1"/>
  <c r="F145" i="24"/>
  <c r="G145" i="24" s="1"/>
  <c r="H145" i="24" s="1"/>
  <c r="AE145" i="17"/>
  <c r="F147" i="24"/>
  <c r="G147" i="24" s="1"/>
  <c r="H147" i="24" s="1"/>
  <c r="AE147" i="17"/>
  <c r="F131" i="24"/>
  <c r="G131" i="24" s="1"/>
  <c r="H131" i="24" s="1"/>
  <c r="AE131" i="17"/>
  <c r="F57" i="24"/>
  <c r="G57" i="24" s="1"/>
  <c r="H57" i="24" s="1"/>
  <c r="AE57" i="17"/>
  <c r="F75" i="24"/>
  <c r="G75" i="24" s="1"/>
  <c r="H75" i="24" s="1"/>
  <c r="AE75" i="17"/>
  <c r="F155" i="24"/>
  <c r="G155" i="24" s="1"/>
  <c r="H155" i="24" s="1"/>
  <c r="AE155" i="17"/>
  <c r="F30" i="24"/>
  <c r="G30" i="24" s="1"/>
  <c r="H30" i="24" s="1"/>
  <c r="AE30" i="17"/>
  <c r="F135" i="24"/>
  <c r="G135" i="24" s="1"/>
  <c r="H135" i="24" s="1"/>
  <c r="AE135" i="17"/>
  <c r="AB45" i="17"/>
  <c r="Z45" i="17"/>
  <c r="F144" i="24"/>
  <c r="G144" i="24" s="1"/>
  <c r="H144" i="24" s="1"/>
  <c r="AE144" i="17"/>
  <c r="F128" i="24"/>
  <c r="G128" i="24" s="1"/>
  <c r="H128" i="24" s="1"/>
  <c r="AE128" i="17"/>
  <c r="F109" i="24"/>
  <c r="G109" i="24" s="1"/>
  <c r="H109" i="24" s="1"/>
  <c r="AE109" i="17"/>
  <c r="F39" i="24"/>
  <c r="G39" i="24" s="1"/>
  <c r="H39" i="24" s="1"/>
  <c r="AE39" i="17"/>
  <c r="F94" i="24"/>
  <c r="G94" i="24" s="1"/>
  <c r="H94" i="24" s="1"/>
  <c r="AE94" i="17"/>
  <c r="F62" i="24"/>
  <c r="G62" i="24" s="1"/>
  <c r="H62" i="24" s="1"/>
  <c r="AE62" i="17"/>
  <c r="AB22" i="17"/>
  <c r="Z22" i="17"/>
  <c r="F48" i="24"/>
  <c r="G48" i="24" s="1"/>
  <c r="H48" i="24" s="1"/>
  <c r="AE48" i="17"/>
  <c r="F124" i="24"/>
  <c r="G124" i="24" s="1"/>
  <c r="H124" i="24" s="1"/>
  <c r="AE124" i="17"/>
  <c r="AB17" i="17"/>
  <c r="Z17" i="17"/>
  <c r="AB41" i="17"/>
  <c r="Z41" i="17"/>
  <c r="F106" i="24"/>
  <c r="G106" i="24" s="1"/>
  <c r="H106" i="24" s="1"/>
  <c r="AE106" i="17"/>
  <c r="F118" i="24"/>
  <c r="G118" i="24" s="1"/>
  <c r="H118" i="24" s="1"/>
  <c r="AE118" i="17"/>
  <c r="F100" i="24"/>
  <c r="G100" i="24" s="1"/>
  <c r="H100" i="24" s="1"/>
  <c r="AE100" i="17"/>
  <c r="AB31" i="17"/>
  <c r="Z31" i="17"/>
  <c r="F64" i="24"/>
  <c r="G64" i="24" s="1"/>
  <c r="H64" i="24" s="1"/>
  <c r="AE64" i="17"/>
  <c r="AB71" i="17"/>
  <c r="Z71" i="17"/>
  <c r="AE36" i="17"/>
  <c r="F36" i="24"/>
  <c r="G36" i="24" s="1"/>
  <c r="H36" i="24" s="1"/>
  <c r="F29" i="24"/>
  <c r="G29" i="24" s="1"/>
  <c r="H29" i="24" s="1"/>
  <c r="AE29" i="17"/>
  <c r="F82" i="24"/>
  <c r="G82" i="24" s="1"/>
  <c r="H82" i="24" s="1"/>
  <c r="AE82" i="17"/>
  <c r="F42" i="24"/>
  <c r="G42" i="24" s="1"/>
  <c r="H42" i="24" s="1"/>
  <c r="AE42" i="17"/>
  <c r="F146" i="24"/>
  <c r="G146" i="24" s="1"/>
  <c r="H146" i="24" s="1"/>
  <c r="AE146" i="17"/>
  <c r="F148" i="24"/>
  <c r="G148" i="24" s="1"/>
  <c r="H148" i="24" s="1"/>
  <c r="AE148" i="17"/>
  <c r="F61" i="24"/>
  <c r="G61" i="24" s="1"/>
  <c r="H61" i="24" s="1"/>
  <c r="AE61" i="17"/>
  <c r="F113" i="24"/>
  <c r="G113" i="24" s="1"/>
  <c r="H113" i="24" s="1"/>
  <c r="AE113" i="17"/>
  <c r="F13" i="24"/>
  <c r="G13" i="24" s="1"/>
  <c r="H13" i="24" s="1"/>
  <c r="AE13" i="17"/>
  <c r="F85" i="24"/>
  <c r="G85" i="24" s="1"/>
  <c r="H85" i="24" s="1"/>
  <c r="AE85" i="17"/>
  <c r="AE63" i="17"/>
  <c r="F63" i="24"/>
  <c r="G63" i="24" s="1"/>
  <c r="H63" i="24" s="1"/>
  <c r="F129" i="24"/>
  <c r="G129" i="24" s="1"/>
  <c r="H129" i="24" s="1"/>
  <c r="AE129" i="17"/>
  <c r="F93" i="24"/>
  <c r="G93" i="24" s="1"/>
  <c r="H93" i="24" s="1"/>
  <c r="AE93" i="17"/>
  <c r="F150" i="24"/>
  <c r="G150" i="24" s="1"/>
  <c r="H150" i="24" s="1"/>
  <c r="AE150" i="17"/>
  <c r="F120" i="24"/>
  <c r="G120" i="24" s="1"/>
  <c r="H120" i="24" s="1"/>
  <c r="AE120" i="17"/>
  <c r="F67" i="24"/>
  <c r="G67" i="24" s="1"/>
  <c r="H67" i="24" s="1"/>
  <c r="AE67" i="17"/>
  <c r="AB37" i="17"/>
  <c r="Z37" i="17"/>
  <c r="F77" i="24"/>
  <c r="G77" i="24" s="1"/>
  <c r="H77" i="24" s="1"/>
  <c r="AE77" i="17"/>
  <c r="F14" i="24"/>
  <c r="G14" i="24" s="1"/>
  <c r="H14" i="24" s="1"/>
  <c r="AE14" i="17"/>
  <c r="F111" i="24"/>
  <c r="G111" i="24" s="1"/>
  <c r="H111" i="24" s="1"/>
  <c r="AE111" i="17"/>
  <c r="F143" i="24"/>
  <c r="G143" i="24" s="1"/>
  <c r="H143" i="24" s="1"/>
  <c r="AE143" i="17"/>
  <c r="F15" i="24"/>
  <c r="G15" i="24" s="1"/>
  <c r="H15" i="24" s="1"/>
  <c r="AE15" i="17"/>
  <c r="F140" i="24"/>
  <c r="G140" i="24" s="1"/>
  <c r="H140" i="24" s="1"/>
  <c r="AE140" i="17"/>
  <c r="F125" i="24"/>
  <c r="G125" i="24" s="1"/>
  <c r="H125" i="24" s="1"/>
  <c r="AE125" i="17"/>
  <c r="AG120" i="17" l="1"/>
  <c r="N120" i="24" s="1"/>
  <c r="O120" i="24" s="1"/>
  <c r="P120" i="24" s="1"/>
  <c r="J120" i="24"/>
  <c r="K120" i="24" s="1"/>
  <c r="L120" i="24" s="1"/>
  <c r="J150" i="24"/>
  <c r="K150" i="24" s="1"/>
  <c r="L150" i="24" s="1"/>
  <c r="AG150" i="17"/>
  <c r="N150" i="24" s="1"/>
  <c r="O150" i="24" s="1"/>
  <c r="P150" i="24" s="1"/>
  <c r="J100" i="24"/>
  <c r="K100" i="24" s="1"/>
  <c r="L100" i="24" s="1"/>
  <c r="AG100" i="17"/>
  <c r="N100" i="24" s="1"/>
  <c r="O100" i="24" s="1"/>
  <c r="P100" i="24" s="1"/>
  <c r="J124" i="24"/>
  <c r="K124" i="24" s="1"/>
  <c r="L124" i="24" s="1"/>
  <c r="AG124" i="17"/>
  <c r="N124" i="24" s="1"/>
  <c r="O124" i="24" s="1"/>
  <c r="P124" i="24" s="1"/>
  <c r="J39" i="24"/>
  <c r="K39" i="24" s="1"/>
  <c r="L39" i="24" s="1"/>
  <c r="AG39" i="17"/>
  <c r="N39" i="24" s="1"/>
  <c r="O39" i="24" s="1"/>
  <c r="P39" i="24" s="1"/>
  <c r="J145" i="24"/>
  <c r="K145" i="24" s="1"/>
  <c r="L145" i="24" s="1"/>
  <c r="AG145" i="17"/>
  <c r="N145" i="24" s="1"/>
  <c r="O145" i="24" s="1"/>
  <c r="P145" i="24" s="1"/>
  <c r="J116" i="24"/>
  <c r="K116" i="24" s="1"/>
  <c r="L116" i="24" s="1"/>
  <c r="AG116" i="17"/>
  <c r="N116" i="24" s="1"/>
  <c r="O116" i="24" s="1"/>
  <c r="P116" i="24" s="1"/>
  <c r="J9" i="24"/>
  <c r="K9" i="24" s="1"/>
  <c r="L9" i="24" s="1"/>
  <c r="AG9" i="17"/>
  <c r="N9" i="24" s="1"/>
  <c r="O9" i="24" s="1"/>
  <c r="P9" i="24" s="1"/>
  <c r="J60" i="24"/>
  <c r="K60" i="24" s="1"/>
  <c r="L60" i="24" s="1"/>
  <c r="AG60" i="17"/>
  <c r="N60" i="24" s="1"/>
  <c r="O60" i="24" s="1"/>
  <c r="P60" i="24" s="1"/>
  <c r="AG108" i="17"/>
  <c r="N108" i="24" s="1"/>
  <c r="O108" i="24" s="1"/>
  <c r="P108" i="24" s="1"/>
  <c r="J108" i="24"/>
  <c r="K108" i="24" s="1"/>
  <c r="L108" i="24" s="1"/>
  <c r="J142" i="24"/>
  <c r="K142" i="24" s="1"/>
  <c r="L142" i="24" s="1"/>
  <c r="AG142" i="17"/>
  <c r="N142" i="24" s="1"/>
  <c r="O142" i="24" s="1"/>
  <c r="P142" i="24" s="1"/>
  <c r="J32" i="24"/>
  <c r="K32" i="24" s="1"/>
  <c r="L32" i="24" s="1"/>
  <c r="AG32" i="17"/>
  <c r="N32" i="24" s="1"/>
  <c r="O32" i="24" s="1"/>
  <c r="P32" i="24" s="1"/>
  <c r="J78" i="24"/>
  <c r="K78" i="24" s="1"/>
  <c r="L78" i="24" s="1"/>
  <c r="AG78" i="17"/>
  <c r="N78" i="24" s="1"/>
  <c r="O78" i="24" s="1"/>
  <c r="P78" i="24" s="1"/>
  <c r="AG115" i="17"/>
  <c r="N115" i="24" s="1"/>
  <c r="O115" i="24" s="1"/>
  <c r="P115" i="24" s="1"/>
  <c r="J115" i="24"/>
  <c r="K115" i="24" s="1"/>
  <c r="L115" i="24" s="1"/>
  <c r="J52" i="24"/>
  <c r="K52" i="24" s="1"/>
  <c r="L52" i="24" s="1"/>
  <c r="AG52" i="17"/>
  <c r="N52" i="24" s="1"/>
  <c r="O52" i="24" s="1"/>
  <c r="P52" i="24" s="1"/>
  <c r="AG114" i="17"/>
  <c r="N114" i="24" s="1"/>
  <c r="O114" i="24" s="1"/>
  <c r="P114" i="24" s="1"/>
  <c r="J114" i="24"/>
  <c r="K114" i="24" s="1"/>
  <c r="L114" i="24" s="1"/>
  <c r="AG15" i="17"/>
  <c r="N15" i="24" s="1"/>
  <c r="O15" i="24" s="1"/>
  <c r="P15" i="24" s="1"/>
  <c r="J15" i="24"/>
  <c r="K15" i="24" s="1"/>
  <c r="L15" i="24" s="1"/>
  <c r="J143" i="24"/>
  <c r="K143" i="24" s="1"/>
  <c r="L143" i="24" s="1"/>
  <c r="AG143" i="17"/>
  <c r="N143" i="24" s="1"/>
  <c r="O143" i="24" s="1"/>
  <c r="P143" i="24" s="1"/>
  <c r="J63" i="24"/>
  <c r="K63" i="24" s="1"/>
  <c r="L63" i="24" s="1"/>
  <c r="AG63" i="17"/>
  <c r="N63" i="24" s="1"/>
  <c r="O63" i="24" s="1"/>
  <c r="P63" i="24" s="1"/>
  <c r="J64" i="24"/>
  <c r="K64" i="24" s="1"/>
  <c r="L64" i="24" s="1"/>
  <c r="AG64" i="17"/>
  <c r="N64" i="24" s="1"/>
  <c r="O64" i="24" s="1"/>
  <c r="P64" i="24" s="1"/>
  <c r="J128" i="24"/>
  <c r="K128" i="24" s="1"/>
  <c r="L128" i="24" s="1"/>
  <c r="AG128" i="17"/>
  <c r="N128" i="24" s="1"/>
  <c r="O128" i="24" s="1"/>
  <c r="P128" i="24" s="1"/>
  <c r="J83" i="24"/>
  <c r="K83" i="24" s="1"/>
  <c r="L83" i="24" s="1"/>
  <c r="AG83" i="17"/>
  <c r="N83" i="24" s="1"/>
  <c r="O83" i="24" s="1"/>
  <c r="P83" i="24" s="1"/>
  <c r="AG105" i="17"/>
  <c r="N105" i="24" s="1"/>
  <c r="O105" i="24" s="1"/>
  <c r="P105" i="24" s="1"/>
  <c r="J105" i="24"/>
  <c r="K105" i="24" s="1"/>
  <c r="L105" i="24" s="1"/>
  <c r="J101" i="24"/>
  <c r="K101" i="24" s="1"/>
  <c r="L101" i="24" s="1"/>
  <c r="AG101" i="17"/>
  <c r="N101" i="24" s="1"/>
  <c r="O101" i="24" s="1"/>
  <c r="P101" i="24" s="1"/>
  <c r="AG70" i="17"/>
  <c r="N70" i="24" s="1"/>
  <c r="O70" i="24" s="1"/>
  <c r="P70" i="24" s="1"/>
  <c r="J70" i="24"/>
  <c r="K70" i="24" s="1"/>
  <c r="L70" i="24" s="1"/>
  <c r="AE44" i="17"/>
  <c r="F44" i="24"/>
  <c r="J88" i="24"/>
  <c r="K88" i="24" s="1"/>
  <c r="L88" i="24" s="1"/>
  <c r="AG88" i="17"/>
  <c r="N88" i="24" s="1"/>
  <c r="O88" i="24" s="1"/>
  <c r="P88" i="24" s="1"/>
  <c r="J119" i="24"/>
  <c r="K119" i="24" s="1"/>
  <c r="L119" i="24" s="1"/>
  <c r="AG119" i="17"/>
  <c r="N119" i="24" s="1"/>
  <c r="O119" i="24" s="1"/>
  <c r="P119" i="24" s="1"/>
  <c r="J23" i="24"/>
  <c r="K23" i="24" s="1"/>
  <c r="L23" i="24" s="1"/>
  <c r="AG23" i="17"/>
  <c r="N23" i="24" s="1"/>
  <c r="O23" i="24" s="1"/>
  <c r="P23" i="24" s="1"/>
  <c r="AE66" i="17"/>
  <c r="F66" i="24"/>
  <c r="J12" i="24"/>
  <c r="K12" i="24" s="1"/>
  <c r="L12" i="24" s="1"/>
  <c r="AG12" i="17"/>
  <c r="N12" i="24" s="1"/>
  <c r="O12" i="24" s="1"/>
  <c r="P12" i="24" s="1"/>
  <c r="AE51" i="17"/>
  <c r="F51" i="24"/>
  <c r="F8" i="24"/>
  <c r="AE8" i="17"/>
  <c r="J126" i="24"/>
  <c r="K126" i="24" s="1"/>
  <c r="L126" i="24" s="1"/>
  <c r="AG126" i="17"/>
  <c r="N126" i="24" s="1"/>
  <c r="O126" i="24" s="1"/>
  <c r="P126" i="24" s="1"/>
  <c r="J65" i="24"/>
  <c r="K65" i="24" s="1"/>
  <c r="L65" i="24" s="1"/>
  <c r="AG65" i="17"/>
  <c r="N65" i="24" s="1"/>
  <c r="O65" i="24" s="1"/>
  <c r="P65" i="24" s="1"/>
  <c r="J7" i="24"/>
  <c r="K7" i="24" s="1"/>
  <c r="L7" i="24" s="1"/>
  <c r="AG7" i="17"/>
  <c r="N7" i="24" s="1"/>
  <c r="O7" i="24" s="1"/>
  <c r="P7" i="24" s="1"/>
  <c r="J35" i="24"/>
  <c r="K35" i="24" s="1"/>
  <c r="L35" i="24" s="1"/>
  <c r="AG35" i="17"/>
  <c r="N35" i="24" s="1"/>
  <c r="O35" i="24" s="1"/>
  <c r="P35" i="24" s="1"/>
  <c r="J99" i="24"/>
  <c r="K99" i="24" s="1"/>
  <c r="L99" i="24" s="1"/>
  <c r="AG99" i="17"/>
  <c r="N99" i="24" s="1"/>
  <c r="O99" i="24" s="1"/>
  <c r="P99" i="24" s="1"/>
  <c r="J26" i="24"/>
  <c r="K26" i="24" s="1"/>
  <c r="L26" i="24" s="1"/>
  <c r="AG26" i="17"/>
  <c r="N26" i="24" s="1"/>
  <c r="O26" i="24" s="1"/>
  <c r="P26" i="24" s="1"/>
  <c r="J27" i="24"/>
  <c r="K27" i="24" s="1"/>
  <c r="L27" i="24" s="1"/>
  <c r="AG27" i="17"/>
  <c r="N27" i="24" s="1"/>
  <c r="O27" i="24" s="1"/>
  <c r="P27" i="24" s="1"/>
  <c r="AG137" i="17"/>
  <c r="N137" i="24" s="1"/>
  <c r="O137" i="24" s="1"/>
  <c r="P137" i="24" s="1"/>
  <c r="J137" i="24"/>
  <c r="K137" i="24" s="1"/>
  <c r="L137" i="24" s="1"/>
  <c r="J87" i="24"/>
  <c r="K87" i="24" s="1"/>
  <c r="L87" i="24" s="1"/>
  <c r="AG87" i="17"/>
  <c r="N87" i="24" s="1"/>
  <c r="O87" i="24" s="1"/>
  <c r="P87" i="24" s="1"/>
  <c r="J80" i="24"/>
  <c r="K80" i="24" s="1"/>
  <c r="L80" i="24" s="1"/>
  <c r="AG80" i="17"/>
  <c r="N80" i="24" s="1"/>
  <c r="O80" i="24" s="1"/>
  <c r="P80" i="24" s="1"/>
  <c r="J16" i="24"/>
  <c r="K16" i="24" s="1"/>
  <c r="L16" i="24" s="1"/>
  <c r="AG16" i="17"/>
  <c r="N16" i="24" s="1"/>
  <c r="O16" i="24" s="1"/>
  <c r="P16" i="24" s="1"/>
  <c r="J10" i="24"/>
  <c r="K10" i="24" s="1"/>
  <c r="L10" i="24" s="1"/>
  <c r="AG10" i="17"/>
  <c r="N10" i="24" s="1"/>
  <c r="O10" i="24" s="1"/>
  <c r="P10" i="24" s="1"/>
  <c r="F18" i="24"/>
  <c r="AE18" i="17"/>
  <c r="AG104" i="17"/>
  <c r="N104" i="24" s="1"/>
  <c r="O104" i="24" s="1"/>
  <c r="P104" i="24" s="1"/>
  <c r="J104" i="24"/>
  <c r="K104" i="24" s="1"/>
  <c r="L104" i="24" s="1"/>
  <c r="J11" i="24"/>
  <c r="K11" i="24" s="1"/>
  <c r="L11" i="24" s="1"/>
  <c r="AG11" i="17"/>
  <c r="N11" i="24" s="1"/>
  <c r="O11" i="24" s="1"/>
  <c r="P11" i="24" s="1"/>
  <c r="J47" i="24"/>
  <c r="K47" i="24" s="1"/>
  <c r="L47" i="24" s="1"/>
  <c r="AG47" i="17"/>
  <c r="N47" i="24" s="1"/>
  <c r="O47" i="24" s="1"/>
  <c r="P47" i="24" s="1"/>
  <c r="J68" i="24"/>
  <c r="K68" i="24" s="1"/>
  <c r="L68" i="24" s="1"/>
  <c r="AG68" i="17"/>
  <c r="N68" i="24" s="1"/>
  <c r="O68" i="24" s="1"/>
  <c r="P68" i="24" s="1"/>
  <c r="AG90" i="17"/>
  <c r="N90" i="24" s="1"/>
  <c r="O90" i="24" s="1"/>
  <c r="P90" i="24" s="1"/>
  <c r="J90" i="24"/>
  <c r="K90" i="24" s="1"/>
  <c r="L90" i="24" s="1"/>
  <c r="J58" i="24"/>
  <c r="K58" i="24" s="1"/>
  <c r="L58" i="24" s="1"/>
  <c r="AG58" i="17"/>
  <c r="N58" i="24" s="1"/>
  <c r="O58" i="24" s="1"/>
  <c r="P58" i="24" s="1"/>
  <c r="J130" i="24"/>
  <c r="K130" i="24" s="1"/>
  <c r="L130" i="24" s="1"/>
  <c r="AG130" i="17"/>
  <c r="N130" i="24" s="1"/>
  <c r="O130" i="24" s="1"/>
  <c r="P130" i="24" s="1"/>
  <c r="J93" i="24"/>
  <c r="K93" i="24" s="1"/>
  <c r="L93" i="24" s="1"/>
  <c r="AG93" i="17"/>
  <c r="N93" i="24" s="1"/>
  <c r="O93" i="24" s="1"/>
  <c r="P93" i="24" s="1"/>
  <c r="J129" i="24"/>
  <c r="K129" i="24" s="1"/>
  <c r="L129" i="24" s="1"/>
  <c r="AG129" i="17"/>
  <c r="N129" i="24" s="1"/>
  <c r="O129" i="24" s="1"/>
  <c r="P129" i="24" s="1"/>
  <c r="J85" i="24"/>
  <c r="K85" i="24" s="1"/>
  <c r="L85" i="24" s="1"/>
  <c r="AG85" i="17"/>
  <c r="N85" i="24" s="1"/>
  <c r="O85" i="24" s="1"/>
  <c r="P85" i="24" s="1"/>
  <c r="J13" i="24"/>
  <c r="K13" i="24" s="1"/>
  <c r="L13" i="24" s="1"/>
  <c r="AG13" i="17"/>
  <c r="N13" i="24" s="1"/>
  <c r="O13" i="24" s="1"/>
  <c r="P13" i="24" s="1"/>
  <c r="J113" i="24"/>
  <c r="K113" i="24" s="1"/>
  <c r="L113" i="24" s="1"/>
  <c r="AG113" i="17"/>
  <c r="N113" i="24" s="1"/>
  <c r="O113" i="24" s="1"/>
  <c r="P113" i="24" s="1"/>
  <c r="J61" i="24"/>
  <c r="K61" i="24" s="1"/>
  <c r="L61" i="24" s="1"/>
  <c r="AG61" i="17"/>
  <c r="N61" i="24" s="1"/>
  <c r="O61" i="24" s="1"/>
  <c r="P61" i="24" s="1"/>
  <c r="J148" i="24"/>
  <c r="K148" i="24" s="1"/>
  <c r="L148" i="24" s="1"/>
  <c r="AG148" i="17"/>
  <c r="N148" i="24" s="1"/>
  <c r="O148" i="24" s="1"/>
  <c r="P148" i="24" s="1"/>
  <c r="J146" i="24"/>
  <c r="K146" i="24" s="1"/>
  <c r="L146" i="24" s="1"/>
  <c r="AG146" i="17"/>
  <c r="N146" i="24" s="1"/>
  <c r="O146" i="24" s="1"/>
  <c r="P146" i="24" s="1"/>
  <c r="J42" i="24"/>
  <c r="K42" i="24" s="1"/>
  <c r="L42" i="24" s="1"/>
  <c r="AG42" i="17"/>
  <c r="N42" i="24" s="1"/>
  <c r="O42" i="24" s="1"/>
  <c r="P42" i="24" s="1"/>
  <c r="F71" i="24"/>
  <c r="AE71" i="17"/>
  <c r="J30" i="24"/>
  <c r="K30" i="24" s="1"/>
  <c r="L30" i="24" s="1"/>
  <c r="AG30" i="17"/>
  <c r="N30" i="24" s="1"/>
  <c r="O30" i="24" s="1"/>
  <c r="P30" i="24" s="1"/>
  <c r="AG75" i="17"/>
  <c r="N75" i="24" s="1"/>
  <c r="O75" i="24" s="1"/>
  <c r="P75" i="24" s="1"/>
  <c r="J75" i="24"/>
  <c r="K75" i="24" s="1"/>
  <c r="L75" i="24" s="1"/>
  <c r="AG123" i="17"/>
  <c r="N123" i="24" s="1"/>
  <c r="O123" i="24" s="1"/>
  <c r="P123" i="24" s="1"/>
  <c r="J123" i="24"/>
  <c r="K123" i="24" s="1"/>
  <c r="L123" i="24" s="1"/>
  <c r="AE25" i="17"/>
  <c r="F25" i="24"/>
  <c r="AG132" i="17"/>
  <c r="N132" i="24" s="1"/>
  <c r="O132" i="24" s="1"/>
  <c r="P132" i="24" s="1"/>
  <c r="J132" i="24"/>
  <c r="K132" i="24" s="1"/>
  <c r="L132" i="24" s="1"/>
  <c r="J151" i="24"/>
  <c r="K151" i="24" s="1"/>
  <c r="L151" i="24" s="1"/>
  <c r="AG151" i="17"/>
  <c r="N151" i="24" s="1"/>
  <c r="O151" i="24" s="1"/>
  <c r="P151" i="24" s="1"/>
  <c r="AG141" i="17"/>
  <c r="N141" i="24" s="1"/>
  <c r="O141" i="24" s="1"/>
  <c r="P141" i="24" s="1"/>
  <c r="J141" i="24"/>
  <c r="K141" i="24" s="1"/>
  <c r="L141" i="24" s="1"/>
  <c r="AG125" i="17"/>
  <c r="N125" i="24" s="1"/>
  <c r="O125" i="24" s="1"/>
  <c r="P125" i="24" s="1"/>
  <c r="J125" i="24"/>
  <c r="K125" i="24" s="1"/>
  <c r="L125" i="24" s="1"/>
  <c r="J140" i="24"/>
  <c r="K140" i="24" s="1"/>
  <c r="L140" i="24" s="1"/>
  <c r="AG140" i="17"/>
  <c r="N140" i="24" s="1"/>
  <c r="O140" i="24" s="1"/>
  <c r="P140" i="24" s="1"/>
  <c r="AG14" i="17"/>
  <c r="N14" i="24" s="1"/>
  <c r="O14" i="24" s="1"/>
  <c r="P14" i="24" s="1"/>
  <c r="J14" i="24"/>
  <c r="K14" i="24" s="1"/>
  <c r="L14" i="24" s="1"/>
  <c r="J77" i="24"/>
  <c r="K77" i="24" s="1"/>
  <c r="L77" i="24" s="1"/>
  <c r="AG77" i="17"/>
  <c r="N77" i="24" s="1"/>
  <c r="O77" i="24" s="1"/>
  <c r="P77" i="24" s="1"/>
  <c r="J82" i="24"/>
  <c r="K82" i="24" s="1"/>
  <c r="L82" i="24" s="1"/>
  <c r="AG82" i="17"/>
  <c r="N82" i="24" s="1"/>
  <c r="O82" i="24" s="1"/>
  <c r="P82" i="24" s="1"/>
  <c r="J118" i="24"/>
  <c r="K118" i="24" s="1"/>
  <c r="L118" i="24" s="1"/>
  <c r="AG118" i="17"/>
  <c r="N118" i="24" s="1"/>
  <c r="O118" i="24" s="1"/>
  <c r="P118" i="24" s="1"/>
  <c r="F41" i="24"/>
  <c r="AE41" i="17"/>
  <c r="J48" i="24"/>
  <c r="K48" i="24" s="1"/>
  <c r="L48" i="24" s="1"/>
  <c r="AG48" i="17"/>
  <c r="N48" i="24" s="1"/>
  <c r="O48" i="24" s="1"/>
  <c r="P48" i="24" s="1"/>
  <c r="AG62" i="17"/>
  <c r="N62" i="24" s="1"/>
  <c r="O62" i="24" s="1"/>
  <c r="P62" i="24" s="1"/>
  <c r="J62" i="24"/>
  <c r="K62" i="24" s="1"/>
  <c r="L62" i="24" s="1"/>
  <c r="J155" i="24"/>
  <c r="K155" i="24" s="1"/>
  <c r="L155" i="24" s="1"/>
  <c r="AG155" i="17"/>
  <c r="N155" i="24" s="1"/>
  <c r="O155" i="24" s="1"/>
  <c r="P155" i="24" s="1"/>
  <c r="AG57" i="17"/>
  <c r="N57" i="24" s="1"/>
  <c r="O57" i="24" s="1"/>
  <c r="P57" i="24" s="1"/>
  <c r="J57" i="24"/>
  <c r="K57" i="24" s="1"/>
  <c r="L57" i="24" s="1"/>
  <c r="J147" i="24"/>
  <c r="K147" i="24" s="1"/>
  <c r="L147" i="24" s="1"/>
  <c r="AG147" i="17"/>
  <c r="N147" i="24" s="1"/>
  <c r="O147" i="24" s="1"/>
  <c r="P147" i="24" s="1"/>
  <c r="J20" i="24"/>
  <c r="K20" i="24" s="1"/>
  <c r="L20" i="24" s="1"/>
  <c r="AG20" i="17"/>
  <c r="N20" i="24" s="1"/>
  <c r="O20" i="24" s="1"/>
  <c r="P20" i="24" s="1"/>
  <c r="AE19" i="17"/>
  <c r="F19" i="24"/>
  <c r="J103" i="24"/>
  <c r="K103" i="24" s="1"/>
  <c r="L103" i="24" s="1"/>
  <c r="AG103" i="17"/>
  <c r="N103" i="24" s="1"/>
  <c r="O103" i="24" s="1"/>
  <c r="P103" i="24" s="1"/>
  <c r="AB157" i="17"/>
  <c r="J121" i="24"/>
  <c r="K121" i="24" s="1"/>
  <c r="L121" i="24" s="1"/>
  <c r="AG121" i="17"/>
  <c r="N121" i="24" s="1"/>
  <c r="O121" i="24" s="1"/>
  <c r="P121" i="24" s="1"/>
  <c r="J72" i="24"/>
  <c r="K72" i="24" s="1"/>
  <c r="L72" i="24" s="1"/>
  <c r="AG72" i="17"/>
  <c r="N72" i="24" s="1"/>
  <c r="O72" i="24" s="1"/>
  <c r="P72" i="24" s="1"/>
  <c r="AE24" i="17"/>
  <c r="F24" i="24"/>
  <c r="J98" i="24"/>
  <c r="K98" i="24" s="1"/>
  <c r="L98" i="24" s="1"/>
  <c r="AG98" i="17"/>
  <c r="N98" i="24" s="1"/>
  <c r="O98" i="24" s="1"/>
  <c r="P98" i="24" s="1"/>
  <c r="J136" i="24"/>
  <c r="K136" i="24" s="1"/>
  <c r="L136" i="24" s="1"/>
  <c r="AG136" i="17"/>
  <c r="N136" i="24" s="1"/>
  <c r="O136" i="24" s="1"/>
  <c r="P136" i="24" s="1"/>
  <c r="J34" i="24"/>
  <c r="K34" i="24" s="1"/>
  <c r="L34" i="24" s="1"/>
  <c r="AG34" i="17"/>
  <c r="N34" i="24" s="1"/>
  <c r="O34" i="24" s="1"/>
  <c r="P34" i="24" s="1"/>
  <c r="J59" i="24"/>
  <c r="K59" i="24" s="1"/>
  <c r="L59" i="24" s="1"/>
  <c r="AG59" i="17"/>
  <c r="N59" i="24" s="1"/>
  <c r="O59" i="24" s="1"/>
  <c r="P59" i="24" s="1"/>
  <c r="J28" i="24"/>
  <c r="K28" i="24" s="1"/>
  <c r="L28" i="24" s="1"/>
  <c r="AG28" i="17"/>
  <c r="N28" i="24" s="1"/>
  <c r="O28" i="24" s="1"/>
  <c r="P28" i="24" s="1"/>
  <c r="AG86" i="17"/>
  <c r="N86" i="24" s="1"/>
  <c r="O86" i="24" s="1"/>
  <c r="P86" i="24" s="1"/>
  <c r="J86" i="24"/>
  <c r="K86" i="24" s="1"/>
  <c r="L86" i="24" s="1"/>
  <c r="J81" i="24"/>
  <c r="K81" i="24" s="1"/>
  <c r="L81" i="24" s="1"/>
  <c r="AG81" i="17"/>
  <c r="N81" i="24" s="1"/>
  <c r="O81" i="24" s="1"/>
  <c r="P81" i="24" s="1"/>
  <c r="J46" i="24"/>
  <c r="K46" i="24" s="1"/>
  <c r="L46" i="24" s="1"/>
  <c r="AG46" i="17"/>
  <c r="N46" i="24" s="1"/>
  <c r="O46" i="24" s="1"/>
  <c r="P46" i="24" s="1"/>
  <c r="J40" i="24"/>
  <c r="K40" i="24" s="1"/>
  <c r="L40" i="24" s="1"/>
  <c r="AG40" i="17"/>
  <c r="N40" i="24" s="1"/>
  <c r="O40" i="24" s="1"/>
  <c r="P40" i="24" s="1"/>
  <c r="AG49" i="17"/>
  <c r="N49" i="24" s="1"/>
  <c r="O49" i="24" s="1"/>
  <c r="P49" i="24" s="1"/>
  <c r="J49" i="24"/>
  <c r="K49" i="24" s="1"/>
  <c r="L49" i="24" s="1"/>
  <c r="J73" i="24"/>
  <c r="K73" i="24" s="1"/>
  <c r="L73" i="24" s="1"/>
  <c r="AG73" i="17"/>
  <c r="N73" i="24" s="1"/>
  <c r="O73" i="24" s="1"/>
  <c r="P73" i="24" s="1"/>
  <c r="J139" i="24"/>
  <c r="K139" i="24" s="1"/>
  <c r="L139" i="24" s="1"/>
  <c r="AG139" i="17"/>
  <c r="N139" i="24" s="1"/>
  <c r="O139" i="24" s="1"/>
  <c r="P139" i="24" s="1"/>
  <c r="J110" i="24"/>
  <c r="K110" i="24" s="1"/>
  <c r="L110" i="24" s="1"/>
  <c r="AG110" i="17"/>
  <c r="N110" i="24" s="1"/>
  <c r="O110" i="24" s="1"/>
  <c r="P110" i="24" s="1"/>
  <c r="J29" i="24"/>
  <c r="K29" i="24" s="1"/>
  <c r="L29" i="24" s="1"/>
  <c r="AG29" i="17"/>
  <c r="N29" i="24" s="1"/>
  <c r="O29" i="24" s="1"/>
  <c r="P29" i="24" s="1"/>
  <c r="AE17" i="17"/>
  <c r="F17" i="24"/>
  <c r="J144" i="24"/>
  <c r="K144" i="24" s="1"/>
  <c r="L144" i="24" s="1"/>
  <c r="AG144" i="17"/>
  <c r="N144" i="24" s="1"/>
  <c r="O144" i="24" s="1"/>
  <c r="P144" i="24" s="1"/>
  <c r="J131" i="24"/>
  <c r="K131" i="24" s="1"/>
  <c r="L131" i="24" s="1"/>
  <c r="AG131" i="17"/>
  <c r="N131" i="24" s="1"/>
  <c r="O131" i="24" s="1"/>
  <c r="P131" i="24" s="1"/>
  <c r="F53" i="24"/>
  <c r="AE53" i="17"/>
  <c r="J96" i="24"/>
  <c r="K96" i="24" s="1"/>
  <c r="L96" i="24" s="1"/>
  <c r="AG96" i="17"/>
  <c r="N96" i="24" s="1"/>
  <c r="O96" i="24" s="1"/>
  <c r="P96" i="24" s="1"/>
  <c r="J74" i="24"/>
  <c r="K74" i="24" s="1"/>
  <c r="L74" i="24" s="1"/>
  <c r="AG74" i="17"/>
  <c r="N74" i="24" s="1"/>
  <c r="O74" i="24" s="1"/>
  <c r="P74" i="24" s="1"/>
  <c r="AG50" i="17"/>
  <c r="N50" i="24" s="1"/>
  <c r="O50" i="24" s="1"/>
  <c r="P50" i="24" s="1"/>
  <c r="J50" i="24"/>
  <c r="K50" i="24" s="1"/>
  <c r="L50" i="24" s="1"/>
  <c r="F31" i="24"/>
  <c r="AE31" i="17"/>
  <c r="AG94" i="17"/>
  <c r="N94" i="24" s="1"/>
  <c r="O94" i="24" s="1"/>
  <c r="P94" i="24" s="1"/>
  <c r="J94" i="24"/>
  <c r="K94" i="24" s="1"/>
  <c r="L94" i="24" s="1"/>
  <c r="J109" i="24"/>
  <c r="K109" i="24" s="1"/>
  <c r="L109" i="24" s="1"/>
  <c r="AG109" i="17"/>
  <c r="N109" i="24" s="1"/>
  <c r="O109" i="24" s="1"/>
  <c r="P109" i="24" s="1"/>
  <c r="AE45" i="17"/>
  <c r="F45" i="24"/>
  <c r="AG135" i="17"/>
  <c r="N135" i="24" s="1"/>
  <c r="O135" i="24" s="1"/>
  <c r="P135" i="24" s="1"/>
  <c r="J135" i="24"/>
  <c r="K135" i="24" s="1"/>
  <c r="L135" i="24" s="1"/>
  <c r="J111" i="24"/>
  <c r="K111" i="24" s="1"/>
  <c r="L111" i="24" s="1"/>
  <c r="AG111" i="17"/>
  <c r="N111" i="24" s="1"/>
  <c r="O111" i="24" s="1"/>
  <c r="P111" i="24" s="1"/>
  <c r="AE37" i="17"/>
  <c r="F37" i="24"/>
  <c r="AG67" i="17"/>
  <c r="N67" i="24" s="1"/>
  <c r="O67" i="24" s="1"/>
  <c r="P67" i="24" s="1"/>
  <c r="J67" i="24"/>
  <c r="K67" i="24" s="1"/>
  <c r="L67" i="24" s="1"/>
  <c r="J36" i="24"/>
  <c r="K36" i="24" s="1"/>
  <c r="L36" i="24" s="1"/>
  <c r="AG36" i="17"/>
  <c r="N36" i="24" s="1"/>
  <c r="O36" i="24" s="1"/>
  <c r="P36" i="24" s="1"/>
  <c r="J106" i="24"/>
  <c r="K106" i="24" s="1"/>
  <c r="L106" i="24" s="1"/>
  <c r="AG106" i="17"/>
  <c r="N106" i="24" s="1"/>
  <c r="O106" i="24" s="1"/>
  <c r="P106" i="24" s="1"/>
  <c r="AE22" i="17"/>
  <c r="F22" i="24"/>
  <c r="J84" i="24"/>
  <c r="K84" i="24" s="1"/>
  <c r="L84" i="24" s="1"/>
  <c r="AG84" i="17"/>
  <c r="N84" i="24" s="1"/>
  <c r="O84" i="24" s="1"/>
  <c r="P84" i="24" s="1"/>
  <c r="Z157" i="17"/>
  <c r="F6" i="24"/>
  <c r="AE6" i="17"/>
  <c r="J154" i="24"/>
  <c r="K154" i="24" s="1"/>
  <c r="L154" i="24" s="1"/>
  <c r="AG154" i="17"/>
  <c r="N154" i="24" s="1"/>
  <c r="O154" i="24" s="1"/>
  <c r="P154" i="24" s="1"/>
  <c r="J76" i="24"/>
  <c r="K76" i="24" s="1"/>
  <c r="L76" i="24" s="1"/>
  <c r="AG76" i="17"/>
  <c r="N76" i="24" s="1"/>
  <c r="O76" i="24" s="1"/>
  <c r="P76" i="24" s="1"/>
  <c r="J122" i="24"/>
  <c r="K122" i="24" s="1"/>
  <c r="L122" i="24" s="1"/>
  <c r="AG122" i="17"/>
  <c r="N122" i="24" s="1"/>
  <c r="O122" i="24" s="1"/>
  <c r="P122" i="24" s="1"/>
  <c r="J102" i="24"/>
  <c r="K102" i="24" s="1"/>
  <c r="L102" i="24" s="1"/>
  <c r="AG102" i="17"/>
  <c r="N102" i="24" s="1"/>
  <c r="O102" i="24" s="1"/>
  <c r="P102" i="24" s="1"/>
  <c r="J97" i="24"/>
  <c r="K97" i="24" s="1"/>
  <c r="L97" i="24" s="1"/>
  <c r="AG97" i="17"/>
  <c r="N97" i="24" s="1"/>
  <c r="O97" i="24" s="1"/>
  <c r="P97" i="24" s="1"/>
  <c r="J95" i="24"/>
  <c r="K95" i="24" s="1"/>
  <c r="L95" i="24" s="1"/>
  <c r="AG95" i="17"/>
  <c r="N95" i="24" s="1"/>
  <c r="O95" i="24" s="1"/>
  <c r="P95" i="24" s="1"/>
  <c r="AE79" i="17"/>
  <c r="F79" i="24"/>
  <c r="J33" i="24"/>
  <c r="K33" i="24" s="1"/>
  <c r="L33" i="24" s="1"/>
  <c r="AG33" i="17"/>
  <c r="N33" i="24" s="1"/>
  <c r="O33" i="24" s="1"/>
  <c r="P33" i="24" s="1"/>
  <c r="J153" i="24"/>
  <c r="K153" i="24" s="1"/>
  <c r="L153" i="24" s="1"/>
  <c r="AG153" i="17"/>
  <c r="N153" i="24" s="1"/>
  <c r="O153" i="24" s="1"/>
  <c r="P153" i="24" s="1"/>
  <c r="J54" i="24"/>
  <c r="K54" i="24" s="1"/>
  <c r="L54" i="24" s="1"/>
  <c r="AG54" i="17"/>
  <c r="N54" i="24" s="1"/>
  <c r="O54" i="24" s="1"/>
  <c r="P54" i="24" s="1"/>
  <c r="J127" i="24"/>
  <c r="K127" i="24" s="1"/>
  <c r="L127" i="24" s="1"/>
  <c r="AG127" i="17"/>
  <c r="N127" i="24" s="1"/>
  <c r="O127" i="24" s="1"/>
  <c r="P127" i="24" s="1"/>
  <c r="AG152" i="17"/>
  <c r="N152" i="24" s="1"/>
  <c r="O152" i="24" s="1"/>
  <c r="P152" i="24" s="1"/>
  <c r="J152" i="24"/>
  <c r="K152" i="24" s="1"/>
  <c r="L152" i="24" s="1"/>
  <c r="J134" i="24"/>
  <c r="K134" i="24" s="1"/>
  <c r="L134" i="24" s="1"/>
  <c r="AG134" i="17"/>
  <c r="N134" i="24" s="1"/>
  <c r="O134" i="24" s="1"/>
  <c r="P134" i="24" s="1"/>
  <c r="J149" i="24"/>
  <c r="K149" i="24" s="1"/>
  <c r="L149" i="24" s="1"/>
  <c r="AG149" i="17"/>
  <c r="N149" i="24" s="1"/>
  <c r="O149" i="24" s="1"/>
  <c r="P149" i="24" s="1"/>
  <c r="J21" i="24"/>
  <c r="K21" i="24" s="1"/>
  <c r="L21" i="24" s="1"/>
  <c r="AG21" i="17"/>
  <c r="N21" i="24" s="1"/>
  <c r="O21" i="24" s="1"/>
  <c r="P21" i="24" s="1"/>
  <c r="J43" i="24"/>
  <c r="K43" i="24" s="1"/>
  <c r="L43" i="24" s="1"/>
  <c r="AG43" i="17"/>
  <c r="N43" i="24" s="1"/>
  <c r="O43" i="24" s="1"/>
  <c r="P43" i="24" s="1"/>
  <c r="J107" i="24"/>
  <c r="K107" i="24" s="1"/>
  <c r="L107" i="24" s="1"/>
  <c r="AG107" i="17"/>
  <c r="N107" i="24" s="1"/>
  <c r="O107" i="24" s="1"/>
  <c r="P107" i="24" s="1"/>
  <c r="J117" i="24"/>
  <c r="K117" i="24" s="1"/>
  <c r="L117" i="24" s="1"/>
  <c r="AG117" i="17"/>
  <c r="N117" i="24" s="1"/>
  <c r="O117" i="24" s="1"/>
  <c r="P117" i="24" s="1"/>
  <c r="AG69" i="17"/>
  <c r="N69" i="24" s="1"/>
  <c r="O69" i="24" s="1"/>
  <c r="P69" i="24" s="1"/>
  <c r="J69" i="24"/>
  <c r="K69" i="24" s="1"/>
  <c r="L69" i="24" s="1"/>
  <c r="J92" i="24"/>
  <c r="K92" i="24" s="1"/>
  <c r="L92" i="24" s="1"/>
  <c r="AG92" i="17"/>
  <c r="N92" i="24" s="1"/>
  <c r="O92" i="24" s="1"/>
  <c r="P92" i="24" s="1"/>
  <c r="J38" i="24"/>
  <c r="K38" i="24" s="1"/>
  <c r="L38" i="24" s="1"/>
  <c r="AG38" i="17"/>
  <c r="N38" i="24" s="1"/>
  <c r="O38" i="24" s="1"/>
  <c r="P38" i="24" s="1"/>
  <c r="J56" i="24"/>
  <c r="K56" i="24" s="1"/>
  <c r="L56" i="24" s="1"/>
  <c r="AG56" i="17"/>
  <c r="N56" i="24" s="1"/>
  <c r="O56" i="24" s="1"/>
  <c r="P56" i="24" s="1"/>
  <c r="J89" i="24"/>
  <c r="K89" i="24" s="1"/>
  <c r="L89" i="24" s="1"/>
  <c r="AG89" i="17"/>
  <c r="N89" i="24" s="1"/>
  <c r="O89" i="24" s="1"/>
  <c r="P89" i="24" s="1"/>
  <c r="AG133" i="17"/>
  <c r="N133" i="24" s="1"/>
  <c r="O133" i="24" s="1"/>
  <c r="P133" i="24" s="1"/>
  <c r="J133" i="24"/>
  <c r="K133" i="24" s="1"/>
  <c r="L133" i="24" s="1"/>
  <c r="J112" i="24"/>
  <c r="K112" i="24" s="1"/>
  <c r="L112" i="24" s="1"/>
  <c r="AG112" i="17"/>
  <c r="N112" i="24" s="1"/>
  <c r="O112" i="24" s="1"/>
  <c r="P112" i="24" s="1"/>
  <c r="J91" i="24"/>
  <c r="K91" i="24" s="1"/>
  <c r="L91" i="24" s="1"/>
  <c r="AG91" i="17"/>
  <c r="N91" i="24" s="1"/>
  <c r="O91" i="24" s="1"/>
  <c r="P91" i="24" s="1"/>
  <c r="J55" i="24"/>
  <c r="K55" i="24" s="1"/>
  <c r="L55" i="24" s="1"/>
  <c r="AG55" i="17"/>
  <c r="N55" i="24" s="1"/>
  <c r="O55" i="24" s="1"/>
  <c r="P55" i="24" s="1"/>
  <c r="Y156" i="17" l="1"/>
  <c r="Y138" i="17"/>
  <c r="Y130" i="17"/>
  <c r="Y91" i="17"/>
  <c r="Y112" i="17"/>
  <c r="Y90" i="17"/>
  <c r="Y11" i="17"/>
  <c r="Y104" i="17"/>
  <c r="Y10" i="17"/>
  <c r="Y16" i="17"/>
  <c r="Y87" i="17"/>
  <c r="Y137" i="17"/>
  <c r="Y114" i="17"/>
  <c r="Y99" i="17"/>
  <c r="Y35" i="17"/>
  <c r="Y65" i="17"/>
  <c r="Y149" i="17"/>
  <c r="Y134" i="17"/>
  <c r="Y33" i="17"/>
  <c r="Y95" i="17"/>
  <c r="Y40" i="17"/>
  <c r="Y142" i="17"/>
  <c r="Y74" i="17"/>
  <c r="Y151" i="17"/>
  <c r="Y132" i="17"/>
  <c r="Y60" i="17"/>
  <c r="Y121" i="17"/>
  <c r="Y123" i="17"/>
  <c r="Y131" i="17"/>
  <c r="Y128" i="17"/>
  <c r="Y39" i="17"/>
  <c r="Y94" i="17"/>
  <c r="Y62" i="17"/>
  <c r="Y106" i="17"/>
  <c r="Y29" i="17"/>
  <c r="Y148" i="17"/>
  <c r="Y13" i="17"/>
  <c r="Y150" i="17"/>
  <c r="Y15" i="17"/>
  <c r="Y67" i="17"/>
  <c r="Y143" i="17"/>
  <c r="Y70" i="17"/>
  <c r="Y86" i="17"/>
  <c r="Y28" i="17"/>
  <c r="Y50" i="17"/>
  <c r="Y144" i="17"/>
  <c r="Y82" i="17"/>
  <c r="Y77" i="17"/>
  <c r="Y58" i="17"/>
  <c r="Y68" i="17"/>
  <c r="Y133" i="17"/>
  <c r="Y92" i="17"/>
  <c r="Y69" i="17"/>
  <c r="Y107" i="17"/>
  <c r="Y27" i="17"/>
  <c r="Y43" i="17"/>
  <c r="Y21" i="17"/>
  <c r="Y152" i="17"/>
  <c r="Y97" i="17"/>
  <c r="Y46" i="17"/>
  <c r="Y81" i="17"/>
  <c r="Y34" i="17"/>
  <c r="Y96" i="17"/>
  <c r="Y122" i="17"/>
  <c r="Y105" i="17"/>
  <c r="Y9" i="17"/>
  <c r="Y116" i="17"/>
  <c r="Y83" i="17"/>
  <c r="Y145" i="17"/>
  <c r="Y75" i="17"/>
  <c r="Y155" i="17"/>
  <c r="Y118" i="17"/>
  <c r="Y100" i="17"/>
  <c r="Y36" i="17"/>
  <c r="Y146" i="17"/>
  <c r="Y61" i="17"/>
  <c r="Y129" i="17"/>
  <c r="Y119" i="17"/>
  <c r="Y141" i="17"/>
  <c r="Y101" i="17"/>
  <c r="Y76" i="17"/>
  <c r="Y64" i="17"/>
  <c r="Y42" i="17"/>
  <c r="Y113" i="17"/>
  <c r="Y93" i="17"/>
  <c r="Y125" i="17"/>
  <c r="Y89" i="17"/>
  <c r="Y56" i="17"/>
  <c r="Y47" i="17"/>
  <c r="Y38" i="17"/>
  <c r="Y55" i="17"/>
  <c r="Y80" i="17"/>
  <c r="Y117" i="17"/>
  <c r="Y110" i="17"/>
  <c r="Y139" i="17"/>
  <c r="Y26" i="17"/>
  <c r="Y52" i="17"/>
  <c r="Y78" i="17"/>
  <c r="Y23" i="17"/>
  <c r="Y127" i="17"/>
  <c r="Y54" i="17"/>
  <c r="Y88" i="17"/>
  <c r="Y153" i="17"/>
  <c r="Y73" i="17"/>
  <c r="Y102" i="17"/>
  <c r="Y49" i="17"/>
  <c r="Y59" i="17"/>
  <c r="Y108" i="17"/>
  <c r="Y136" i="17"/>
  <c r="Y98" i="17"/>
  <c r="Y154" i="17"/>
  <c r="Y20" i="17"/>
  <c r="Y147" i="17"/>
  <c r="Y57" i="17"/>
  <c r="Y30" i="17"/>
  <c r="Y135" i="17"/>
  <c r="Y109" i="17"/>
  <c r="Y48" i="17"/>
  <c r="Y85" i="17"/>
  <c r="Y63" i="17"/>
  <c r="Y111" i="17"/>
  <c r="Y7" i="17"/>
  <c r="Y115" i="17"/>
  <c r="Y126" i="17"/>
  <c r="Y12" i="17"/>
  <c r="Y32" i="17"/>
  <c r="Y72" i="17"/>
  <c r="Y103" i="17"/>
  <c r="Y84" i="17"/>
  <c r="Y124" i="17"/>
  <c r="Y120" i="17"/>
  <c r="Y14" i="17"/>
  <c r="Y140" i="17"/>
  <c r="J45" i="24"/>
  <c r="K45" i="24" s="1"/>
  <c r="L45" i="24" s="1"/>
  <c r="AG45" i="17"/>
  <c r="N45" i="24" s="1"/>
  <c r="O45" i="24" s="1"/>
  <c r="P45" i="24" s="1"/>
  <c r="Y45" i="17"/>
  <c r="J31" i="24"/>
  <c r="K31" i="24" s="1"/>
  <c r="L31" i="24" s="1"/>
  <c r="AG31" i="17"/>
  <c r="N31" i="24" s="1"/>
  <c r="O31" i="24" s="1"/>
  <c r="P31" i="24" s="1"/>
  <c r="G19" i="24"/>
  <c r="G41" i="24"/>
  <c r="Y66" i="17"/>
  <c r="G44" i="24"/>
  <c r="F157" i="24"/>
  <c r="G6" i="24"/>
  <c r="Y22" i="17"/>
  <c r="J53" i="24"/>
  <c r="K53" i="24" s="1"/>
  <c r="L53" i="24" s="1"/>
  <c r="AG53" i="17"/>
  <c r="N53" i="24" s="1"/>
  <c r="O53" i="24" s="1"/>
  <c r="P53" i="24" s="1"/>
  <c r="J17" i="24"/>
  <c r="K17" i="24" s="1"/>
  <c r="L17" i="24" s="1"/>
  <c r="AG17" i="17"/>
  <c r="N17" i="24" s="1"/>
  <c r="O17" i="24" s="1"/>
  <c r="P17" i="24" s="1"/>
  <c r="Y19" i="17"/>
  <c r="Y41" i="17"/>
  <c r="Y25" i="17"/>
  <c r="Y8" i="17"/>
  <c r="J51" i="24"/>
  <c r="K51" i="24" s="1"/>
  <c r="L51" i="24" s="1"/>
  <c r="AG51" i="17"/>
  <c r="N51" i="24" s="1"/>
  <c r="O51" i="24" s="1"/>
  <c r="P51" i="24" s="1"/>
  <c r="AG44" i="17"/>
  <c r="N44" i="24" s="1"/>
  <c r="O44" i="24" s="1"/>
  <c r="P44" i="24" s="1"/>
  <c r="J44" i="24"/>
  <c r="K44" i="24" s="1"/>
  <c r="L44" i="24" s="1"/>
  <c r="Y24" i="17"/>
  <c r="AG19" i="17"/>
  <c r="N19" i="24" s="1"/>
  <c r="O19" i="24" s="1"/>
  <c r="P19" i="24" s="1"/>
  <c r="J19" i="24"/>
  <c r="K19" i="24" s="1"/>
  <c r="L19" i="24" s="1"/>
  <c r="G25" i="24"/>
  <c r="Y71" i="17"/>
  <c r="G18" i="24"/>
  <c r="G8" i="24"/>
  <c r="G51" i="24"/>
  <c r="Y51" i="17"/>
  <c r="G66" i="24"/>
  <c r="G31" i="24"/>
  <c r="G17" i="24"/>
  <c r="J25" i="24"/>
  <c r="K25" i="24" s="1"/>
  <c r="L25" i="24" s="1"/>
  <c r="AG25" i="17"/>
  <c r="N25" i="24" s="1"/>
  <c r="O25" i="24" s="1"/>
  <c r="P25" i="24" s="1"/>
  <c r="G71" i="24"/>
  <c r="Y79" i="17"/>
  <c r="Y37" i="17"/>
  <c r="G45" i="24"/>
  <c r="Y31" i="17"/>
  <c r="Y53" i="17"/>
  <c r="J79" i="24"/>
  <c r="K79" i="24" s="1"/>
  <c r="L79" i="24" s="1"/>
  <c r="AG79" i="17"/>
  <c r="N79" i="24" s="1"/>
  <c r="O79" i="24" s="1"/>
  <c r="P79" i="24" s="1"/>
  <c r="Y6" i="17"/>
  <c r="G22" i="24"/>
  <c r="G37" i="24"/>
  <c r="AG37" i="17"/>
  <c r="N37" i="24" s="1"/>
  <c r="O37" i="24" s="1"/>
  <c r="P37" i="24" s="1"/>
  <c r="J37" i="24"/>
  <c r="K37" i="24" s="1"/>
  <c r="L37" i="24" s="1"/>
  <c r="G53" i="24"/>
  <c r="Y17" i="17"/>
  <c r="G24" i="24"/>
  <c r="AG24" i="17"/>
  <c r="N24" i="24" s="1"/>
  <c r="O24" i="24" s="1"/>
  <c r="P24" i="24" s="1"/>
  <c r="J24" i="24"/>
  <c r="K24" i="24" s="1"/>
  <c r="L24" i="24" s="1"/>
  <c r="J41" i="24"/>
  <c r="K41" i="24" s="1"/>
  <c r="L41" i="24" s="1"/>
  <c r="AG41" i="17"/>
  <c r="N41" i="24" s="1"/>
  <c r="O41" i="24" s="1"/>
  <c r="P41" i="24" s="1"/>
  <c r="J71" i="24"/>
  <c r="K71" i="24" s="1"/>
  <c r="L71" i="24" s="1"/>
  <c r="AG71" i="17"/>
  <c r="N71" i="24" s="1"/>
  <c r="O71" i="24" s="1"/>
  <c r="P71" i="24" s="1"/>
  <c r="J18" i="24"/>
  <c r="K18" i="24" s="1"/>
  <c r="L18" i="24" s="1"/>
  <c r="AG18" i="17"/>
  <c r="N18" i="24" s="1"/>
  <c r="O18" i="24" s="1"/>
  <c r="P18" i="24" s="1"/>
  <c r="J66" i="24"/>
  <c r="K66" i="24" s="1"/>
  <c r="L66" i="24" s="1"/>
  <c r="AG66" i="17"/>
  <c r="N66" i="24" s="1"/>
  <c r="O66" i="24" s="1"/>
  <c r="P66" i="24" s="1"/>
  <c r="Y44" i="17"/>
  <c r="G79" i="24"/>
  <c r="AE157" i="17"/>
  <c r="AG6" i="17"/>
  <c r="J6" i="24"/>
  <c r="J22" i="24"/>
  <c r="K22" i="24" s="1"/>
  <c r="L22" i="24" s="1"/>
  <c r="AG22" i="17"/>
  <c r="N22" i="24" s="1"/>
  <c r="O22" i="24" s="1"/>
  <c r="P22" i="24" s="1"/>
  <c r="Y18" i="17"/>
  <c r="J8" i="24"/>
  <c r="K8" i="24" s="1"/>
  <c r="L8" i="24" s="1"/>
  <c r="AG8" i="17"/>
  <c r="N8" i="24" s="1"/>
  <c r="O8" i="24" s="1"/>
  <c r="P8" i="24" s="1"/>
  <c r="H24" i="24" l="1"/>
  <c r="H45" i="24"/>
  <c r="H66" i="24"/>
  <c r="H44" i="24"/>
  <c r="H51" i="24"/>
  <c r="H25" i="24"/>
  <c r="J157" i="24"/>
  <c r="K6" i="24"/>
  <c r="H37" i="24"/>
  <c r="H71" i="24"/>
  <c r="H17" i="24"/>
  <c r="H8" i="24"/>
  <c r="G157" i="24"/>
  <c r="H157" i="24" s="1"/>
  <c r="H6" i="24"/>
  <c r="H41" i="24"/>
  <c r="H22" i="24"/>
  <c r="Y157" i="17"/>
  <c r="H31" i="24"/>
  <c r="H18" i="24"/>
  <c r="H19" i="24"/>
  <c r="N6" i="24"/>
  <c r="AG157" i="17"/>
  <c r="H79" i="24"/>
  <c r="H53" i="24"/>
  <c r="O6" i="24" l="1"/>
  <c r="N157" i="24"/>
  <c r="K157" i="24"/>
  <c r="L157" i="24" s="1"/>
  <c r="L6" i="24"/>
  <c r="P6" i="24" l="1"/>
  <c r="O157" i="24"/>
  <c r="P157" i="24" s="1"/>
</calcChain>
</file>

<file path=xl/comments1.xml><?xml version="1.0" encoding="utf-8"?>
<comments xmlns="http://schemas.openxmlformats.org/spreadsheetml/2006/main">
  <authors>
    <author>Peltola Johannes (OKM)</author>
  </authors>
  <commentList>
    <comment ref="I156" authorId="0" shapeId="0">
      <text>
        <r>
          <rPr>
            <b/>
            <sz val="9"/>
            <color indexed="81"/>
            <rFont val="Tahoma"/>
            <family val="2"/>
          </rPr>
          <t>Peltola Johannes (OKM):</t>
        </r>
        <r>
          <rPr>
            <sz val="9"/>
            <color indexed="81"/>
            <rFont val="Tahoma"/>
            <family val="2"/>
          </rPr>
          <t xml:space="preserve">
opiskelijavuosilla painotettu keskimääräinen profiilikerroin</t>
        </r>
      </text>
    </comment>
    <comment ref="B157" authorId="0" shapeId="0">
      <text>
        <r>
          <rPr>
            <b/>
            <sz val="9"/>
            <color indexed="81"/>
            <rFont val="Tahoma"/>
            <family val="2"/>
          </rPr>
          <t>Peltola Johannes (OKM):</t>
        </r>
        <r>
          <rPr>
            <sz val="9"/>
            <color indexed="81"/>
            <rFont val="Tahoma"/>
            <family val="2"/>
          </rPr>
          <t xml:space="preserve">
määrään ei sisälly tekninen "Muu järjestäjä"</t>
        </r>
      </text>
    </comment>
    <comment ref="G157" authorId="0" shapeId="0">
      <text>
        <r>
          <rPr>
            <b/>
            <sz val="9"/>
            <color indexed="81"/>
            <rFont val="Tahoma"/>
            <family val="2"/>
          </rPr>
          <t>Peltola Johannes (OKM):</t>
        </r>
        <r>
          <rPr>
            <sz val="9"/>
            <color indexed="81"/>
            <rFont val="Tahoma"/>
            <family val="2"/>
          </rPr>
          <t xml:space="preserve">
Hallituksen vuoden 2020 talousarvioesityksessä on ammatillisen koulutuksen tavoitteellinen opiskelijavuosimäärä enintään 179500. Tästä vähennettyä järjestämislupien vähimmäismäärän sekä arvion varainhoitovuoden aikana jaettavista opiskelijavuosista jää arvioiduksi suoritepäätöksellä jaettavien opiskelijavuosien enimmäismääräksi 15780. Ministeriön suoritepäätös voi kuitenkin poiketa tästä määrästä.</t>
        </r>
      </text>
    </comment>
    <comment ref="AA157" authorId="0" shapeId="0">
      <text>
        <r>
          <rPr>
            <b/>
            <sz val="9"/>
            <color indexed="81"/>
            <rFont val="Tahoma"/>
            <family val="2"/>
          </rPr>
          <t>Peltola Johannes (OKM):</t>
        </r>
        <r>
          <rPr>
            <sz val="9"/>
            <color indexed="81"/>
            <rFont val="Tahoma"/>
            <family val="2"/>
          </rPr>
          <t xml:space="preserve">
Esimerkinomaisesti simuloinnin pohjaksi asetettu oletus kokonaistasosta. Ministeriön suoritepäätös voi kuitenkin poiketa tästä.</t>
        </r>
      </text>
    </comment>
  </commentList>
</comments>
</file>

<file path=xl/comments2.xml><?xml version="1.0" encoding="utf-8"?>
<comments xmlns="http://schemas.openxmlformats.org/spreadsheetml/2006/main">
  <authors>
    <author>Peltola Johannes (OKM)</author>
  </authors>
  <commentList>
    <comment ref="B157" authorId="0" shapeId="0">
      <text>
        <r>
          <rPr>
            <b/>
            <sz val="9"/>
            <color indexed="81"/>
            <rFont val="Tahoma"/>
            <family val="2"/>
          </rPr>
          <t>Peltola Johannes (OKM):</t>
        </r>
        <r>
          <rPr>
            <sz val="9"/>
            <color indexed="81"/>
            <rFont val="Tahoma"/>
            <family val="2"/>
          </rPr>
          <t xml:space="preserve">
määrään ei sisälly tekninen "Muu järjestäjä"</t>
        </r>
      </text>
    </comment>
  </commentList>
</comments>
</file>

<file path=xl/sharedStrings.xml><?xml version="1.0" encoding="utf-8"?>
<sst xmlns="http://schemas.openxmlformats.org/spreadsheetml/2006/main" count="4138" uniqueCount="707">
  <si>
    <t>Koulutuksen järjestäjä</t>
  </si>
  <si>
    <t>Perustutkintojen määrä</t>
  </si>
  <si>
    <t>Ammatti- ja erikoisammattitutkintojen määrä</t>
  </si>
  <si>
    <t>Perustutkintojen tutkinnon osien määrä</t>
  </si>
  <si>
    <t>Ammatti- ja erikoisammattitutkintojen tutkinnon osien määrä</t>
  </si>
  <si>
    <t>Perustutkintojen kustannusryhmän ja pohjakoulutuksen mukaan painotetut pisteet</t>
  </si>
  <si>
    <t>Ammatti- ja erikoisammattitutkintojen kustannusryhmän ja pohjakoulutuksen mukaan painotetut pisteet</t>
  </si>
  <si>
    <t>Erityisen tuen mukaan painotetut tutkintojen pisteet</t>
  </si>
  <si>
    <t>Perustutkintojen osien kustannusryhmän mukaan painotetut osaamispisteet</t>
  </si>
  <si>
    <t>Ammatti- ja erikoisammattitutkintojen osien kustannusryhmän mukaan painotetut osaamispisteet</t>
  </si>
  <si>
    <t>Erityisen tuen mukaan painotetut tutkinnon osien osaamispisteet</t>
  </si>
  <si>
    <t>Tutkintojen ja tutkinnon osien painotetut pisteet yhteensä</t>
  </si>
  <si>
    <t/>
  </si>
  <si>
    <t>Tutkintojen määrä</t>
  </si>
  <si>
    <t>Työllistyneet</t>
  </si>
  <si>
    <t>Jatko-opiskelijat</t>
  </si>
  <si>
    <t>Työllistyneet ja jatko-opiskelijat yhteensä</t>
  </si>
  <si>
    <t>Työllistyneet painotetut pisteet</t>
  </si>
  <si>
    <t>Jatko-opiskelijat painotetut pisteet</t>
  </si>
  <si>
    <t>Työllistyneet ja jatko-opiskelijat painotetut pisteet</t>
  </si>
  <si>
    <t>Työllistyneet ja jatko-opiskelijat painotetut pisteet, %-osuus järjestäjittäin</t>
  </si>
  <si>
    <t>Yhteensä</t>
  </si>
  <si>
    <t>Aloittaneet</t>
  </si>
  <si>
    <t>Ahlmanin koulun Säätiö sr</t>
  </si>
  <si>
    <t>Aitoon Emäntäkoulu Oy</t>
  </si>
  <si>
    <t>Ami-säätiö sr</t>
  </si>
  <si>
    <t>Ammattienedistämislaitossäätiö AEL sr</t>
  </si>
  <si>
    <t>Ammattiopisto Spesia Oy</t>
  </si>
  <si>
    <t>Ava-Instituutin kannatusyhdistys ry</t>
  </si>
  <si>
    <t>Axxell Utbildning Ab</t>
  </si>
  <si>
    <t>Cimson Koulutuspalvelut Oy</t>
  </si>
  <si>
    <t>Espoon seudun koulutuskuntayhtymä Omnia</t>
  </si>
  <si>
    <t>Etelä-Karjalan Koulutuskuntayhtymä</t>
  </si>
  <si>
    <t>Etelä-Savon Koulutus Oy</t>
  </si>
  <si>
    <t>Eurajoen kristillisen opiston kannatusyhdistys r.y.</t>
  </si>
  <si>
    <t>Folkhälsan Utbildning Ab</t>
  </si>
  <si>
    <t>Haapaveden Opiston kannatusyhdistys ry</t>
  </si>
  <si>
    <t>Harjun Oppimiskeskus Oy</t>
  </si>
  <si>
    <t>Helsingin kaupunki</t>
  </si>
  <si>
    <t>Helsingin Konservatorion Säätiö sr</t>
  </si>
  <si>
    <t>Helsinki Business College Oy</t>
  </si>
  <si>
    <t>Hengitysliitto ry</t>
  </si>
  <si>
    <t>Hevosopisto Oy</t>
  </si>
  <si>
    <t>Hyria koulutus Oy</t>
  </si>
  <si>
    <t>Hämeen ammatti-instituutti Oy</t>
  </si>
  <si>
    <t>Invalidisäätiö sr</t>
  </si>
  <si>
    <t>Itä-Karjalan Kansanopistoseura ry</t>
  </si>
  <si>
    <t>Itä-Savon koulutuskuntayhtymä</t>
  </si>
  <si>
    <t>Itä-Suomen Liikuntaopisto Oy</t>
  </si>
  <si>
    <t>Joensuun kaupunki</t>
  </si>
  <si>
    <t>Jokilaaksojen koulutuskuntayhtymä</t>
  </si>
  <si>
    <t>Jollas-Opisto Oy</t>
  </si>
  <si>
    <t>Jyväskylän Koulutuskuntayhtymä</t>
  </si>
  <si>
    <t>Jyväskylän kristillisen opiston säätiö sr</t>
  </si>
  <si>
    <t>Jyväskylän Talouskouluyhdistys r.y.</t>
  </si>
  <si>
    <t>Järviseudun Koulutuskuntayhtymä</t>
  </si>
  <si>
    <t>Kajaanin kaupunki</t>
  </si>
  <si>
    <t>Kalajoen Kristillisen Opiston kannatusyhdistys ry</t>
  </si>
  <si>
    <t>Kanneljärven Kansanopiston kannatusyhdistys r.y.</t>
  </si>
  <si>
    <t>Kansan Sivistystyön Liitto KSL ry</t>
  </si>
  <si>
    <t>Karstulan Evankelisen Kansanopiston kannatusyhdistys ry</t>
  </si>
  <si>
    <t>Kauppiaitten Kauppaoppilaitos Oy</t>
  </si>
  <si>
    <t>Kaustisen Evankelisen Opiston Kannatusyhdistys ry</t>
  </si>
  <si>
    <t>Kellosepäntaidon Edistämissäätiö sr</t>
  </si>
  <si>
    <t>Kemi-Tornionlaakson koulutuskuntayhtymä Lappia</t>
  </si>
  <si>
    <t>Keski-Pohjanmaan Konservatorion Kannatusyhdistys Ry</t>
  </si>
  <si>
    <t>Keski-Pohjanmaan Koulutusyhtymä</t>
  </si>
  <si>
    <t>Keski-Uudenmaan koulutuskuntayhtymä</t>
  </si>
  <si>
    <t>Kiinteistöalan Koulutussäätiö sr</t>
  </si>
  <si>
    <t>Kiipulasäätiö sr</t>
  </si>
  <si>
    <t>Kirkkopalvelut ry</t>
  </si>
  <si>
    <t>Kisakalliosäätiö sr</t>
  </si>
  <si>
    <t>Kiteen Evankelisen Kansanopiston kannatusyhdistys ry</t>
  </si>
  <si>
    <t>Korpisaaren Säätiö sr</t>
  </si>
  <si>
    <t>Kotkan-Haminan seudun koulutuskuntayhtymä</t>
  </si>
  <si>
    <t>Koulutuskeskus Salpaus -kuntayhtymä</t>
  </si>
  <si>
    <t>Koulutuskuntayhtymä Tavastia</t>
  </si>
  <si>
    <t>Kouvolan Aikuiskoulutussäätiö sr</t>
  </si>
  <si>
    <t>Kouvolan kaupunki</t>
  </si>
  <si>
    <t>KSAK Oy</t>
  </si>
  <si>
    <t>Kuopion Konservatorion kannatusyhdistys r.y.</t>
  </si>
  <si>
    <t>Kuopion Talouskoulun kannatusyhdistys r.y.</t>
  </si>
  <si>
    <t>Kuortaneen Urheiluopistosäätiö sr</t>
  </si>
  <si>
    <t>Laajasalon opiston säätiö sr</t>
  </si>
  <si>
    <t>Lahden kansanopiston säätiö sr</t>
  </si>
  <si>
    <t>Lahden Konservatorio Oy</t>
  </si>
  <si>
    <t>Lounais-Hämeen koulutuskuntayhtymä</t>
  </si>
  <si>
    <t>Lounais-Suomen koulutuskuntayhtymä</t>
  </si>
  <si>
    <t>Luksia, Länsi-Uudenmaan koulutuskuntayhtymä</t>
  </si>
  <si>
    <t>Länsirannikon Koulutus Oy</t>
  </si>
  <si>
    <t>Maalariammattikoulun kannatusyhdistys r.y.</t>
  </si>
  <si>
    <t>Management Institute of Finland MIF Oy</t>
  </si>
  <si>
    <t>Markkinointi-instituutin Kannatusyhdistys ry</t>
  </si>
  <si>
    <t>Marttayhdistysten liitto ry</t>
  </si>
  <si>
    <t>Optima samkommun</t>
  </si>
  <si>
    <t>Oulun kaupunki</t>
  </si>
  <si>
    <t>Oulun seudun koulutuskuntayhtymä (OSEKK)</t>
  </si>
  <si>
    <t>Paasikiviopistoyhdistys r.y.</t>
  </si>
  <si>
    <t>Palkansaajien koulutussäätiö sr</t>
  </si>
  <si>
    <t>Palloilu Säätiö sr</t>
  </si>
  <si>
    <t>Peimarin koulutuskuntayhtymä</t>
  </si>
  <si>
    <t>Perho Liiketalousopisto Oy</t>
  </si>
  <si>
    <t>Peräpohjolan Kansanopiston kannatusyhdistys ry</t>
  </si>
  <si>
    <t>Pohjois-Karjalan Koulutuskuntayhtymä</t>
  </si>
  <si>
    <t>Pohjois-Satakunnan Kansanopiston kannatusyhdistys r.y.</t>
  </si>
  <si>
    <t>Pohjois-Savon Kansanopistoseura r.y.</t>
  </si>
  <si>
    <t>Pohjois-Suomen Koulutuskeskussäätiö sr</t>
  </si>
  <si>
    <t>Pop &amp; Jazz Konservatorion Säätiö sr</t>
  </si>
  <si>
    <t>Portaanpää ry</t>
  </si>
  <si>
    <t>Raahen Koulutuskuntayhtymä</t>
  </si>
  <si>
    <t>Raahen Porvari- ja Kauppakoulurahasto sr</t>
  </si>
  <si>
    <t>Raision Seudun Koulutuskuntayhtymä</t>
  </si>
  <si>
    <t>Rakennusteollisuus RT ry</t>
  </si>
  <si>
    <t>Rastor Oy</t>
  </si>
  <si>
    <t>Raudaskylän Kristillinen Opisto r.y.</t>
  </si>
  <si>
    <t>Rovalan Setlementti ry</t>
  </si>
  <si>
    <t>Rovaniemen Koulutuskuntayhtymä</t>
  </si>
  <si>
    <t>Salon Seudun Koulutuskuntayhtymä</t>
  </si>
  <si>
    <t>SASKY koulutuskuntayhtymä</t>
  </si>
  <si>
    <t>Satakunnan koulutuskuntayhtymä</t>
  </si>
  <si>
    <t>Savon Koulutuskuntayhtymä</t>
  </si>
  <si>
    <t>Seinäjoen koulutuskuntayhtymä</t>
  </si>
  <si>
    <t>Suomen Diakoniaopisto - SDO Oy</t>
  </si>
  <si>
    <t>Suomen kansallisooppera ja -baletti sr</t>
  </si>
  <si>
    <t>Suomen Nuoriso-Opiston kannatusyhdistys ry</t>
  </si>
  <si>
    <t>Suomen Urheiluopiston Kannatusosakeyhtiö</t>
  </si>
  <si>
    <t>Suomen ympäristöopisto SYKLI Oy</t>
  </si>
  <si>
    <t>Suomen yrittäjäopiston kannatus Oy</t>
  </si>
  <si>
    <t>Suupohjan Koulutuskuntayhtymä</t>
  </si>
  <si>
    <t>Svenska Framtidsskolan i Helsingforsregionen Ab</t>
  </si>
  <si>
    <t>Svenska Österbottens förbund för Utbildning och Kultur</t>
  </si>
  <si>
    <t>Tampereen Aikuiskoulutussäätiö sr</t>
  </si>
  <si>
    <t>Tampereen kaupunki</t>
  </si>
  <si>
    <t>Tampereen Musiikkiopiston Säätiö sr</t>
  </si>
  <si>
    <t>Tanhuvaaran Säätiö sr</t>
  </si>
  <si>
    <t>Tohtori Matthias Ingmanin säätiö sr</t>
  </si>
  <si>
    <t>Traffica Oy</t>
  </si>
  <si>
    <t>Turun Aikuiskoulutussäätiö sr</t>
  </si>
  <si>
    <t>Turun Ammattiopistosäätiö sr</t>
  </si>
  <si>
    <t>Turun kaupunki</t>
  </si>
  <si>
    <t>Turun Konservatorion kannatusyhdistys - Garantiföreningen för Åbo Konservatorium r.y.</t>
  </si>
  <si>
    <t>Turun kristillisen opiston säätiö sr</t>
  </si>
  <si>
    <t>Työtehoseura ry</t>
  </si>
  <si>
    <t>Vaasan kaupunki</t>
  </si>
  <si>
    <t>Valkeakosken seudun koulutuskuntayhtymä</t>
  </si>
  <si>
    <t>Valkealan Kristillisen Kansanopiston kannatusyhdistys r.y.</t>
  </si>
  <si>
    <t>Valtakunnallinen valmennus- ja liikuntakeskus Oy</t>
  </si>
  <si>
    <t>Vantaan kaupunki</t>
  </si>
  <si>
    <t>Varalan Säätiö sr</t>
  </si>
  <si>
    <t>Ylä-Savon koulutuskuntayhtymä</t>
  </si>
  <si>
    <t>Äänekosken Ammatillisen Koulutuksen kuntayhtymä</t>
  </si>
  <si>
    <t>Koko tutkinnon suorittaneet</t>
  </si>
  <si>
    <t>Tutkinnon osia suorittaneet</t>
  </si>
  <si>
    <t>Fysikaalinen hoitolaitos Arcus Lumio &amp; Pirttimaa</t>
  </si>
  <si>
    <t>KONE Hissit Oy</t>
  </si>
  <si>
    <t>Suomen Luterilainen Evankeliumiyhdistys ry</t>
  </si>
  <si>
    <t>TYA-oppilaitos Oy</t>
  </si>
  <si>
    <t>Kustannusryhmän mukaan painotetut perustutkinnon opiskelijavuodet</t>
  </si>
  <si>
    <t>Kustannusryhmän mukaan painotetut at- ja eat-tutkinnon opiskelijavuodet</t>
  </si>
  <si>
    <t>Kustannusryhmän mukaan painotetut VALMA&amp;TELMA opiskelijavuodet</t>
  </si>
  <si>
    <t>Kustannusryhmän mukaan painotetut opiskelijavalmiuksia tukevat opiskelijavuodet</t>
  </si>
  <si>
    <t>Kustannusryhmän mukaan painotetut muun koulutuksen opiskelijavuodet</t>
  </si>
  <si>
    <t>Erityistuen mukaan painotetut opiskelijavuodet</t>
  </si>
  <si>
    <t>Majoituksen mukaan painotetut opiskelijavuodet</t>
  </si>
  <si>
    <t>Henkilöstökoulutuksen mukaan painotetut opiskelijavuodet</t>
  </si>
  <si>
    <t>Työvoimakoulutuksen mukaan painotetut opiskelijavuodet</t>
  </si>
  <si>
    <t>Vankilakoulutuksen mukaan painotetut opiskelijavuodet</t>
  </si>
  <si>
    <t>Painotetut opiskelijavuodet yhteensä</t>
  </si>
  <si>
    <t>Profiilikerroin</t>
  </si>
  <si>
    <t>Fria Kristliga Folkhögskolan i Vasa</t>
  </si>
  <si>
    <t>Haus Kehittämiskeskus Oy</t>
  </si>
  <si>
    <t>Konecranes Finland Oy</t>
  </si>
  <si>
    <t>Kvarnen samkommun</t>
  </si>
  <si>
    <t>Meyer Turku Oy</t>
  </si>
  <si>
    <t>Reisjärven Kristillinen Kansanopistoyhdistys ry</t>
  </si>
  <si>
    <t>Samkommunen för Yrkesutbildning i Östra Nyland</t>
  </si>
  <si>
    <t>Tampereen Urheiluhierojakoulu Oy</t>
  </si>
  <si>
    <t>Toyota Auto Finland Oy</t>
  </si>
  <si>
    <t>TUL:n Kisakeskussäätiö sr</t>
  </si>
  <si>
    <t>ABB Oy</t>
  </si>
  <si>
    <t>Cargotec Finland Oy</t>
  </si>
  <si>
    <t>Finnair Oyj</t>
  </si>
  <si>
    <t>Nanso Group Oy</t>
  </si>
  <si>
    <t>Rautaruukki Oyj</t>
  </si>
  <si>
    <t>Suomen Ilmailuopisto Oy</t>
  </si>
  <si>
    <t>UPM-Kymmene Oyj</t>
  </si>
  <si>
    <t>Valmet Automotive Oy</t>
  </si>
  <si>
    <t>Vuolle Setlementti ry</t>
  </si>
  <si>
    <t>Wärtsilä Finland Oy</t>
  </si>
  <si>
    <t>Air Navigation Services Finland Oy</t>
  </si>
  <si>
    <t>Lieksan Kristillisen Opiston kannatusyhdistys ry</t>
  </si>
  <si>
    <t>Suoritusrahoituksen tutkinnon osien osaamispisteiden ja koko tutkintojen osuus laskennallisesta rahoituksesta vuonna 2020 on 20 %</t>
  </si>
  <si>
    <t>Nokia Oyj</t>
  </si>
  <si>
    <t>Työväen Sivistysliitto TSL ry</t>
  </si>
  <si>
    <t>Järjestämis-luvan opiskelija-vuosien vähimmäis-määrä</t>
  </si>
  <si>
    <t>Suorite-päätöksellä 2019 jaetut opiskelija-vuodet 
(luvan ylittävä osuus)</t>
  </si>
  <si>
    <t>1 Tavoitteellinen opiskelijavuosimäärä 2019</t>
  </si>
  <si>
    <t>2
-josta työvoimakoulutus</t>
  </si>
  <si>
    <t>3
Profiilikerroin</t>
  </si>
  <si>
    <t>4 
Painotetut tavoitteelliset opiskelija-vuodet</t>
  </si>
  <si>
    <t>5 
Kiky-vähennys €</t>
  </si>
  <si>
    <t>6 
Harkinnan-varainen korotus €</t>
  </si>
  <si>
    <t>7 
Perusrahoitus yhteensä €</t>
  </si>
  <si>
    <t>8 
Tutkintojen määrä</t>
  </si>
  <si>
    <t>10 Suoritusrahoitus yhteensä €</t>
  </si>
  <si>
    <t>11 
Rahoitus yhteensä (pl. alv) €</t>
  </si>
  <si>
    <t>12 
Arvonlisävero-korvaus €</t>
  </si>
  <si>
    <t>Ava-instituutin kannatusyhdistys ry</t>
  </si>
  <si>
    <t>Careeria Oy</t>
  </si>
  <si>
    <t>Fria kristliga Folkhögskolan i Vasa</t>
  </si>
  <si>
    <t>HAUS Kehittämiskeskus Oy</t>
  </si>
  <si>
    <t>Kalajoen Kristillisen Opiston Kannatusyhdistys ry</t>
  </si>
  <si>
    <t>Opintotoiminnan keskusliitto ry</t>
  </si>
  <si>
    <t xml:space="preserve">Sanoma Oyj </t>
  </si>
  <si>
    <t>Suoritusrahoitus</t>
  </si>
  <si>
    <t>€</t>
  </si>
  <si>
    <t>Ammatillisen koulutuksen rahoitus ml. alv</t>
  </si>
  <si>
    <t>Laskennallinen rahoitus + alv</t>
  </si>
  <si>
    <t xml:space="preserve">Työllistyneet ja jatko-opiskelijat </t>
  </si>
  <si>
    <t>%-osuus 1</t>
  </si>
  <si>
    <t>Painotetut pisteet 2</t>
  </si>
  <si>
    <t>%-osuus 2</t>
  </si>
  <si>
    <t>Painotetut pisteet 3</t>
  </si>
  <si>
    <t>%-osuus 3</t>
  </si>
  <si>
    <t>1 Opiskelijavuodet</t>
  </si>
  <si>
    <t>2 Tutkinnot ja tutkinnon osat</t>
  </si>
  <si>
    <t xml:space="preserve">3 Työllistyneet ja jatko-opiskelijat </t>
  </si>
  <si>
    <t>4 Aloittaneet opiskelijapalaute</t>
  </si>
  <si>
    <t>Painotetut pisteet 4</t>
  </si>
  <si>
    <t>%-osuus 4</t>
  </si>
  <si>
    <t>%-osuus 6</t>
  </si>
  <si>
    <t>Painotetut opiskelija-vuodet</t>
  </si>
  <si>
    <t>Tavoitteelliset opiske-lijavuodet</t>
  </si>
  <si>
    <t>Profiili-kerroin</t>
  </si>
  <si>
    <t>%-osuus 5</t>
  </si>
  <si>
    <t>Painotetut pisteet 5</t>
  </si>
  <si>
    <t>Uusimaa</t>
  </si>
  <si>
    <t>2918298-7</t>
  </si>
  <si>
    <t>Keski-Suomi</t>
  </si>
  <si>
    <t>0208589-6</t>
  </si>
  <si>
    <t>Pohjois-Savo</t>
  </si>
  <si>
    <t>0214765-5</t>
  </si>
  <si>
    <t>Pohjanmaa</t>
  </si>
  <si>
    <t>0773744-3</t>
  </si>
  <si>
    <t>Pohjois-Pohjanmaa</t>
  </si>
  <si>
    <t>0195032-3</t>
  </si>
  <si>
    <t>Kainuu</t>
  </si>
  <si>
    <t>Pirkanmaa</t>
  </si>
  <si>
    <t>0155689-5</t>
  </si>
  <si>
    <t>0124610-9</t>
  </si>
  <si>
    <t>Päijät-Häme</t>
  </si>
  <si>
    <t>1053500-9</t>
  </si>
  <si>
    <t>Varsinais-Suomi</t>
  </si>
  <si>
    <t>0143991-2</t>
  </si>
  <si>
    <t>Kymenlaakso</t>
  </si>
  <si>
    <t>0163408-0</t>
  </si>
  <si>
    <t>0206289-7</t>
  </si>
  <si>
    <t>0209602-6</t>
  </si>
  <si>
    <t>1041090-0</t>
  </si>
  <si>
    <t>0215382-8</t>
  </si>
  <si>
    <t>0202496-2</t>
  </si>
  <si>
    <t>0915313-4</t>
  </si>
  <si>
    <t>0204819-8</t>
  </si>
  <si>
    <t>0276652-8</t>
  </si>
  <si>
    <t>0142247-5</t>
  </si>
  <si>
    <t>0858476-8</t>
  </si>
  <si>
    <t>0172730-8</t>
  </si>
  <si>
    <t>1577184-4</t>
  </si>
  <si>
    <t>1019670-5</t>
  </si>
  <si>
    <t>Etelä-Pohjanmaa</t>
  </si>
  <si>
    <t>Etelä-Savo</t>
  </si>
  <si>
    <t>0166930-4</t>
  </si>
  <si>
    <t>1099221-8</t>
  </si>
  <si>
    <t>0206148-0</t>
  </si>
  <si>
    <t>0211675-2</t>
  </si>
  <si>
    <t>0155651-0</t>
  </si>
  <si>
    <t>0988182-8</t>
  </si>
  <si>
    <t>1648362-5</t>
  </si>
  <si>
    <t>0973712-1</t>
  </si>
  <si>
    <t>0208850-1</t>
  </si>
  <si>
    <t>0681365-1</t>
  </si>
  <si>
    <t>0202512-1</t>
  </si>
  <si>
    <t>0207230-7</t>
  </si>
  <si>
    <t>0242525-6</t>
  </si>
  <si>
    <t>0116936-9</t>
  </si>
  <si>
    <t>Satakunta</t>
  </si>
  <si>
    <t>1728925-0</t>
  </si>
  <si>
    <t>2756786-7</t>
  </si>
  <si>
    <t>1007629-5</t>
  </si>
  <si>
    <t>1852679-9</t>
  </si>
  <si>
    <t>0203929-1</t>
  </si>
  <si>
    <t>0204964-1</t>
  </si>
  <si>
    <t>1524361-1</t>
  </si>
  <si>
    <t>0139545-4</t>
  </si>
  <si>
    <t>Lappi</t>
  </si>
  <si>
    <t>0973110-9</t>
  </si>
  <si>
    <t>0210668-5</t>
  </si>
  <si>
    <t>0210311-8</t>
  </si>
  <si>
    <t>0113276-9</t>
  </si>
  <si>
    <t>0195258-0</t>
  </si>
  <si>
    <t>0215303-5</t>
  </si>
  <si>
    <t>0204427-7</t>
  </si>
  <si>
    <t>0189373-6</t>
  </si>
  <si>
    <t>0210287-9</t>
  </si>
  <si>
    <t>0828475-7</t>
  </si>
  <si>
    <t>0214822-8</t>
  </si>
  <si>
    <t>0280690-5</t>
  </si>
  <si>
    <t>0207972-8</t>
  </si>
  <si>
    <t>0908429-8</t>
  </si>
  <si>
    <t>0193507-8</t>
  </si>
  <si>
    <t>2734201-9</t>
  </si>
  <si>
    <t>0823246-3</t>
  </si>
  <si>
    <t>0153158-3</t>
  </si>
  <si>
    <t>0882817-9</t>
  </si>
  <si>
    <t>0365121-2</t>
  </si>
  <si>
    <t>Pohjois-Karjala</t>
  </si>
  <si>
    <t>0212371-7</t>
  </si>
  <si>
    <t>0992445-3</t>
  </si>
  <si>
    <t>0187690-1</t>
  </si>
  <si>
    <t>0796234-1</t>
  </si>
  <si>
    <t>0201789-3</t>
  </si>
  <si>
    <t>0112038-9</t>
  </si>
  <si>
    <t>0151534-8</t>
  </si>
  <si>
    <t>2460281-5</t>
  </si>
  <si>
    <t>0772017-4</t>
  </si>
  <si>
    <t>0187711-1</t>
  </si>
  <si>
    <t>0201689-0</t>
  </si>
  <si>
    <t>0222804-1</t>
  </si>
  <si>
    <t>0871305-6</t>
  </si>
  <si>
    <t>2245018-4</t>
  </si>
  <si>
    <t>0203167-9</t>
  </si>
  <si>
    <t>0204023-3</t>
  </si>
  <si>
    <t>Kanta-Häme</t>
  </si>
  <si>
    <t>0626288-8</t>
  </si>
  <si>
    <t>0169327-5</t>
  </si>
  <si>
    <t>0149057-4</t>
  </si>
  <si>
    <t>0149666-9</t>
  </si>
  <si>
    <t>0209021-4</t>
  </si>
  <si>
    <t>0213834-5</t>
  </si>
  <si>
    <t>0180124-8</t>
  </si>
  <si>
    <t>0207872-5</t>
  </si>
  <si>
    <t>0207862-9</t>
  </si>
  <si>
    <t>0832600-5</t>
  </si>
  <si>
    <t>Keski-Pohjanmaa</t>
  </si>
  <si>
    <t>0208916-8</t>
  </si>
  <si>
    <t>1943518-6</t>
  </si>
  <si>
    <t>0161075-9</t>
  </si>
  <si>
    <t>0161067-9</t>
  </si>
  <si>
    <t>0205303-4</t>
  </si>
  <si>
    <t>0993644-6</t>
  </si>
  <si>
    <t>1958694-5</t>
  </si>
  <si>
    <t>0536496-2</t>
  </si>
  <si>
    <t>0950895-1</t>
  </si>
  <si>
    <t>1904292-1</t>
  </si>
  <si>
    <t>0207572-7</t>
  </si>
  <si>
    <t>0128756-8</t>
  </si>
  <si>
    <t>0215281-7</t>
  </si>
  <si>
    <t>0147520-0</t>
  </si>
  <si>
    <t>0774302-6</t>
  </si>
  <si>
    <t>2109309-0</t>
  </si>
  <si>
    <t>0101304-9</t>
  </si>
  <si>
    <t>0178980-8</t>
  </si>
  <si>
    <t>0503417-0</t>
  </si>
  <si>
    <t>0208362-0</t>
  </si>
  <si>
    <t>0213502-1</t>
  </si>
  <si>
    <t>0213977-8</t>
  </si>
  <si>
    <t>0209892-9</t>
  </si>
  <si>
    <t>0214958-9</t>
  </si>
  <si>
    <t>1807931-9</t>
  </si>
  <si>
    <t>0208201-1</t>
  </si>
  <si>
    <t>1637771-8</t>
  </si>
  <si>
    <t>0210010-1</t>
  </si>
  <si>
    <t>0242746-2</t>
  </si>
  <si>
    <t>0942165-3</t>
  </si>
  <si>
    <t>1605076-6</t>
  </si>
  <si>
    <t>0167924-6</t>
  </si>
  <si>
    <t>0207390-8</t>
  </si>
  <si>
    <t>0207329-7</t>
  </si>
  <si>
    <t>0201375-3</t>
  </si>
  <si>
    <t>2627679-3</t>
  </si>
  <si>
    <t>2250205-2</t>
  </si>
  <si>
    <t>0200004-7</t>
  </si>
  <si>
    <t>0201252-3</t>
  </si>
  <si>
    <t>0934732-6</t>
  </si>
  <si>
    <t>0201472-1</t>
  </si>
  <si>
    <t>2162576-3</t>
  </si>
  <si>
    <t>0201256-6</t>
  </si>
  <si>
    <t>1778388-1</t>
  </si>
  <si>
    <t>1055483-2</t>
  </si>
  <si>
    <t>0209770-7</t>
  </si>
  <si>
    <t>0734567-7</t>
  </si>
  <si>
    <t>0209492-8</t>
  </si>
  <si>
    <t>2334857-9</t>
  </si>
  <si>
    <t>0108023-3</t>
  </si>
  <si>
    <t>0203717-3</t>
  </si>
  <si>
    <t>2249317-6</t>
  </si>
  <si>
    <t>Etelä-Karjala</t>
  </si>
  <si>
    <t>1027740-9</t>
  </si>
  <si>
    <t>0502454-6</t>
  </si>
  <si>
    <t>2189108-4</t>
  </si>
  <si>
    <t>0986820-1</t>
  </si>
  <si>
    <t>2064886-7</t>
  </si>
  <si>
    <t>0211060-9</t>
  </si>
  <si>
    <t>2767840-1</t>
  </si>
  <si>
    <t>2811092-2</t>
  </si>
  <si>
    <t>0150951-1</t>
  </si>
  <si>
    <t>0155402-1</t>
  </si>
  <si>
    <t>0763403-0</t>
  </si>
  <si>
    <t>Nimi</t>
  </si>
  <si>
    <t>Y-tunnus</t>
  </si>
  <si>
    <t>KOULUTUKSEN JÄRJESTÄJÄ</t>
  </si>
  <si>
    <t>kuntayhtymä</t>
  </si>
  <si>
    <t>yksityinen</t>
  </si>
  <si>
    <t>kunta</t>
  </si>
  <si>
    <t>Vaikuttavuusrahoitus</t>
  </si>
  <si>
    <t>5 Päättäneet  opiskelijapalaute</t>
  </si>
  <si>
    <t>Opiskelijapalaute</t>
  </si>
  <si>
    <t>Päättäneet</t>
  </si>
  <si>
    <t>Omistajatyyppi</t>
  </si>
  <si>
    <t>Maakunta</t>
  </si>
  <si>
    <t>Ammatillisen koulutuksen rahoitus pl. alv</t>
  </si>
  <si>
    <t>Laskennallinen rahoitus pl. alv</t>
  </si>
  <si>
    <t>Perusrahoitus yht.</t>
  </si>
  <si>
    <t>Perus-rahoituksesta</t>
  </si>
  <si>
    <t>Vaikuttavuus-rahoituksesta</t>
  </si>
  <si>
    <t>Opiskelija-palaute-osuudesta</t>
  </si>
  <si>
    <t>Laskennalli-sesta</t>
  </si>
  <si>
    <t>Suoriteperusteinen perusrahoitus yht. (jakovara- ja oikaisuvähennyksen jälkeen)</t>
  </si>
  <si>
    <t>Laskennallinen rahoitus pl. alv. ja hark. perusrahoitus (jakovara- ja oikaisuvähennyksen jälkeen)</t>
  </si>
  <si>
    <t>Työelämäpalaute (osana vaikuttavuusrahoitusta vuodesta 2022 alkaen)</t>
  </si>
  <si>
    <t>Painottamattomat opiskelijavuodet yhteensä</t>
  </si>
  <si>
    <t>Painottamattomat opiskelijavuodet (pl. muu koulutus)</t>
  </si>
  <si>
    <t>Muun koulutuksen painottamattomat opiskelijavuodet</t>
  </si>
  <si>
    <t>Vaikuttavuusrahoituksen opiskelun päättäneiden palautteen osuus laskennallisesta rahoituksesta vuonna 2020 on  1,875 % (= 2,5 x 0,75)</t>
  </si>
  <si>
    <t>Vaikuttavuusrahoituksen opiskelun aloittaneiden palautteen osuus laskennallisesta rahoituksesta vuonna 2020 on 0,625 % (= 2,5 x 0,25)</t>
  </si>
  <si>
    <t>Vaikuttavuusrahoituksen työllistyneet ja jatko-opiskelijat osuus laskennallisesta rahoituksesta vuonna 2020 on 7,5 %</t>
  </si>
  <si>
    <t>Perusrahoituksen osuus laskennallisesta rahoituksesta vuonna 2020 on 70 %, rahoitus perustuu profiikertoimella painotettujen tavoitteellisten opiskelijavuosien sekä pienin osin harkinnanvaraisen korotuksen määrään</t>
  </si>
  <si>
    <t>Tutkintojen painotetut pisteet yhteensä</t>
  </si>
  <si>
    <t>Tutkinnon osien painotetut osaamispisteet yhteensä</t>
  </si>
  <si>
    <t>Suoriteperusteinen perusrahoitus yht. (ennen varainhoitovuoden jakovara- ja oikaisuvähennystä)</t>
  </si>
  <si>
    <t>Kuopion Talouskoulun Kannatusyhdistys ry</t>
  </si>
  <si>
    <t>Kotipaikkakunnan maakunta</t>
  </si>
  <si>
    <t>Perusrahoitus yhteensä</t>
  </si>
  <si>
    <t>Suoritusrahoitus yhteensä</t>
  </si>
  <si>
    <t>Vaikuttavuusrahoitus yhteensä</t>
  </si>
  <si>
    <t>Suoritusrahoitus, €</t>
  </si>
  <si>
    <t>Työllistymiseen ja jatko-opintoihin siirtymiseen perustuva sekä opiskelija-palautteisiin perustuva, €</t>
  </si>
  <si>
    <t>Perus-, suoritus- ja vaikuttavuusrahoitus yhteensä, €</t>
  </si>
  <si>
    <t>Kotipaikan maakunnan koodi</t>
  </si>
  <si>
    <t>Toiminta-alueen pääasiallinen maakuntakoodi</t>
  </si>
  <si>
    <t>Toiminta-alueen pääasiallinen maakunta</t>
  </si>
  <si>
    <t>Omistajatyypin koodi</t>
  </si>
  <si>
    <t>Ei määritetä/valtakunnallinen</t>
  </si>
  <si>
    <t>0188756-3</t>
  </si>
  <si>
    <t>Kainuun Opisto Oy</t>
  </si>
  <si>
    <t>Alv-korvaus, €</t>
  </si>
  <si>
    <t>Koko rahoitus + 
alv-korvaus, €</t>
  </si>
  <si>
    <t>Opintotoiminnan Keskusliitto ry, Centralförbundet för Studieverksamhet rf</t>
  </si>
  <si>
    <t>Rahoitusperusteraportti: Tutkintojen ja tutkinnon osien painotetut pisteet</t>
  </si>
  <si>
    <t>Rahoitusperusteraportti: Tutkinnon suorittaneiden työllistyminen ja jatko-opiskelu painotetut pisteet</t>
  </si>
  <si>
    <t>Rahoitusperusteraportti: Opiskelijapalautteen aloituskyselyn painotetut pisteet</t>
  </si>
  <si>
    <t>Rahoitusperusteraportti: Opiskelijapalautteen päättökyselyn painotetut pisteet</t>
  </si>
  <si>
    <t>Turun aikuiskoulutussäätiö</t>
  </si>
  <si>
    <t>Suomen Yrittäjäopiston kannatus Oy</t>
  </si>
  <si>
    <t>Careeria</t>
  </si>
  <si>
    <t>0142247-5X</t>
  </si>
  <si>
    <t>2390097-6X</t>
  </si>
  <si>
    <t>0208850-1X</t>
  </si>
  <si>
    <t>0872020-5X</t>
  </si>
  <si>
    <t>0130270-5X</t>
  </si>
  <si>
    <t>0210838-1X</t>
  </si>
  <si>
    <t>1 Yksityinen</t>
  </si>
  <si>
    <t>Kieli</t>
  </si>
  <si>
    <t>Kielen koodi</t>
  </si>
  <si>
    <t>suomenkielinen</t>
  </si>
  <si>
    <t>ruotsinkielinen</t>
  </si>
  <si>
    <t>kaksikielinen (s)</t>
  </si>
  <si>
    <t>Rahoitukseen hyväksytyt painotetut osaamispisteet</t>
  </si>
  <si>
    <t>Tutkintojen ja tutkinnon osien painotetut pisteet, järj. %-osuus</t>
  </si>
  <si>
    <t>Tämä sarake alv-kompensaatioon</t>
  </si>
  <si>
    <t>Alv-vahvistus tehty</t>
  </si>
  <si>
    <t xml:space="preserve"> OPH:lle Vahvistettu alv yhteensä</t>
  </si>
  <si>
    <t xml:space="preserve"> Ahlmanin koulun Säätiö</t>
  </si>
  <si>
    <t xml:space="preserve"> Air Navigation Services Fin</t>
  </si>
  <si>
    <t xml:space="preserve"> Aitoon Emäntäkoulu Oy</t>
  </si>
  <si>
    <t xml:space="preserve"> Ami-säätiö</t>
  </si>
  <si>
    <t xml:space="preserve"> Ammattienedistämislaitossää</t>
  </si>
  <si>
    <t xml:space="preserve"> Ammattiopisto Spesia Oy</t>
  </si>
  <si>
    <t xml:space="preserve"> AVA-instituutin Kannatusyhd</t>
  </si>
  <si>
    <t xml:space="preserve"> Axxell Utbildning Ab</t>
  </si>
  <si>
    <t xml:space="preserve"> Etelä-Savon Koulutus Oy</t>
  </si>
  <si>
    <t xml:space="preserve"> Eurajoen kristillisen opist</t>
  </si>
  <si>
    <t xml:space="preserve"> Finnair Oyj</t>
  </si>
  <si>
    <t xml:space="preserve"> Folkhälsan Utbildning Ab</t>
  </si>
  <si>
    <t xml:space="preserve"> Haapaveden Opiston kannatus</t>
  </si>
  <si>
    <t xml:space="preserve"> Harjun oppimiskeskus oy</t>
  </si>
  <si>
    <t xml:space="preserve"> Haus Kehittämiskeskus Oy</t>
  </si>
  <si>
    <t xml:space="preserve"> Helsingin konservatorion sä</t>
  </si>
  <si>
    <t xml:space="preserve"> Helsinki Business College O</t>
  </si>
  <si>
    <t xml:space="preserve"> Hengitysliitto ry</t>
  </si>
  <si>
    <t xml:space="preserve"> Hevosopisto Oy</t>
  </si>
  <si>
    <t xml:space="preserve"> Hyria koulutus Oy</t>
  </si>
  <si>
    <t xml:space="preserve"> Hämeen ammatti-instituutti</t>
  </si>
  <si>
    <t xml:space="preserve"> Invalidisäätiö</t>
  </si>
  <si>
    <t xml:space="preserve"> Itä-Karjalan kansanopistose</t>
  </si>
  <si>
    <t xml:space="preserve"> Itä-Suomen liikuntaopisto O</t>
  </si>
  <si>
    <t xml:space="preserve"> Itä-Uudenmaan koulutuskunta</t>
  </si>
  <si>
    <t xml:space="preserve"> Jollas-Opisto Oy</t>
  </si>
  <si>
    <t xml:space="preserve"> Jyväskylän kristillisen opi</t>
  </si>
  <si>
    <t xml:space="preserve"> Jyväskylän talouskouluyhdis</t>
  </si>
  <si>
    <t xml:space="preserve"> Kalajoen kristillisen opist</t>
  </si>
  <si>
    <t xml:space="preserve"> Kanneljärven kansanopiston</t>
  </si>
  <si>
    <t xml:space="preserve"> Kauppiaitten Kauppaoppilait</t>
  </si>
  <si>
    <t xml:space="preserve"> Kaustisen Evankelisen Opist</t>
  </si>
  <si>
    <t xml:space="preserve"> Kellosepäntaidon edistämiss</t>
  </si>
  <si>
    <t xml:space="preserve"> Keski-Pohjanmaan konservato</t>
  </si>
  <si>
    <t xml:space="preserve"> Kiinteistöalan koulutussäät</t>
  </si>
  <si>
    <t xml:space="preserve"> Kiipulasäätiö</t>
  </si>
  <si>
    <t xml:space="preserve"> Kirkkopalvelut ry</t>
  </si>
  <si>
    <t xml:space="preserve"> Kisakalliosäätiö</t>
  </si>
  <si>
    <t xml:space="preserve"> Kiteen evankelisen kansanop</t>
  </si>
  <si>
    <t xml:space="preserve"> KONE Hissit Oy</t>
  </si>
  <si>
    <t xml:space="preserve"> Konecranes Finland Oy</t>
  </si>
  <si>
    <t xml:space="preserve"> Korpisaaren säätiö</t>
  </si>
  <si>
    <t xml:space="preserve"> Kouvolan Ammatillinen Aikui</t>
  </si>
  <si>
    <t xml:space="preserve"> KSAK Oy</t>
  </si>
  <si>
    <t xml:space="preserve"> Kuopion konservatorion kann</t>
  </si>
  <si>
    <t xml:space="preserve"> Kuopion Talouskoulun kannat</t>
  </si>
  <si>
    <t xml:space="preserve"> Kuortaneen urheiluopistosää</t>
  </si>
  <si>
    <t xml:space="preserve"> Lahden kansanopiston säätiö</t>
  </si>
  <si>
    <t xml:space="preserve"> Lahden Konservatorio Oy</t>
  </si>
  <si>
    <t xml:space="preserve"> Länsirannikon Koulutus Oy</t>
  </si>
  <si>
    <t xml:space="preserve"> M.S.F-oppilaitos Oy</t>
  </si>
  <si>
    <t xml:space="preserve"> Maalariammattikoulun Kannat</t>
  </si>
  <si>
    <t xml:space="preserve"> Management Institute of Fin</t>
  </si>
  <si>
    <t xml:space="preserve"> Markkinointi-Instituutin ka</t>
  </si>
  <si>
    <t xml:space="preserve"> Marttayhdistysten liitto ry</t>
  </si>
  <si>
    <t xml:space="preserve"> Nokia-yhtymä</t>
  </si>
  <si>
    <t xml:space="preserve"> Opintotoiminnan keskusliitt</t>
  </si>
  <si>
    <t xml:space="preserve"> Oy Porvoo International Col</t>
  </si>
  <si>
    <t xml:space="preserve"> Paasikiviopistoyhdistys ry</t>
  </si>
  <si>
    <t xml:space="preserve"> Palkansaajien koulutussääti</t>
  </si>
  <si>
    <t xml:space="preserve"> Palloilu Säätiö</t>
  </si>
  <si>
    <t xml:space="preserve"> Perho Liiketalousopisto Oy</t>
  </si>
  <si>
    <t xml:space="preserve"> Peräpohjolan kansanopiston</t>
  </si>
  <si>
    <t xml:space="preserve"> Pohjois-Satakunnan kansanop</t>
  </si>
  <si>
    <t xml:space="preserve"> Pohjois-Savon kansanopistos</t>
  </si>
  <si>
    <t xml:space="preserve"> Pohjois-Suomen koulutuskesk</t>
  </si>
  <si>
    <t xml:space="preserve"> Pop &amp; Jazz Konservatorion S</t>
  </si>
  <si>
    <t xml:space="preserve"> Portaanpää ry.</t>
  </si>
  <si>
    <t xml:space="preserve"> Raahen Porvari- ja Kauppako</t>
  </si>
  <si>
    <t xml:space="preserve"> Rakennusteollisuus RT ry</t>
  </si>
  <si>
    <t xml:space="preserve"> Rastor Oy</t>
  </si>
  <si>
    <t xml:space="preserve"> Raudaskylän Kristillinen Op</t>
  </si>
  <si>
    <t xml:space="preserve"> Reisjärven kristillinen kan</t>
  </si>
  <si>
    <t xml:space="preserve"> Rovalan Setlementti ry</t>
  </si>
  <si>
    <t xml:space="preserve"> Suomen Diakoniaopisto-SDO O</t>
  </si>
  <si>
    <t xml:space="preserve"> Suomen Ilmailuopisto Oy</t>
  </si>
  <si>
    <t xml:space="preserve"> Suomen Kansallisooppera ja</t>
  </si>
  <si>
    <t xml:space="preserve"> Suomen Luterilainen Evankel</t>
  </si>
  <si>
    <t xml:space="preserve"> Suomen Nuoriso-opiston kann</t>
  </si>
  <si>
    <t xml:space="preserve"> Suomen Urheiluopiston kanna</t>
  </si>
  <si>
    <t xml:space="preserve"> Suomen Ympäristöopisto SYKL</t>
  </si>
  <si>
    <t xml:space="preserve"> Suomen yrittäjäopiston kann</t>
  </si>
  <si>
    <t xml:space="preserve"> Svenska framtidsskolan i he</t>
  </si>
  <si>
    <t xml:space="preserve"> Tampereen Aikuiskoulutussää</t>
  </si>
  <si>
    <t xml:space="preserve"> Tampereen musiikkiopiston s</t>
  </si>
  <si>
    <t xml:space="preserve"> Tampereen Urheiluhierojakou</t>
  </si>
  <si>
    <t xml:space="preserve"> Tanhuvaaran säätiö</t>
  </si>
  <si>
    <t xml:space="preserve"> Teak Oy</t>
  </si>
  <si>
    <t xml:space="preserve"> Toyota Auto Finland Oy</t>
  </si>
  <si>
    <t xml:space="preserve"> Traffica Oy</t>
  </si>
  <si>
    <t xml:space="preserve"> Tri Matthias Ingmanin sääti</t>
  </si>
  <si>
    <t xml:space="preserve"> TUL:n Kisakeskussäätiö</t>
  </si>
  <si>
    <t xml:space="preserve"> Turun aikuiskoulutussäätiö</t>
  </si>
  <si>
    <t xml:space="preserve"> Turun ammattiopistosäätiö</t>
  </si>
  <si>
    <t xml:space="preserve"> Turun konservatorion kannat</t>
  </si>
  <si>
    <t xml:space="preserve"> Turun kristillisen opiston</t>
  </si>
  <si>
    <t xml:space="preserve"> Työtehoseura ry</t>
  </si>
  <si>
    <t xml:space="preserve"> UPM-Kymmene Oyj</t>
  </si>
  <si>
    <t xml:space="preserve"> Valtakunnallinen valmennus-</t>
  </si>
  <si>
    <t xml:space="preserve"> Varalan Säätiö</t>
  </si>
  <si>
    <t xml:space="preserve"> Wärtsilä Finland Oy</t>
  </si>
  <si>
    <t>3008326-5</t>
  </si>
  <si>
    <t>AEL-Amiedu Oy</t>
  </si>
  <si>
    <t>2962876-6</t>
  </si>
  <si>
    <t>Turun musiikinopetus Oy</t>
  </si>
  <si>
    <t>0116354-9X</t>
  </si>
  <si>
    <t>0213612-0X</t>
  </si>
  <si>
    <t>0201689-0X</t>
  </si>
  <si>
    <t>0114371-6X</t>
  </si>
  <si>
    <t>0214081-6X</t>
  </si>
  <si>
    <t>1648362-5X</t>
  </si>
  <si>
    <t>0204843-8X</t>
  </si>
  <si>
    <t>Kotimaakunta</t>
  </si>
  <si>
    <t>Perusrahoitus ilman harkinnan-varaista korotusta €</t>
  </si>
  <si>
    <t>9 
Tutkinnoista kertyvät suorituspisteet</t>
  </si>
  <si>
    <t>Fria Kristliga Folkhögskolföreningen FKF rf</t>
  </si>
  <si>
    <t>Tilanne 9.10.2019 /sh</t>
  </si>
  <si>
    <t xml:space="preserve">Järjestäjä ei ole vahvistanut </t>
  </si>
  <si>
    <t>Vertailutietona kustannuskyselyn  alv yhteensä</t>
  </si>
  <si>
    <t xml:space="preserve"> Rautaruukki Oyj</t>
  </si>
  <si>
    <t xml:space="preserve"> Valmet Automotive Oy</t>
  </si>
  <si>
    <t xml:space="preserve"> Valkealan kristillisen kans</t>
  </si>
  <si>
    <t xml:space="preserve"> Lieksan kristillisen opisto</t>
  </si>
  <si>
    <t xml:space="preserve"> Vuolle Setlementti ry</t>
  </si>
  <si>
    <t xml:space="preserve"> Laajasalon opiston säätiö s</t>
  </si>
  <si>
    <t xml:space="preserve"> Karstulan evankelisen kansa</t>
  </si>
  <si>
    <t xml:space="preserve"> Fria kristliga folkhögskola</t>
  </si>
  <si>
    <t xml:space="preserve"> Kansan sivistystyön liiton</t>
  </si>
  <si>
    <t xml:space="preserve"> Työväen Sivistysliitto TSL</t>
  </si>
  <si>
    <t xml:space="preserve"> Fysikaalinen hoitolaitos Ar</t>
  </si>
  <si>
    <t xml:space="preserve"> ABB Oy</t>
  </si>
  <si>
    <t xml:space="preserve"> Meyer Turku Oy</t>
  </si>
  <si>
    <t xml:space="preserve"> Cimson Koulutuspalvelut Oy</t>
  </si>
  <si>
    <t xml:space="preserve"> Suomen Nosturikoulutus Oy</t>
  </si>
  <si>
    <t>Vahvistamattomat yhteensä</t>
  </si>
  <si>
    <t>Kyselyn kohteet (Rahoitus)</t>
  </si>
  <si>
    <t>Vastanneet (Rahoitus)</t>
  </si>
  <si>
    <t>Vastausosuus (Rahoitus)</t>
  </si>
  <si>
    <t>Korjauskerroin (Rahoitus)</t>
  </si>
  <si>
    <t>Keskiarvo (Rahoitus)</t>
  </si>
  <si>
    <t>Keskihajonta (Rahoitus)</t>
  </si>
  <si>
    <t>Pisteet (Rahoitus)</t>
  </si>
  <si>
    <t>Painotetut pisteet (Rahoitus)</t>
  </si>
  <si>
    <t>Painotetut pisteet % (Rahoitus)</t>
  </si>
  <si>
    <t>Yhteensä Kyselyn kohteet (Rahoitus)</t>
  </si>
  <si>
    <t>Yhteensä Vastanneet (Rahoitus)</t>
  </si>
  <si>
    <t>Yhteensä Vastausosuus (Rahoitus)</t>
  </si>
  <si>
    <t>Yhteensä Korjauskerroin (Rahoitus)</t>
  </si>
  <si>
    <t>Yhteensä Keskiarvo (Rahoitus)</t>
  </si>
  <si>
    <t>Yhteensä Keskihajonta (Rahoitus)</t>
  </si>
  <si>
    <t>Yhteensä Pisteet (Rahoitus)</t>
  </si>
  <si>
    <t>Yhteensä Painotetut pisteet (Rahoitus)</t>
  </si>
  <si>
    <t>Yhteensä Painotetut pisteet % (Rahoitus)</t>
  </si>
  <si>
    <t>X</t>
  </si>
  <si>
    <t>Muu järjestäjä</t>
  </si>
  <si>
    <t>Jaettava €</t>
  </si>
  <si>
    <t>PERUSRAHOITUKSEN HARKINNANVARAINEN KOROTUS</t>
  </si>
  <si>
    <t>LASKENNALLINEN RAHOITUS YHTEENSÄ + ALV</t>
  </si>
  <si>
    <t>ARVONLISÄVEROKORVAUS</t>
  </si>
  <si>
    <t>Korvataan euromääräisesti kustannusten suuruisena vuodesta 2020 alkaen</t>
  </si>
  <si>
    <t>Rahoituksen muutos vuodesta 2019 (pl. hark. kor.)</t>
  </si>
  <si>
    <t>Rahoituksen muutos vuodesta 2019 (sis. hark. kor.)</t>
  </si>
  <si>
    <t>Rahoituksen muutos vuodesta 2019 + alv-korvaus</t>
  </si>
  <si>
    <t>linkki Vipunen-portaaliin:</t>
  </si>
  <si>
    <t>https://vipunen.fi/fi-fi/_layouts/15/xlviewer.aspx?id=/fi-fi/Raportit/Koski%20opiskelijavuodet.xlsb</t>
  </si>
  <si>
    <t>https://vipunen.fi/fi-fi/_layouts/15/xlviewer.aspx?id=/fi-fi/Raportit/Koski%20tutkinnot%20ja%20tutkinnon%20osat%20painotetut.xlsb</t>
  </si>
  <si>
    <t>https://vipunen.fi/fi-fi/_layouts/15/xlviewer.aspx?id=/fi-fi/Raportit/Rahoitusperusteraportti%20(ty%C3%B6llistyneet%20ja%20jatko-opiskelijat).xlsb</t>
  </si>
  <si>
    <t>https://vipunen.fi/fi-fi/_layouts/15/xlviewer.aspx?id=/fi-fi/Raportit/Ammatillinen%20koulutus%20-%20opiskelijapalaute%20-%20rahoitusmalli%20-%20aloituskysely.xlsb</t>
  </si>
  <si>
    <t>https://vipunen.fi/fi-fi/_layouts/15/xlviewer.aspx?id=/fi-fi/Raportit/Ammatillinenkoulutus%20-%20opiskelijapalaute%20-%20rahoitusmalli-%20p%C3%A4ttt%C3%B6kysely.xlsb</t>
  </si>
  <si>
    <t>Alv-korvauksen luvut ovat koulutuksen järjestäjien OPH:lle vahvistamia 9.10.2019 mukaisina.</t>
  </si>
  <si>
    <t>Vuoden 2019 varsinaisen suoritepäätöksen liiteraportti</t>
  </si>
  <si>
    <t>2019 rahoitus pl. hark. kor. ilman alv, €</t>
  </si>
  <si>
    <t>2019 rahoitus sis. hark. kor. ilman alv, €</t>
  </si>
  <si>
    <t>2019 rahoitus sis. hark. kor. + alv, €</t>
  </si>
  <si>
    <r>
      <t xml:space="preserve">LASKENNALLINEN RAHOITUS YHTEENSÄ
</t>
    </r>
    <r>
      <rPr>
        <sz val="10"/>
        <rFont val="Calibri"/>
        <family val="2"/>
        <scheme val="minor"/>
      </rPr>
      <t>(pl. perusrahoituksen myöhemmin varainhoitovuoden aikana jaettava osa)</t>
    </r>
  </si>
  <si>
    <t>x</t>
  </si>
  <si>
    <t>Laskennallinen rahoitus yhteensä</t>
  </si>
  <si>
    <t>(pl. myöhemmin varain-hoitovuoden aikana jaettava osa)</t>
  </si>
  <si>
    <t>Perusrahoitus (70 % laskennallisesta jos ml. hark korotus ja myöh. varainhoitov. aikana jaettava osa)</t>
  </si>
  <si>
    <t>OHJAUS-LASKENTATAULULLA SIMULOIDUN RAHOITUKSEN VERTAILU VUODEN 2019 VARSINAISEN SUORITEPÄÄTÖKSEN RAHOITUKSEEN</t>
  </si>
  <si>
    <t>Simuloitu rahoitus pl. hark. kor. ilman alv, €</t>
  </si>
  <si>
    <t>Simuloitu rahoitus sis. hark. kor. ilman alv, €</t>
  </si>
  <si>
    <t>Simuloitu rahoitus sis. hark. kor. + alv, €</t>
  </si>
  <si>
    <t>Suoritusrahoitus (20 % em. ehdoin)</t>
  </si>
  <si>
    <t>Vaikuttavuusrahoitus (10 % em. ehdoin)</t>
  </si>
  <si>
    <t>Yht. (100 % em. ehdoin)</t>
  </si>
  <si>
    <r>
      <t>Jaettava €</t>
    </r>
    <r>
      <rPr>
        <sz val="10"/>
        <color theme="4" tint="0.59999389629810485"/>
        <rFont val="Calibri"/>
        <family val="2"/>
        <scheme val="minor"/>
      </rPr>
      <t xml:space="preserve"> 6</t>
    </r>
  </si>
  <si>
    <r>
      <t>Jaettava €</t>
    </r>
    <r>
      <rPr>
        <sz val="10"/>
        <color theme="4" tint="0.59999389629810485"/>
        <rFont val="Calibri"/>
        <family val="2"/>
        <scheme val="minor"/>
      </rPr>
      <t xml:space="preserve"> 5</t>
    </r>
  </si>
  <si>
    <r>
      <t>Jaettava €</t>
    </r>
    <r>
      <rPr>
        <sz val="10"/>
        <color theme="4" tint="0.59999389629810485"/>
        <rFont val="Calibri"/>
        <family val="2"/>
        <scheme val="minor"/>
      </rPr>
      <t xml:space="preserve"> 4</t>
    </r>
  </si>
  <si>
    <r>
      <t>Jaettava €</t>
    </r>
    <r>
      <rPr>
        <sz val="10"/>
        <color theme="4" tint="0.59999389629810485"/>
        <rFont val="Calibri"/>
        <family val="2"/>
        <scheme val="minor"/>
      </rPr>
      <t xml:space="preserve"> 3</t>
    </r>
  </si>
  <si>
    <r>
      <t>Jaettava €</t>
    </r>
    <r>
      <rPr>
        <sz val="10"/>
        <color theme="4" tint="0.59999389629810485"/>
        <rFont val="Calibri"/>
        <family val="2"/>
        <scheme val="minor"/>
      </rPr>
      <t xml:space="preserve"> 2</t>
    </r>
  </si>
  <si>
    <r>
      <t>Jaettava €</t>
    </r>
    <r>
      <rPr>
        <sz val="10"/>
        <color theme="4" tint="0.59999389629810485"/>
        <rFont val="Calibri"/>
        <family val="2"/>
        <scheme val="minor"/>
      </rPr>
      <t xml:space="preserve"> 1</t>
    </r>
  </si>
  <si>
    <r>
      <t xml:space="preserve">SUORITEPERUSTEINEN LASKENNALLINEN RAHOITUS
</t>
    </r>
    <r>
      <rPr>
        <sz val="10"/>
        <color theme="1"/>
        <rFont val="Calibri"/>
        <family val="2"/>
        <scheme val="minor"/>
      </rPr>
      <t>(pl. perusrahoituksen myöhemmin varainhoitovuoden aikana jaettava osa)</t>
    </r>
  </si>
  <si>
    <t>Kaikki summat pl. myöhemmin varainhoitovuonna jaettava osa</t>
  </si>
  <si>
    <t>Arvonlisäverokorvaus [arvio]</t>
  </si>
  <si>
    <t>Jakotaulu, varsinainen suoritepäätös</t>
  </si>
  <si>
    <t>Prosenttia koko rahoituksesta
(pl. alv)</t>
  </si>
  <si>
    <t>6 Laskennallinen rah. yht. pl. hark. ja myöh. jaettava osa</t>
  </si>
  <si>
    <r>
      <t>Muutos, €</t>
    </r>
    <r>
      <rPr>
        <sz val="10"/>
        <color theme="2"/>
        <rFont val="Calibri"/>
        <family val="2"/>
        <scheme val="minor"/>
      </rPr>
      <t xml:space="preserve"> 1</t>
    </r>
  </si>
  <si>
    <r>
      <t>Muutos, %</t>
    </r>
    <r>
      <rPr>
        <sz val="10"/>
        <color theme="2"/>
        <rFont val="Calibri"/>
        <family val="2"/>
        <scheme val="minor"/>
      </rPr>
      <t xml:space="preserve"> 1</t>
    </r>
  </si>
  <si>
    <r>
      <t>Muutos, €</t>
    </r>
    <r>
      <rPr>
        <sz val="10"/>
        <color theme="2"/>
        <rFont val="Calibri"/>
        <family val="2"/>
        <scheme val="minor"/>
      </rPr>
      <t xml:space="preserve"> 2</t>
    </r>
  </si>
  <si>
    <r>
      <t>Muutos, %</t>
    </r>
    <r>
      <rPr>
        <sz val="10"/>
        <color theme="2"/>
        <rFont val="Calibri"/>
        <family val="2"/>
        <scheme val="minor"/>
      </rPr>
      <t xml:space="preserve"> 2</t>
    </r>
  </si>
  <si>
    <r>
      <t>Muutos, €</t>
    </r>
    <r>
      <rPr>
        <sz val="10"/>
        <color theme="2"/>
        <rFont val="Calibri"/>
        <family val="2"/>
        <scheme val="minor"/>
      </rPr>
      <t xml:space="preserve"> 3</t>
    </r>
  </si>
  <si>
    <r>
      <t>Muutos, %</t>
    </r>
    <r>
      <rPr>
        <sz val="10"/>
        <color theme="2"/>
        <rFont val="Calibri"/>
        <family val="2"/>
        <scheme val="minor"/>
      </rPr>
      <t xml:space="preserve"> 3</t>
    </r>
  </si>
  <si>
    <t>syötä alle arviosi</t>
  </si>
  <si>
    <t>-josta opettajien ja ohjaajien palkkaamiseen sekä tukitoimiin myönnettävä lisärahoitus</t>
  </si>
  <si>
    <t>Perusrahoitus josta vähennetty opettajien ja ohjaajien palkkaamiseen sekä tukitoimiin myönnettävä lisärahoitus</t>
  </si>
  <si>
    <t>Muun varainhoitovuodelle jätettävän rahoituksen osuus tästä</t>
  </si>
  <si>
    <t>Talousarvioesityksen tavoitteellisten opiskelijavuosien enimmäismäärä</t>
  </si>
  <si>
    <t>Järjestämisluvan opisk.vuosien vähimmäismäärä</t>
  </si>
  <si>
    <t>Enimmäismäärä kerrottuna muun varainhoitovuodelle jätettävän rahoituksen osuudella</t>
  </si>
  <si>
    <t>Suoritepäätöksellä jaettavat opv:t (luvan ylittävä osuus)</t>
  </si>
  <si>
    <t>Suoritepäätöksellä jaettavat opv:t [arvio]
(enimmäismäärä miinus lupien vähimmäismäärä miinus varainhoitovuodelle jätettävä osuus)</t>
  </si>
  <si>
    <t>Järjestämislupien opisk.vuosien vähimmäismäärä</t>
  </si>
  <si>
    <t>tiedot haettu 7.11.2019 (jäädytetty 31.10.2019 tasolle)</t>
  </si>
  <si>
    <t>Rahoitusperusteraportti: Painotetut opiskelijavuodet</t>
  </si>
  <si>
    <t>Ammatillisten tutkintojen ja koulutuksen järjestäjät 1.1.2020 lukien (pl. Saamelaisalueen koulutuskeskus)</t>
  </si>
  <si>
    <t>yllä huomioimattomat järjestäjärakenteen muutokset:</t>
  </si>
  <si>
    <t>Opiskelijavuosiin perustuva (suoriteperusteinen) sekä harkinnanvarainen korotus, €</t>
  </si>
  <si>
    <t>Esimerkinomainen arvio suoritepäätöksellä jaettavien opiskelijavuosien lukumäärästä</t>
  </si>
  <si>
    <t>Strategiarahoitus</t>
  </si>
  <si>
    <t>Varsinaisella suoritepäätöksellä jaettava harkinnanvarainen perusrahoitus [esimerkki]</t>
  </si>
  <si>
    <t>Varainhoitovuoden jakovara ja oikaisuvähennys (-) [esimerkki]</t>
  </si>
  <si>
    <t>-josta muu varainhoitovuodelle jätettävä rahoitus [esimerkki]</t>
  </si>
  <si>
    <t>tiedot haettu 18.11.2019 (suoritetiedot jäädytetty 31.10.2019 tasolle, painotettujen pisteiden laskennassa käytetyt pohjakoulutustiedot päivitetty 15.11.2019)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</si>
</sst>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6" formatCode="#,##0\ &quot;€&quot;;[Red]\-#,##0\ &quot;€&quot;"/>
    <numFmt numFmtId="44" formatCode="_-* #,##0.00\ &quot;€&quot;_-;\-* #,##0.00\ &quot;€&quot;_-;_-* &quot;-&quot;??\ &quot;€&quot;_-;_-@_-"/>
    <numFmt numFmtId="164" formatCode="_-* #,##0.00\ _€_-;\-* #,##0.00\ _€_-;_-* &quot;-&quot;??\ _€_-;_-@_-"/>
    <numFmt numFmtId="165" formatCode="0.00\ %;\-0.00\ %;0.00\ %"/>
    <numFmt numFmtId="166" formatCode="0.0000"/>
    <numFmt numFmtId="167" formatCode="#,##0.0"/>
    <numFmt numFmtId="168" formatCode="0.00000"/>
    <numFmt numFmtId="169" formatCode="0.000\ %"/>
    <numFmt numFmtId="170" formatCode="#,##0.00000"/>
    <numFmt numFmtId="171" formatCode="#,##0\ &quot;€&quot;"/>
    <numFmt numFmtId="172" formatCode="_-* #,##0\ _€_-;\-* #,##0\ _€_-;_-* &quot;-&quot;??\ _€_-;_-@_-"/>
    <numFmt numFmtId="173" formatCode="0\ %;\-0\ %;0\ %"/>
    <numFmt numFmtId="174" formatCode="#,##0.000000000"/>
  </numFmts>
  <fonts count="34" x14ac:knownFonts="1">
    <font>
      <sz val="11"/>
      <color theme="1"/>
      <name val="Calibri"/>
      <family val="2"/>
      <scheme val="minor"/>
    </font>
    <font>
      <sz val="11"/>
      <color theme="1"/>
      <name val="Calibri"/>
      <family val="2"/>
    </font>
    <font>
      <b/>
      <sz val="9"/>
      <color rgb="FF000000"/>
      <name val="Arial"/>
      <family val="2"/>
    </font>
    <font>
      <b/>
      <sz val="12"/>
      <color theme="1"/>
      <name val="Calibri"/>
      <family val="2"/>
      <scheme val="minor"/>
    </font>
    <font>
      <b/>
      <sz val="15"/>
      <color theme="1"/>
      <name val="Calibri"/>
      <family val="2"/>
      <scheme val="minor"/>
    </font>
    <font>
      <sz val="11"/>
      <color theme="1"/>
      <name val="Calibri"/>
      <family val="2"/>
      <scheme val="minor"/>
    </font>
    <font>
      <sz val="9"/>
      <color indexed="81"/>
      <name val="Tahoma"/>
      <family val="2"/>
    </font>
    <font>
      <b/>
      <sz val="9"/>
      <color indexed="81"/>
      <name val="Tahoma"/>
      <family val="2"/>
    </font>
    <font>
      <sz val="10"/>
      <color theme="1"/>
      <name val="Calibri"/>
      <family val="2"/>
      <scheme val="minor"/>
    </font>
    <font>
      <i/>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10"/>
      <color theme="1"/>
      <name val="Calibri"/>
      <family val="2"/>
    </font>
    <font>
      <sz val="11"/>
      <color theme="1"/>
      <name val="Arial"/>
      <family val="2"/>
    </font>
    <font>
      <sz val="9"/>
      <color theme="1"/>
      <name val="Arial"/>
      <family val="2"/>
    </font>
    <font>
      <b/>
      <sz val="9"/>
      <color theme="1"/>
      <name val="Arial"/>
      <family val="2"/>
    </font>
    <font>
      <i/>
      <sz val="11"/>
      <color theme="1"/>
      <name val="Calibri"/>
      <family val="2"/>
      <scheme val="minor"/>
    </font>
    <font>
      <b/>
      <sz val="9"/>
      <color theme="1"/>
      <name val="Calibri"/>
      <family val="2"/>
      <scheme val="minor"/>
    </font>
    <font>
      <b/>
      <sz val="11"/>
      <color theme="1"/>
      <name val="Calibri"/>
      <family val="2"/>
      <scheme val="minor"/>
    </font>
    <font>
      <b/>
      <u/>
      <sz val="11"/>
      <color theme="1"/>
      <name val="Calibri"/>
      <family val="2"/>
      <scheme val="minor"/>
    </font>
    <font>
      <sz val="11"/>
      <name val="Calibri"/>
      <family val="2"/>
      <scheme val="minor"/>
    </font>
    <font>
      <sz val="8"/>
      <color theme="1"/>
      <name val="Calibri"/>
      <family val="2"/>
      <scheme val="minor"/>
    </font>
    <font>
      <b/>
      <sz val="9"/>
      <color theme="1"/>
      <name val="Arial"/>
      <family val="2"/>
    </font>
    <font>
      <sz val="9"/>
      <color theme="1"/>
      <name val="Arial"/>
      <family val="2"/>
    </font>
    <font>
      <b/>
      <u/>
      <sz val="12"/>
      <color theme="1"/>
      <name val="Calibri"/>
      <family val="2"/>
      <scheme val="minor"/>
    </font>
    <font>
      <b/>
      <sz val="9"/>
      <color theme="1"/>
      <name val="Arial"/>
      <family val="2"/>
    </font>
    <font>
      <sz val="9"/>
      <color theme="1"/>
      <name val="Arial"/>
      <family val="2"/>
    </font>
    <font>
      <b/>
      <sz val="10"/>
      <color theme="1"/>
      <name val="Calibri"/>
      <family val="2"/>
    </font>
    <font>
      <b/>
      <sz val="11"/>
      <name val="Calibri"/>
      <family val="2"/>
      <scheme val="minor"/>
    </font>
    <font>
      <u/>
      <sz val="11"/>
      <color theme="10"/>
      <name val="Calibri"/>
      <family val="2"/>
      <scheme val="minor"/>
    </font>
    <font>
      <sz val="10"/>
      <color theme="4" tint="0.59999389629810485"/>
      <name val="Calibri"/>
      <family val="2"/>
      <scheme val="minor"/>
    </font>
    <font>
      <sz val="10"/>
      <color theme="2"/>
      <name val="Calibri"/>
      <family val="2"/>
      <scheme val="minor"/>
    </font>
    <font>
      <b/>
      <i/>
      <sz val="11"/>
      <color theme="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9" tint="0.59996337778862885"/>
        <bgColor indexed="64"/>
      </patternFill>
    </fill>
    <fill>
      <patternFill patternType="solid">
        <fgColor theme="7" tint="0.59999389629810485"/>
        <bgColor indexed="64"/>
      </patternFill>
    </fill>
    <fill>
      <patternFill patternType="solid">
        <fgColor theme="7" tint="0.39997558519241921"/>
        <bgColor indexed="64"/>
      </patternFill>
    </fill>
  </fills>
  <borders count="21">
    <border>
      <left/>
      <right/>
      <top/>
      <bottom/>
      <diagonal/>
    </border>
    <border>
      <left/>
      <right/>
      <top style="thin">
        <color rgb="FFBFBFBF"/>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style="double">
        <color rgb="FFFF99FF"/>
      </left>
      <right style="double">
        <color rgb="FFFF99FF"/>
      </right>
      <top style="double">
        <color rgb="FFFF99FF"/>
      </top>
      <bottom style="double">
        <color rgb="FFFF99FF"/>
      </bottom>
      <diagonal/>
    </border>
  </borders>
  <cellStyleXfs count="5">
    <xf numFmtId="0" fontId="0" fillId="0" borderId="0"/>
    <xf numFmtId="164"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30" fillId="0" borderId="0" applyNumberFormat="0" applyFill="0" applyBorder="0" applyAlignment="0" applyProtection="0"/>
  </cellStyleXfs>
  <cellXfs count="281">
    <xf numFmtId="0" fontId="0" fillId="0" borderId="0" xfId="0"/>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0" fillId="0" borderId="0" xfId="0" applyBorder="1" applyAlignment="1"/>
    <xf numFmtId="0" fontId="3" fillId="0" borderId="0" xfId="0" applyFont="1" applyBorder="1" applyAlignment="1"/>
    <xf numFmtId="0" fontId="4" fillId="0" borderId="0" xfId="0" applyFont="1"/>
    <xf numFmtId="0" fontId="3" fillId="0" borderId="0" xfId="0" applyFont="1"/>
    <xf numFmtId="0" fontId="4" fillId="0" borderId="0" xfId="0" applyFont="1" applyBorder="1" applyAlignment="1"/>
    <xf numFmtId="3" fontId="1" fillId="0" borderId="0" xfId="0" applyNumberFormat="1" applyFont="1" applyFill="1" applyBorder="1"/>
    <xf numFmtId="167" fontId="1" fillId="0" borderId="0" xfId="0" applyNumberFormat="1" applyFont="1" applyFill="1" applyBorder="1"/>
    <xf numFmtId="0" fontId="0" fillId="0" borderId="0" xfId="0" applyFill="1"/>
    <xf numFmtId="0" fontId="8" fillId="0" borderId="0" xfId="0" applyFont="1" applyBorder="1"/>
    <xf numFmtId="0" fontId="8" fillId="0" borderId="0" xfId="0" applyFont="1" applyFill="1" applyBorder="1"/>
    <xf numFmtId="0" fontId="9" fillId="0" borderId="0" xfId="0" applyFont="1" applyBorder="1"/>
    <xf numFmtId="0" fontId="8" fillId="0" borderId="0" xfId="0" applyFont="1" applyBorder="1" applyAlignment="1"/>
    <xf numFmtId="0" fontId="8" fillId="0" borderId="0" xfId="0" applyFont="1" applyBorder="1" applyAlignment="1">
      <alignment vertical="top"/>
    </xf>
    <xf numFmtId="0" fontId="13" fillId="0" borderId="0" xfId="0" applyFont="1" applyFill="1" applyBorder="1"/>
    <xf numFmtId="168" fontId="8" fillId="0" borderId="0" xfId="0" applyNumberFormat="1" applyFont="1" applyBorder="1"/>
    <xf numFmtId="10" fontId="8" fillId="0" borderId="0" xfId="2" applyNumberFormat="1" applyFont="1" applyBorder="1"/>
    <xf numFmtId="3" fontId="8" fillId="0" borderId="0" xfId="0" applyNumberFormat="1" applyFont="1" applyBorder="1"/>
    <xf numFmtId="3" fontId="8" fillId="0" borderId="5" xfId="0" applyNumberFormat="1" applyFont="1" applyBorder="1"/>
    <xf numFmtId="10" fontId="8" fillId="0" borderId="5" xfId="2" applyNumberFormat="1" applyFont="1" applyBorder="1"/>
    <xf numFmtId="10" fontId="8" fillId="0" borderId="0" xfId="0" applyNumberFormat="1" applyFont="1" applyBorder="1"/>
    <xf numFmtId="0" fontId="8" fillId="2" borderId="0" xfId="0" applyFont="1" applyFill="1" applyBorder="1"/>
    <xf numFmtId="0" fontId="8" fillId="0" borderId="0" xfId="0" applyFont="1"/>
    <xf numFmtId="3" fontId="8" fillId="0" borderId="2" xfId="0" applyNumberFormat="1" applyFont="1" applyBorder="1"/>
    <xf numFmtId="0" fontId="8" fillId="9" borderId="5" xfId="0" applyFont="1" applyFill="1" applyBorder="1" applyAlignment="1">
      <alignment horizontal="center" wrapText="1"/>
    </xf>
    <xf numFmtId="0" fontId="8" fillId="9" borderId="0" xfId="0" applyFont="1" applyFill="1" applyBorder="1" applyAlignment="1">
      <alignment horizontal="center" wrapText="1"/>
    </xf>
    <xf numFmtId="0" fontId="8" fillId="9" borderId="2" xfId="0" applyFont="1" applyFill="1" applyBorder="1" applyAlignment="1">
      <alignment horizontal="center" wrapText="1"/>
    </xf>
    <xf numFmtId="0" fontId="8" fillId="2" borderId="0" xfId="0" applyFont="1" applyFill="1" applyBorder="1" applyAlignment="1"/>
    <xf numFmtId="0" fontId="8" fillId="2" borderId="0" xfId="0" applyFont="1" applyFill="1" applyBorder="1" applyAlignment="1">
      <alignment vertical="top"/>
    </xf>
    <xf numFmtId="0" fontId="8" fillId="2" borderId="0" xfId="0" applyFont="1" applyFill="1" applyBorder="1" applyAlignment="1">
      <alignment wrapText="1"/>
    </xf>
    <xf numFmtId="0" fontId="12" fillId="3" borderId="5" xfId="0" applyFont="1" applyFill="1" applyBorder="1" applyAlignment="1">
      <alignment wrapText="1"/>
    </xf>
    <xf numFmtId="0" fontId="12" fillId="3" borderId="2" xfId="0" applyFont="1" applyFill="1" applyBorder="1" applyAlignment="1">
      <alignment wrapText="1"/>
    </xf>
    <xf numFmtId="0" fontId="14" fillId="0" borderId="0" xfId="0" applyFont="1"/>
    <xf numFmtId="3" fontId="8" fillId="0" borderId="0" xfId="0" applyNumberFormat="1" applyFont="1" applyFill="1" applyBorder="1"/>
    <xf numFmtId="3" fontId="8" fillId="0" borderId="6" xfId="0" applyNumberFormat="1" applyFont="1" applyBorder="1"/>
    <xf numFmtId="10" fontId="8" fillId="0" borderId="2" xfId="2" applyNumberFormat="1" applyFont="1" applyBorder="1"/>
    <xf numFmtId="0" fontId="16" fillId="11" borderId="17" xfId="0" applyFont="1" applyFill="1" applyBorder="1" applyAlignment="1">
      <alignment horizontal="center" vertical="center" wrapText="1"/>
    </xf>
    <xf numFmtId="0" fontId="16" fillId="11" borderId="17" xfId="0" applyFont="1" applyFill="1" applyBorder="1" applyAlignment="1">
      <alignment horizontal="left" vertical="center" wrapText="1"/>
    </xf>
    <xf numFmtId="0" fontId="8" fillId="2" borderId="2" xfId="0" applyFont="1" applyFill="1" applyBorder="1"/>
    <xf numFmtId="0" fontId="8" fillId="2" borderId="2" xfId="0" applyFont="1" applyFill="1" applyBorder="1" applyAlignment="1"/>
    <xf numFmtId="0" fontId="8" fillId="2" borderId="2" xfId="0" applyFont="1" applyFill="1" applyBorder="1" applyAlignment="1">
      <alignment vertical="top"/>
    </xf>
    <xf numFmtId="0" fontId="8" fillId="2" borderId="2" xfId="0" applyFont="1" applyFill="1" applyBorder="1" applyAlignment="1">
      <alignment wrapText="1"/>
    </xf>
    <xf numFmtId="0" fontId="17" fillId="0" borderId="0" xfId="0" applyFont="1"/>
    <xf numFmtId="0" fontId="0" fillId="0" borderId="0" xfId="0" applyBorder="1"/>
    <xf numFmtId="0" fontId="0" fillId="0" borderId="7" xfId="0" applyBorder="1"/>
    <xf numFmtId="0" fontId="0" fillId="0" borderId="0" xfId="0" applyFill="1" applyBorder="1" applyAlignment="1">
      <alignment horizontal="left"/>
    </xf>
    <xf numFmtId="0" fontId="17" fillId="0" borderId="0" xfId="0" applyFont="1" applyBorder="1" applyAlignment="1">
      <alignment horizontal="left"/>
    </xf>
    <xf numFmtId="0" fontId="0" fillId="0" borderId="10" xfId="0" applyBorder="1"/>
    <xf numFmtId="169" fontId="17" fillId="0" borderId="0" xfId="2" applyNumberFormat="1" applyFont="1" applyBorder="1" applyAlignment="1"/>
    <xf numFmtId="169" fontId="0" fillId="0" borderId="5" xfId="2" applyNumberFormat="1" applyFont="1" applyFill="1" applyBorder="1"/>
    <xf numFmtId="169" fontId="0" fillId="0" borderId="0" xfId="2" applyNumberFormat="1" applyFont="1" applyBorder="1"/>
    <xf numFmtId="169" fontId="0" fillId="0" borderId="0" xfId="2" applyNumberFormat="1" applyFont="1" applyFill="1" applyBorder="1"/>
    <xf numFmtId="0" fontId="0" fillId="0" borderId="13" xfId="0" applyBorder="1"/>
    <xf numFmtId="0" fontId="0" fillId="0" borderId="5" xfId="0" applyBorder="1"/>
    <xf numFmtId="0" fontId="0" fillId="0" borderId="9" xfId="0" applyBorder="1"/>
    <xf numFmtId="0" fontId="0" fillId="0" borderId="3" xfId="0" applyBorder="1"/>
    <xf numFmtId="0" fontId="0" fillId="0" borderId="4" xfId="0" applyFont="1" applyFill="1" applyBorder="1"/>
    <xf numFmtId="0" fontId="0" fillId="0" borderId="9" xfId="0" applyBorder="1" applyAlignment="1">
      <alignment wrapText="1"/>
    </xf>
    <xf numFmtId="0" fontId="0" fillId="0" borderId="3" xfId="0" applyBorder="1" applyAlignment="1">
      <alignment wrapText="1"/>
    </xf>
    <xf numFmtId="0" fontId="0" fillId="0" borderId="4" xfId="0" applyBorder="1" applyAlignment="1">
      <alignment wrapText="1"/>
    </xf>
    <xf numFmtId="169" fontId="0" fillId="0" borderId="2" xfId="2" applyNumberFormat="1" applyFont="1" applyBorder="1"/>
    <xf numFmtId="0" fontId="17" fillId="0" borderId="5" xfId="0" applyFont="1" applyBorder="1" applyAlignment="1">
      <alignment horizontal="left"/>
    </xf>
    <xf numFmtId="169" fontId="0" fillId="0" borderId="13" xfId="2" applyNumberFormat="1" applyFont="1" applyBorder="1"/>
    <xf numFmtId="169" fontId="0" fillId="0" borderId="10" xfId="2" applyNumberFormat="1" applyFont="1" applyBorder="1"/>
    <xf numFmtId="169" fontId="0" fillId="0" borderId="12" xfId="2" applyNumberFormat="1" applyFont="1" applyBorder="1"/>
    <xf numFmtId="169" fontId="0" fillId="0" borderId="7" xfId="2" applyNumberFormat="1" applyFont="1" applyBorder="1"/>
    <xf numFmtId="169" fontId="0" fillId="0" borderId="5" xfId="2" applyNumberFormat="1" applyFont="1" applyBorder="1"/>
    <xf numFmtId="169" fontId="0" fillId="0" borderId="8" xfId="2" applyNumberFormat="1" applyFont="1" applyBorder="1"/>
    <xf numFmtId="0" fontId="10" fillId="0" borderId="3" xfId="0" applyFont="1" applyBorder="1"/>
    <xf numFmtId="3" fontId="0" fillId="0" borderId="0" xfId="0" applyNumberFormat="1" applyBorder="1"/>
    <xf numFmtId="0" fontId="0" fillId="0" borderId="5" xfId="0" applyBorder="1" applyAlignment="1">
      <alignment horizontal="left"/>
    </xf>
    <xf numFmtId="3" fontId="0" fillId="0" borderId="3" xfId="0" applyNumberFormat="1" applyBorder="1" applyAlignment="1">
      <alignment horizontal="center"/>
    </xf>
    <xf numFmtId="3" fontId="17" fillId="0" borderId="0" xfId="0" applyNumberFormat="1" applyFont="1" applyFill="1" applyBorder="1"/>
    <xf numFmtId="3" fontId="0" fillId="0" borderId="0" xfId="0" applyNumberFormat="1" applyFill="1" applyBorder="1"/>
    <xf numFmtId="3" fontId="0" fillId="0" borderId="0" xfId="0" applyNumberFormat="1" applyFont="1" applyBorder="1"/>
    <xf numFmtId="3" fontId="0" fillId="0" borderId="0" xfId="0" applyNumberFormat="1" applyFont="1" applyFill="1" applyBorder="1"/>
    <xf numFmtId="169" fontId="0" fillId="0" borderId="2" xfId="0" applyNumberFormat="1" applyBorder="1"/>
    <xf numFmtId="169" fontId="0" fillId="0" borderId="0" xfId="0" applyNumberFormat="1" applyBorder="1"/>
    <xf numFmtId="9" fontId="5" fillId="2" borderId="0" xfId="2" applyNumberFormat="1" applyFont="1" applyFill="1" applyBorder="1"/>
    <xf numFmtId="9" fontId="0" fillId="2" borderId="0" xfId="2" applyNumberFormat="1" applyFont="1" applyFill="1" applyBorder="1"/>
    <xf numFmtId="12" fontId="0" fillId="2" borderId="2" xfId="2" applyNumberFormat="1" applyFont="1" applyFill="1" applyBorder="1"/>
    <xf numFmtId="169" fontId="5" fillId="0" borderId="0" xfId="2" applyNumberFormat="1" applyFont="1" applyFill="1" applyBorder="1"/>
    <xf numFmtId="169" fontId="5" fillId="0" borderId="0" xfId="2" applyNumberFormat="1" applyFont="1" applyBorder="1"/>
    <xf numFmtId="3" fontId="0" fillId="2" borderId="0" xfId="0" applyNumberFormat="1" applyFont="1" applyFill="1" applyBorder="1"/>
    <xf numFmtId="3" fontId="0" fillId="2" borderId="10" xfId="0" applyNumberFormat="1" applyFont="1" applyFill="1" applyBorder="1"/>
    <xf numFmtId="12" fontId="0" fillId="2" borderId="0" xfId="2" applyNumberFormat="1" applyFont="1" applyFill="1" applyBorder="1" applyAlignment="1">
      <alignment horizontal="right"/>
    </xf>
    <xf numFmtId="0" fontId="15" fillId="0" borderId="0" xfId="0" applyFont="1" applyAlignment="1">
      <alignment horizontal="left" vertical="center" wrapText="1"/>
    </xf>
    <xf numFmtId="0" fontId="18" fillId="0" borderId="0" xfId="0" applyFont="1" applyBorder="1" applyAlignment="1"/>
    <xf numFmtId="0" fontId="10" fillId="0" borderId="0" xfId="0" applyFont="1" applyFill="1" applyBorder="1"/>
    <xf numFmtId="6" fontId="12" fillId="3" borderId="5" xfId="0" applyNumberFormat="1" applyFont="1" applyFill="1" applyBorder="1" applyAlignment="1">
      <alignment wrapText="1"/>
    </xf>
    <xf numFmtId="169" fontId="0" fillId="0" borderId="5" xfId="0" applyNumberFormat="1" applyBorder="1" applyAlignment="1"/>
    <xf numFmtId="169" fontId="0" fillId="0" borderId="0" xfId="0" applyNumberFormat="1" applyBorder="1" applyAlignment="1"/>
    <xf numFmtId="169" fontId="0" fillId="0" borderId="2" xfId="0" applyNumberFormat="1" applyBorder="1" applyAlignment="1"/>
    <xf numFmtId="3" fontId="0" fillId="0" borderId="10" xfId="0" applyNumberFormat="1" applyFont="1" applyFill="1" applyBorder="1"/>
    <xf numFmtId="0" fontId="20" fillId="0" borderId="0" xfId="0" applyFont="1"/>
    <xf numFmtId="0" fontId="0" fillId="0" borderId="0" xfId="0" applyNumberFormat="1"/>
    <xf numFmtId="0" fontId="13" fillId="0" borderId="0" xfId="0" applyNumberFormat="1" applyFont="1" applyFill="1" applyBorder="1"/>
    <xf numFmtId="0" fontId="12" fillId="3" borderId="6" xfId="0" applyFont="1" applyFill="1" applyBorder="1" applyAlignment="1">
      <alignment wrapText="1"/>
    </xf>
    <xf numFmtId="3" fontId="10" fillId="0" borderId="9" xfId="0" applyNumberFormat="1" applyFont="1" applyBorder="1"/>
    <xf numFmtId="10" fontId="10" fillId="0" borderId="3" xfId="0" applyNumberFormat="1" applyFont="1" applyBorder="1"/>
    <xf numFmtId="3" fontId="10" fillId="0" borderId="3" xfId="0" applyNumberFormat="1" applyFont="1" applyBorder="1"/>
    <xf numFmtId="3" fontId="10" fillId="0" borderId="4" xfId="0" applyNumberFormat="1" applyFont="1" applyBorder="1"/>
    <xf numFmtId="10" fontId="10" fillId="0" borderId="9" xfId="0" applyNumberFormat="1" applyFont="1" applyBorder="1"/>
    <xf numFmtId="3" fontId="10" fillId="0" borderId="16" xfId="0" applyNumberFormat="1" applyFont="1" applyBorder="1"/>
    <xf numFmtId="0" fontId="9" fillId="0" borderId="0" xfId="0" applyFont="1" applyFill="1" applyBorder="1"/>
    <xf numFmtId="3" fontId="8" fillId="0" borderId="6" xfId="0" applyNumberFormat="1" applyFont="1" applyFill="1" applyBorder="1"/>
    <xf numFmtId="3" fontId="21" fillId="0" borderId="0" xfId="0" applyNumberFormat="1" applyFont="1"/>
    <xf numFmtId="0" fontId="21" fillId="0" borderId="0" xfId="0" applyFont="1"/>
    <xf numFmtId="0" fontId="19" fillId="0" borderId="0" xfId="0" applyFont="1" applyAlignment="1">
      <alignment wrapText="1"/>
    </xf>
    <xf numFmtId="0" fontId="0" fillId="0" borderId="0" xfId="0" applyAlignment="1">
      <alignment wrapText="1"/>
    </xf>
    <xf numFmtId="0" fontId="22" fillId="0" borderId="0" xfId="0" applyFont="1" applyAlignment="1">
      <alignment horizontal="left"/>
    </xf>
    <xf numFmtId="3" fontId="8" fillId="0" borderId="5" xfId="0" applyNumberFormat="1" applyFont="1" applyBorder="1" applyAlignment="1">
      <alignment horizontal="right"/>
    </xf>
    <xf numFmtId="3" fontId="8" fillId="0" borderId="5" xfId="0" applyNumberFormat="1" applyFont="1" applyFill="1" applyBorder="1" applyAlignment="1">
      <alignment horizontal="right"/>
    </xf>
    <xf numFmtId="0" fontId="23" fillId="11" borderId="17" xfId="0" applyFont="1" applyFill="1" applyBorder="1" applyAlignment="1">
      <alignment horizontal="center" vertical="center" wrapText="1"/>
    </xf>
    <xf numFmtId="0" fontId="24" fillId="0" borderId="0" xfId="0" applyFont="1" applyAlignment="1">
      <alignment horizontal="left" vertical="center" wrapText="1"/>
    </xf>
    <xf numFmtId="0" fontId="15" fillId="0" borderId="0" xfId="0" applyFont="1" applyAlignment="1">
      <alignment horizontal="left" vertical="center"/>
    </xf>
    <xf numFmtId="0" fontId="23" fillId="11" borderId="18" xfId="0" applyFont="1" applyFill="1" applyBorder="1" applyAlignment="1">
      <alignment horizontal="left" vertical="center" wrapText="1"/>
    </xf>
    <xf numFmtId="0" fontId="23" fillId="11" borderId="18" xfId="0" applyFont="1" applyFill="1" applyBorder="1" applyAlignment="1">
      <alignment horizontal="center" vertical="center" wrapText="1"/>
    </xf>
    <xf numFmtId="0" fontId="23" fillId="11" borderId="0" xfId="0" applyFont="1" applyFill="1" applyBorder="1" applyAlignment="1">
      <alignment horizontal="left" vertical="center" wrapText="1"/>
    </xf>
    <xf numFmtId="0" fontId="23" fillId="11" borderId="19" xfId="0" applyFont="1" applyFill="1" applyBorder="1" applyAlignment="1">
      <alignment horizontal="center" vertical="center" wrapText="1"/>
    </xf>
    <xf numFmtId="3" fontId="8" fillId="0" borderId="0" xfId="0" applyNumberFormat="1" applyFont="1" applyFill="1" applyBorder="1" applyAlignment="1">
      <alignment horizontal="right"/>
    </xf>
    <xf numFmtId="3" fontId="8" fillId="0" borderId="2" xfId="0" applyNumberFormat="1" applyFont="1" applyFill="1" applyBorder="1"/>
    <xf numFmtId="10" fontId="10" fillId="0" borderId="4" xfId="0" applyNumberFormat="1" applyFont="1" applyBorder="1"/>
    <xf numFmtId="0" fontId="10" fillId="2" borderId="0" xfId="0" applyFont="1" applyFill="1" applyBorder="1" applyAlignment="1">
      <alignment vertical="center"/>
    </xf>
    <xf numFmtId="0" fontId="19" fillId="0" borderId="0" xfId="0" applyFont="1"/>
    <xf numFmtId="0" fontId="25" fillId="0" borderId="0" xfId="0" applyFont="1"/>
    <xf numFmtId="0" fontId="0" fillId="0" borderId="12" xfId="0" applyBorder="1"/>
    <xf numFmtId="0" fontId="0" fillId="0" borderId="0" xfId="0" applyAlignment="1">
      <alignment horizontal="right"/>
    </xf>
    <xf numFmtId="169" fontId="0" fillId="0" borderId="7" xfId="2" applyNumberFormat="1" applyFont="1" applyFill="1" applyBorder="1"/>
    <xf numFmtId="0" fontId="13" fillId="0" borderId="0" xfId="0" applyNumberFormat="1" applyFont="1" applyFill="1"/>
    <xf numFmtId="3" fontId="8" fillId="0" borderId="0" xfId="2" applyNumberFormat="1" applyFont="1" applyBorder="1"/>
    <xf numFmtId="0" fontId="12" fillId="3" borderId="0" xfId="0" applyFont="1" applyFill="1" applyBorder="1" applyAlignment="1">
      <alignment wrapText="1"/>
    </xf>
    <xf numFmtId="3" fontId="8" fillId="0" borderId="6" xfId="2" applyNumberFormat="1" applyFont="1" applyBorder="1"/>
    <xf numFmtId="0" fontId="26" fillId="11" borderId="17" xfId="0" applyFont="1" applyFill="1" applyBorder="1" applyAlignment="1">
      <alignment horizontal="center" vertical="center" wrapText="1"/>
    </xf>
    <xf numFmtId="0" fontId="27" fillId="0" borderId="0" xfId="0" applyFont="1" applyAlignment="1">
      <alignment horizontal="left" vertical="center" wrapText="1"/>
    </xf>
    <xf numFmtId="0" fontId="26" fillId="11" borderId="18" xfId="0" applyFont="1" applyFill="1" applyBorder="1" applyAlignment="1">
      <alignment horizontal="center" vertical="center" wrapText="1"/>
    </xf>
    <xf numFmtId="14" fontId="8" fillId="0" borderId="0" xfId="0" applyNumberFormat="1" applyFont="1" applyAlignment="1">
      <alignment horizontal="left"/>
    </xf>
    <xf numFmtId="4" fontId="0" fillId="0" borderId="0" xfId="0" applyNumberFormat="1"/>
    <xf numFmtId="0" fontId="16" fillId="11" borderId="19" xfId="0" applyFont="1" applyFill="1" applyBorder="1" applyAlignment="1">
      <alignment horizontal="center" vertical="center" wrapText="1"/>
    </xf>
    <xf numFmtId="0" fontId="1" fillId="0" borderId="0" xfId="0" applyNumberFormat="1" applyFont="1" applyFill="1" applyBorder="1"/>
    <xf numFmtId="3" fontId="8" fillId="0" borderId="5" xfId="2" applyNumberFormat="1" applyFont="1" applyBorder="1"/>
    <xf numFmtId="0" fontId="13" fillId="0" borderId="0" xfId="0" applyFont="1"/>
    <xf numFmtId="0" fontId="13" fillId="0" borderId="2" xfId="0" applyFont="1" applyBorder="1"/>
    <xf numFmtId="167" fontId="0" fillId="0" borderId="0" xfId="0" applyNumberFormat="1"/>
    <xf numFmtId="172" fontId="19" fillId="3" borderId="0" xfId="1" applyNumberFormat="1" applyFont="1" applyFill="1"/>
    <xf numFmtId="0" fontId="0" fillId="3" borderId="13" xfId="0" applyFill="1" applyBorder="1"/>
    <xf numFmtId="0" fontId="0" fillId="3" borderId="10" xfId="0" applyFill="1" applyBorder="1"/>
    <xf numFmtId="172" fontId="19" fillId="3" borderId="14" xfId="1" applyNumberFormat="1" applyFont="1" applyFill="1" applyBorder="1"/>
    <xf numFmtId="0" fontId="19" fillId="3" borderId="8" xfId="0" applyFont="1" applyFill="1" applyBorder="1" applyAlignment="1">
      <alignment horizontal="left"/>
    </xf>
    <xf numFmtId="0" fontId="0" fillId="3" borderId="7" xfId="0" applyFill="1" applyBorder="1" applyAlignment="1">
      <alignment horizontal="left"/>
    </xf>
    <xf numFmtId="172" fontId="19" fillId="3" borderId="15" xfId="1" applyNumberFormat="1" applyFont="1" applyFill="1" applyBorder="1"/>
    <xf numFmtId="0" fontId="0" fillId="0" borderId="13" xfId="0" applyBorder="1" applyAlignment="1">
      <alignment horizontal="left" indent="1"/>
    </xf>
    <xf numFmtId="0" fontId="0" fillId="0" borderId="5" xfId="0" applyBorder="1" applyAlignment="1">
      <alignment horizontal="left" indent="1"/>
    </xf>
    <xf numFmtId="172" fontId="19" fillId="3" borderId="6" xfId="1" applyNumberFormat="1" applyFont="1" applyFill="1" applyBorder="1"/>
    <xf numFmtId="0" fontId="0" fillId="0" borderId="8" xfId="0" applyBorder="1" applyAlignment="1">
      <alignment horizontal="left" indent="1"/>
    </xf>
    <xf numFmtId="0" fontId="0" fillId="0" borderId="0" xfId="0" applyFill="1" applyBorder="1"/>
    <xf numFmtId="0" fontId="28" fillId="0" borderId="3" xfId="0" applyFont="1" applyFill="1" applyBorder="1"/>
    <xf numFmtId="0" fontId="28" fillId="0" borderId="4" xfId="0" applyFont="1" applyFill="1" applyBorder="1"/>
    <xf numFmtId="3" fontId="10" fillId="0" borderId="9" xfId="0" applyNumberFormat="1" applyFont="1" applyBorder="1" applyAlignment="1">
      <alignment horizontal="right"/>
    </xf>
    <xf numFmtId="3" fontId="10" fillId="0" borderId="3" xfId="0" applyNumberFormat="1" applyFont="1" applyFill="1" applyBorder="1"/>
    <xf numFmtId="3" fontId="0" fillId="0" borderId="0" xfId="0" applyNumberFormat="1"/>
    <xf numFmtId="10" fontId="0" fillId="0" borderId="0" xfId="0" applyNumberFormat="1"/>
    <xf numFmtId="0" fontId="19" fillId="0" borderId="9" xfId="0" applyFont="1" applyBorder="1" applyAlignment="1">
      <alignment horizontal="left" vertical="top" wrapText="1"/>
    </xf>
    <xf numFmtId="0" fontId="19" fillId="0" borderId="3" xfId="0" applyFont="1" applyBorder="1" applyAlignment="1">
      <alignment horizontal="left" vertical="top" wrapText="1"/>
    </xf>
    <xf numFmtId="0" fontId="19" fillId="0" borderId="3" xfId="0" applyFont="1" applyBorder="1" applyAlignment="1">
      <alignment horizontal="center" vertical="top" wrapText="1"/>
    </xf>
    <xf numFmtId="0" fontId="19" fillId="0" borderId="4" xfId="0" applyFont="1" applyBorder="1" applyAlignment="1">
      <alignment horizontal="center" vertical="top" wrapText="1"/>
    </xf>
    <xf numFmtId="170" fontId="0" fillId="0" borderId="0" xfId="0" applyNumberFormat="1"/>
    <xf numFmtId="0" fontId="19" fillId="0" borderId="9" xfId="0" applyFont="1" applyBorder="1"/>
    <xf numFmtId="0" fontId="19" fillId="0" borderId="3" xfId="0" applyFont="1" applyBorder="1"/>
    <xf numFmtId="3" fontId="19" fillId="0" borderId="3" xfId="0" applyNumberFormat="1" applyFont="1" applyBorder="1"/>
    <xf numFmtId="168" fontId="19" fillId="0" borderId="3" xfId="0" applyNumberFormat="1" applyFont="1" applyBorder="1"/>
    <xf numFmtId="167" fontId="19" fillId="0" borderId="3" xfId="0" applyNumberFormat="1" applyFont="1" applyBorder="1"/>
    <xf numFmtId="3" fontId="19" fillId="0" borderId="4" xfId="0" applyNumberFormat="1" applyFont="1" applyBorder="1"/>
    <xf numFmtId="0" fontId="0" fillId="0" borderId="0" xfId="0" applyAlignment="1">
      <alignment horizontal="left" indent="1"/>
    </xf>
    <xf numFmtId="172" fontId="0" fillId="0" borderId="0" xfId="0" applyNumberFormat="1"/>
    <xf numFmtId="0" fontId="0" fillId="3" borderId="13" xfId="0" applyFill="1" applyBorder="1" applyAlignment="1">
      <alignment horizontal="left" indent="1"/>
    </xf>
    <xf numFmtId="172" fontId="19" fillId="3" borderId="10" xfId="1" applyNumberFormat="1" applyFont="1" applyFill="1" applyBorder="1"/>
    <xf numFmtId="0" fontId="0" fillId="0" borderId="7" xfId="0" applyBorder="1" applyAlignment="1">
      <alignment horizontal="left" indent="1"/>
    </xf>
    <xf numFmtId="172" fontId="19" fillId="3" borderId="7" xfId="1" applyNumberFormat="1" applyFont="1" applyFill="1" applyBorder="1"/>
    <xf numFmtId="0" fontId="0" fillId="0" borderId="11" xfId="0" applyBorder="1"/>
    <xf numFmtId="0" fontId="0" fillId="0" borderId="0" xfId="0" applyBorder="1" applyAlignment="1">
      <alignment horizontal="left" indent="1"/>
    </xf>
    <xf numFmtId="172" fontId="19" fillId="3" borderId="0" xfId="1" applyNumberFormat="1" applyFont="1" applyFill="1" applyBorder="1"/>
    <xf numFmtId="172" fontId="0" fillId="0" borderId="0" xfId="0" applyNumberFormat="1" applyBorder="1"/>
    <xf numFmtId="0" fontId="0" fillId="0" borderId="2" xfId="0" applyBorder="1"/>
    <xf numFmtId="172" fontId="0" fillId="0" borderId="7" xfId="0" applyNumberFormat="1" applyBorder="1"/>
    <xf numFmtId="172" fontId="0" fillId="3" borderId="10" xfId="0" applyNumberFormat="1" applyFill="1" applyBorder="1"/>
    <xf numFmtId="0" fontId="0" fillId="0" borderId="0" xfId="0" applyFont="1" applyFill="1" applyAlignment="1">
      <alignment horizontal="left" vertical="center"/>
    </xf>
    <xf numFmtId="0" fontId="11" fillId="4" borderId="5" xfId="0" applyFont="1" applyFill="1" applyBorder="1" applyAlignment="1">
      <alignment vertical="center" wrapText="1"/>
    </xf>
    <xf numFmtId="172" fontId="29" fillId="3" borderId="6" xfId="1" applyNumberFormat="1" applyFont="1" applyFill="1" applyBorder="1"/>
    <xf numFmtId="0" fontId="10" fillId="13" borderId="5" xfId="0" applyFont="1" applyFill="1" applyBorder="1" applyAlignment="1">
      <alignment horizontal="left" vertical="center" wrapText="1"/>
    </xf>
    <xf numFmtId="0" fontId="10" fillId="13" borderId="2" xfId="0" applyFont="1" applyFill="1" applyBorder="1" applyAlignment="1">
      <alignment horizontal="left" vertical="center" wrapText="1"/>
    </xf>
    <xf numFmtId="0" fontId="30" fillId="0" borderId="0" xfId="4"/>
    <xf numFmtId="168" fontId="8" fillId="0" borderId="0" xfId="0" applyNumberFormat="1" applyFont="1" applyFill="1" applyBorder="1"/>
    <xf numFmtId="174" fontId="8" fillId="0" borderId="0" xfId="0" applyNumberFormat="1" applyFont="1" applyBorder="1"/>
    <xf numFmtId="0" fontId="11" fillId="10" borderId="0" xfId="0" applyFont="1" applyFill="1" applyBorder="1" applyAlignment="1">
      <alignment vertical="center" wrapText="1"/>
    </xf>
    <xf numFmtId="171" fontId="10" fillId="7" borderId="0" xfId="0" applyNumberFormat="1" applyFont="1" applyFill="1" applyBorder="1" applyAlignment="1"/>
    <xf numFmtId="0" fontId="10" fillId="7" borderId="0" xfId="0" applyFont="1" applyFill="1" applyBorder="1" applyAlignment="1">
      <alignment vertical="center" wrapText="1"/>
    </xf>
    <xf numFmtId="171" fontId="10" fillId="7" borderId="0" xfId="3" applyNumberFormat="1" applyFont="1" applyFill="1" applyBorder="1" applyAlignment="1"/>
    <xf numFmtId="171" fontId="10" fillId="7" borderId="2" xfId="0" applyNumberFormat="1" applyFont="1" applyFill="1" applyBorder="1" applyAlignment="1"/>
    <xf numFmtId="0" fontId="12" fillId="6" borderId="2" xfId="0" applyFont="1" applyFill="1" applyBorder="1" applyAlignment="1">
      <alignment horizontal="center"/>
    </xf>
    <xf numFmtId="0" fontId="8" fillId="9" borderId="5" xfId="0" applyFont="1" applyFill="1" applyBorder="1" applyAlignment="1">
      <alignment horizontal="left" wrapText="1"/>
    </xf>
    <xf numFmtId="0" fontId="8" fillId="9" borderId="0" xfId="0" applyFont="1" applyFill="1" applyBorder="1" applyAlignment="1">
      <alignment horizontal="left" wrapText="1"/>
    </xf>
    <xf numFmtId="2" fontId="8" fillId="9" borderId="0" xfId="0" applyNumberFormat="1" applyFont="1" applyFill="1" applyBorder="1" applyAlignment="1">
      <alignment horizontal="left" wrapText="1"/>
    </xf>
    <xf numFmtId="0" fontId="12" fillId="5" borderId="6" xfId="0" applyFont="1" applyFill="1" applyBorder="1" applyAlignment="1">
      <alignment horizontal="left" wrapText="1"/>
    </xf>
    <xf numFmtId="0" fontId="12" fillId="3" borderId="6" xfId="0" applyFont="1" applyFill="1" applyBorder="1" applyAlignment="1">
      <alignment horizontal="left" wrapText="1"/>
    </xf>
    <xf numFmtId="0" fontId="8" fillId="12" borderId="6" xfId="0" applyFont="1" applyFill="1" applyBorder="1" applyAlignment="1">
      <alignment horizontal="left" wrapText="1"/>
    </xf>
    <xf numFmtId="0" fontId="8" fillId="12" borderId="2" xfId="0" applyFont="1" applyFill="1" applyBorder="1" applyAlignment="1">
      <alignment horizontal="left" wrapText="1"/>
    </xf>
    <xf numFmtId="3" fontId="10" fillId="0" borderId="4" xfId="0" applyNumberFormat="1" applyFont="1" applyFill="1" applyBorder="1"/>
    <xf numFmtId="0" fontId="0" fillId="0" borderId="0" xfId="0" applyBorder="1" applyAlignment="1">
      <alignment horizontal="left"/>
    </xf>
    <xf numFmtId="167" fontId="8" fillId="0" borderId="5" xfId="0" applyNumberFormat="1" applyFont="1" applyBorder="1"/>
    <xf numFmtId="167" fontId="10" fillId="0" borderId="9" xfId="0" applyNumberFormat="1" applyFont="1" applyBorder="1"/>
    <xf numFmtId="4" fontId="15" fillId="0" borderId="0" xfId="0" applyNumberFormat="1" applyFont="1" applyAlignment="1">
      <alignment horizontal="right" vertical="center" indent="3"/>
    </xf>
    <xf numFmtId="166" fontId="15" fillId="0" borderId="0" xfId="0" applyNumberFormat="1" applyFont="1" applyAlignment="1">
      <alignment horizontal="right" vertical="center" indent="3"/>
    </xf>
    <xf numFmtId="4" fontId="16" fillId="11" borderId="17" xfId="0" applyNumberFormat="1" applyFont="1" applyFill="1" applyBorder="1" applyAlignment="1">
      <alignment horizontal="right" vertical="center" indent="3"/>
    </xf>
    <xf numFmtId="166" fontId="16" fillId="11" borderId="17" xfId="0" applyNumberFormat="1" applyFont="1" applyFill="1" applyBorder="1" applyAlignment="1">
      <alignment horizontal="right" vertical="center" indent="3"/>
    </xf>
    <xf numFmtId="0" fontId="15" fillId="0" borderId="0" xfId="0" applyNumberFormat="1" applyFont="1" applyAlignment="1">
      <alignment horizontal="right" vertical="center" indent="3"/>
    </xf>
    <xf numFmtId="2" fontId="15" fillId="0" borderId="0" xfId="0" applyNumberFormat="1" applyFont="1" applyAlignment="1">
      <alignment horizontal="right" vertical="center" indent="3"/>
    </xf>
    <xf numFmtId="165" fontId="15" fillId="0" borderId="0" xfId="0" applyNumberFormat="1" applyFont="1" applyAlignment="1">
      <alignment horizontal="right" vertical="center" indent="3"/>
    </xf>
    <xf numFmtId="0" fontId="16" fillId="11" borderId="17" xfId="0" applyNumberFormat="1" applyFont="1" applyFill="1" applyBorder="1" applyAlignment="1">
      <alignment horizontal="right" vertical="center" indent="3"/>
    </xf>
    <xf numFmtId="2" fontId="16" fillId="11" borderId="17" xfId="0" applyNumberFormat="1" applyFont="1" applyFill="1" applyBorder="1" applyAlignment="1">
      <alignment horizontal="right" vertical="center" indent="3"/>
    </xf>
    <xf numFmtId="165" fontId="16" fillId="11" borderId="17" xfId="0" applyNumberFormat="1" applyFont="1" applyFill="1" applyBorder="1" applyAlignment="1">
      <alignment horizontal="right" vertical="center" indent="3"/>
    </xf>
    <xf numFmtId="3" fontId="15" fillId="0" borderId="0" xfId="0" applyNumberFormat="1" applyFont="1" applyAlignment="1">
      <alignment horizontal="right" vertical="center" indent="3"/>
    </xf>
    <xf numFmtId="173" fontId="15" fillId="0" borderId="0" xfId="0" applyNumberFormat="1" applyFont="1" applyAlignment="1">
      <alignment horizontal="right" vertical="center" indent="3"/>
    </xf>
    <xf numFmtId="3" fontId="16" fillId="11" borderId="17" xfId="0" applyNumberFormat="1" applyFont="1" applyFill="1" applyBorder="1" applyAlignment="1">
      <alignment horizontal="right" vertical="center" indent="3"/>
    </xf>
    <xf numFmtId="173" fontId="16" fillId="11" borderId="17" xfId="0" applyNumberFormat="1" applyFont="1" applyFill="1" applyBorder="1" applyAlignment="1">
      <alignment horizontal="right" vertical="center" indent="3"/>
    </xf>
    <xf numFmtId="0" fontId="33" fillId="0" borderId="20" xfId="0" applyFont="1" applyFill="1" applyBorder="1" applyAlignment="1">
      <alignment horizontal="center" wrapText="1"/>
    </xf>
    <xf numFmtId="0" fontId="17" fillId="0" borderId="8" xfId="0" applyFont="1" applyBorder="1"/>
    <xf numFmtId="0" fontId="0" fillId="0" borderId="2" xfId="0" quotePrefix="1" applyBorder="1" applyAlignment="1">
      <alignment horizontal="left"/>
    </xf>
    <xf numFmtId="0" fontId="0" fillId="0" borderId="11" xfId="0" quotePrefix="1" applyBorder="1"/>
    <xf numFmtId="10" fontId="0" fillId="0" borderId="0" xfId="2" applyNumberFormat="1" applyFont="1"/>
    <xf numFmtId="0" fontId="14" fillId="0" borderId="0" xfId="0" applyFont="1" applyFill="1"/>
    <xf numFmtId="167" fontId="8" fillId="0" borderId="0" xfId="1" applyNumberFormat="1" applyFont="1" applyBorder="1"/>
    <xf numFmtId="167" fontId="10" fillId="0" borderId="3" xfId="0" applyNumberFormat="1" applyFont="1" applyBorder="1"/>
    <xf numFmtId="167" fontId="8" fillId="0" borderId="0" xfId="0" applyNumberFormat="1" applyFont="1" applyBorder="1"/>
    <xf numFmtId="0" fontId="17" fillId="0" borderId="0" xfId="0" applyFont="1" applyBorder="1"/>
    <xf numFmtId="0" fontId="0" fillId="0" borderId="0" xfId="0" quotePrefix="1" applyBorder="1"/>
    <xf numFmtId="3" fontId="0" fillId="0" borderId="7" xfId="0" applyNumberFormat="1" applyFont="1" applyFill="1" applyBorder="1"/>
    <xf numFmtId="0" fontId="0" fillId="0" borderId="0" xfId="0" applyBorder="1" applyAlignment="1">
      <alignment horizontal="left"/>
    </xf>
    <xf numFmtId="0" fontId="0" fillId="0" borderId="2" xfId="0" applyBorder="1" applyAlignment="1">
      <alignment horizontal="left"/>
    </xf>
    <xf numFmtId="0" fontId="0" fillId="0" borderId="13" xfId="0" applyBorder="1" applyAlignment="1">
      <alignment horizontal="left"/>
    </xf>
    <xf numFmtId="0" fontId="0" fillId="0" borderId="10" xfId="0" applyBorder="1" applyAlignment="1">
      <alignment horizontal="left"/>
    </xf>
    <xf numFmtId="0" fontId="0" fillId="0" borderId="12" xfId="0" applyBorder="1" applyAlignment="1">
      <alignment horizontal="left"/>
    </xf>
    <xf numFmtId="0" fontId="0" fillId="0" borderId="7" xfId="0" applyBorder="1" applyAlignment="1">
      <alignment horizontal="left"/>
    </xf>
    <xf numFmtId="0" fontId="0" fillId="0" borderId="11" xfId="0" applyBorder="1" applyAlignment="1">
      <alignment horizontal="left"/>
    </xf>
    <xf numFmtId="0" fontId="21" fillId="0" borderId="0" xfId="0" applyFont="1" applyAlignment="1">
      <alignment horizontal="left"/>
    </xf>
    <xf numFmtId="3" fontId="21" fillId="0" borderId="0" xfId="0" applyNumberFormat="1" applyFont="1" applyAlignment="1">
      <alignment horizontal="left"/>
    </xf>
    <xf numFmtId="0" fontId="21" fillId="0" borderId="0" xfId="0" applyFont="1" applyAlignment="1">
      <alignment horizontal="left" vertical="center" wrapText="1"/>
    </xf>
    <xf numFmtId="0" fontId="11" fillId="8" borderId="5" xfId="0" applyFont="1" applyFill="1" applyBorder="1" applyAlignment="1">
      <alignment horizontal="left" vertical="center" wrapText="1"/>
    </xf>
    <xf numFmtId="0" fontId="11" fillId="8" borderId="0" xfId="0" applyFont="1" applyFill="1" applyBorder="1" applyAlignment="1">
      <alignment horizontal="left" vertical="center" wrapText="1"/>
    </xf>
    <xf numFmtId="0" fontId="11" fillId="8" borderId="2" xfId="0" applyFont="1" applyFill="1" applyBorder="1" applyAlignment="1">
      <alignment horizontal="left" vertical="center" wrapText="1"/>
    </xf>
    <xf numFmtId="0" fontId="8" fillId="9" borderId="8" xfId="0" applyFont="1" applyFill="1" applyBorder="1" applyAlignment="1">
      <alignment horizontal="center"/>
    </xf>
    <xf numFmtId="0" fontId="8" fillId="9" borderId="7" xfId="0" applyFont="1" applyFill="1" applyBorder="1" applyAlignment="1">
      <alignment horizontal="center"/>
    </xf>
    <xf numFmtId="0" fontId="8" fillId="9" borderId="11" xfId="0" applyFont="1" applyFill="1" applyBorder="1" applyAlignment="1">
      <alignment horizontal="center"/>
    </xf>
    <xf numFmtId="0" fontId="0" fillId="6" borderId="6" xfId="0" applyFill="1" applyBorder="1" applyAlignment="1">
      <alignment horizontal="center" vertical="top" wrapText="1"/>
    </xf>
    <xf numFmtId="0" fontId="8" fillId="12" borderId="6" xfId="0" applyFont="1" applyFill="1" applyBorder="1" applyAlignment="1">
      <alignment horizontal="center" vertical="top" wrapText="1"/>
    </xf>
    <xf numFmtId="0" fontId="10" fillId="7" borderId="5" xfId="0" applyFont="1" applyFill="1" applyBorder="1" applyAlignment="1">
      <alignment horizontal="left" vertical="center" wrapText="1"/>
    </xf>
    <xf numFmtId="0" fontId="10" fillId="7" borderId="0" xfId="0" applyFont="1" applyFill="1" applyBorder="1" applyAlignment="1">
      <alignment horizontal="left" vertical="center" wrapText="1"/>
    </xf>
    <xf numFmtId="0" fontId="8" fillId="9" borderId="8" xfId="0" applyFont="1" applyFill="1" applyBorder="1" applyAlignment="1">
      <alignment horizontal="center" wrapText="1"/>
    </xf>
    <xf numFmtId="0" fontId="8" fillId="9" borderId="7" xfId="0" applyFont="1" applyFill="1" applyBorder="1" applyAlignment="1">
      <alignment horizontal="center" wrapText="1"/>
    </xf>
    <xf numFmtId="0" fontId="8" fillId="9" borderId="13" xfId="0" applyFont="1" applyFill="1" applyBorder="1" applyAlignment="1">
      <alignment horizontal="center" vertical="top"/>
    </xf>
    <xf numFmtId="0" fontId="8" fillId="9" borderId="10" xfId="0" applyFont="1" applyFill="1" applyBorder="1" applyAlignment="1">
      <alignment horizontal="center" vertical="top"/>
    </xf>
    <xf numFmtId="0" fontId="8" fillId="9" borderId="12" xfId="0" applyFont="1" applyFill="1" applyBorder="1" applyAlignment="1">
      <alignment horizontal="center" vertical="top"/>
    </xf>
    <xf numFmtId="0" fontId="8" fillId="9" borderId="5" xfId="0" applyFont="1" applyFill="1" applyBorder="1" applyAlignment="1">
      <alignment horizontal="center" vertical="top" wrapText="1"/>
    </xf>
    <xf numFmtId="0" fontId="8" fillId="9" borderId="0" xfId="0" applyFont="1" applyFill="1" applyBorder="1" applyAlignment="1">
      <alignment horizontal="center" vertical="top" wrapText="1"/>
    </xf>
    <xf numFmtId="0" fontId="8" fillId="9" borderId="2" xfId="0" applyFont="1" applyFill="1" applyBorder="1" applyAlignment="1">
      <alignment horizontal="center" vertical="top" wrapText="1"/>
    </xf>
    <xf numFmtId="0" fontId="12" fillId="5" borderId="6" xfId="0" applyFont="1" applyFill="1" applyBorder="1" applyAlignment="1">
      <alignment horizontal="center" vertical="top" wrapText="1"/>
    </xf>
    <xf numFmtId="0" fontId="12" fillId="5" borderId="2" xfId="0" applyFont="1" applyFill="1" applyBorder="1" applyAlignment="1">
      <alignment horizontal="center" vertical="top" wrapText="1"/>
    </xf>
    <xf numFmtId="0" fontId="8" fillId="9" borderId="13" xfId="0" applyFont="1" applyFill="1" applyBorder="1" applyAlignment="1">
      <alignment horizontal="center" vertical="top" wrapText="1"/>
    </xf>
    <xf numFmtId="0" fontId="8" fillId="9" borderId="10" xfId="0" applyFont="1" applyFill="1" applyBorder="1" applyAlignment="1">
      <alignment horizontal="center" vertical="top" wrapText="1"/>
    </xf>
    <xf numFmtId="0" fontId="8" fillId="9" borderId="12" xfId="0" applyFont="1" applyFill="1" applyBorder="1" applyAlignment="1">
      <alignment horizontal="center" vertical="top" wrapText="1"/>
    </xf>
    <xf numFmtId="0" fontId="12" fillId="5" borderId="5" xfId="0" applyFont="1" applyFill="1" applyBorder="1" applyAlignment="1">
      <alignment horizontal="center" vertical="top" wrapText="1"/>
    </xf>
    <xf numFmtId="0" fontId="11" fillId="3" borderId="6" xfId="0" applyFont="1" applyFill="1" applyBorder="1" applyAlignment="1">
      <alignment horizontal="center" vertical="top" wrapText="1"/>
    </xf>
    <xf numFmtId="0" fontId="12" fillId="3" borderId="5"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1" fillId="10" borderId="5" xfId="0" applyFont="1" applyFill="1" applyBorder="1" applyAlignment="1">
      <alignment horizontal="left" vertical="center" wrapText="1"/>
    </xf>
    <xf numFmtId="0" fontId="11" fillId="10" borderId="0" xfId="0" applyFont="1" applyFill="1" applyBorder="1" applyAlignment="1">
      <alignment horizontal="left" vertical="center" wrapText="1"/>
    </xf>
    <xf numFmtId="0" fontId="23" fillId="11" borderId="0" xfId="0" applyFont="1" applyFill="1" applyBorder="1" applyAlignment="1">
      <alignment horizontal="center" vertical="center" wrapText="1"/>
    </xf>
    <xf numFmtId="0" fontId="16" fillId="11" borderId="0" xfId="0" applyFont="1" applyFill="1" applyBorder="1" applyAlignment="1">
      <alignment horizontal="center" vertical="center" wrapText="1"/>
    </xf>
  </cellXfs>
  <cellStyles count="5">
    <cellStyle name="Hyperlinkki" xfId="4" builtinId="8"/>
    <cellStyle name="Normaali" xfId="0" builtinId="0"/>
    <cellStyle name="Pilkku" xfId="1" builtinId="3"/>
    <cellStyle name="Prosenttia" xfId="2" builtinId="5"/>
    <cellStyle name="Valuutta" xfId="3" builtinId="4"/>
  </cellStyles>
  <dxfs count="108">
    <dxf>
      <font>
        <b/>
        <i val="0"/>
        <strike val="0"/>
        <condense val="0"/>
        <extend val="0"/>
        <outline val="0"/>
        <shadow val="0"/>
        <u val="none"/>
        <vertAlign val="baseline"/>
        <sz val="10"/>
        <color theme="1"/>
        <name val="Calibri"/>
        <scheme val="minor"/>
      </font>
      <numFmt numFmtId="14" formatCode="0.00\ %"/>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14" formatCode="0.00\ %"/>
      <border diagonalUp="0" diagonalDown="0">
        <left/>
        <right style="thin">
          <color indexed="64"/>
        </right>
        <top/>
        <bottom/>
        <vertical/>
        <horizontal/>
      </border>
    </dxf>
    <dxf>
      <font>
        <b/>
        <i val="0"/>
        <strike val="0"/>
        <condense val="0"/>
        <extend val="0"/>
        <outline val="0"/>
        <shadow val="0"/>
        <u val="none"/>
        <vertAlign val="baseline"/>
        <sz val="10"/>
        <color theme="1"/>
        <name val="Calibri"/>
        <scheme val="minor"/>
      </font>
      <numFmt numFmtId="3" formatCode="#,##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 formatCode="#,##0"/>
      <border diagonalUp="0" diagonalDown="0">
        <left style="thin">
          <color indexed="64"/>
        </left>
        <right/>
        <top/>
        <bottom/>
        <vertical/>
        <horizontal/>
      </border>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 formatCode="#,##0"/>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 formatCode="#,##0"/>
      <border diagonalUp="0" diagonalDown="0">
        <left style="thin">
          <color indexed="64"/>
        </left>
        <right style="thin">
          <color indexed="64"/>
        </right>
        <top/>
        <bottom/>
        <vertical/>
        <horizontal/>
      </border>
    </dxf>
    <dxf>
      <font>
        <b/>
        <i val="0"/>
        <strike val="0"/>
        <condense val="0"/>
        <extend val="0"/>
        <outline val="0"/>
        <shadow val="0"/>
        <u val="none"/>
        <vertAlign val="baseline"/>
        <sz val="10"/>
        <color theme="1"/>
        <name val="Calibri"/>
        <scheme val="minor"/>
      </font>
      <numFmt numFmtId="14" formatCode="0.00\ %"/>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14" formatCode="0.00\ %"/>
    </dxf>
    <dxf>
      <font>
        <b/>
        <i val="0"/>
        <strike val="0"/>
        <condense val="0"/>
        <extend val="0"/>
        <outline val="0"/>
        <shadow val="0"/>
        <u val="none"/>
        <vertAlign val="baseline"/>
        <sz val="10"/>
        <color theme="1"/>
        <name val="Calibri"/>
        <scheme val="minor"/>
      </font>
      <numFmt numFmtId="3" formatCode="#,##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 formatCode="#,##0"/>
      <border diagonalUp="0" diagonalDown="0">
        <left style="thin">
          <color indexed="64"/>
        </left>
        <right/>
        <top/>
        <bottom/>
        <vertical/>
        <horizontal/>
      </border>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 formatCode="#,##0"/>
      <border diagonalUp="0" diagonalDown="0">
        <left style="thin">
          <color indexed="64"/>
        </left>
        <right style="thin">
          <color indexed="64"/>
        </right>
        <top/>
        <bottom/>
        <vertical/>
        <horizontal/>
      </border>
    </dxf>
    <dxf>
      <font>
        <b/>
        <i val="0"/>
        <strike val="0"/>
        <condense val="0"/>
        <extend val="0"/>
        <outline val="0"/>
        <shadow val="0"/>
        <u val="none"/>
        <vertAlign val="baseline"/>
        <sz val="10"/>
        <color theme="1"/>
        <name val="Calibri"/>
        <scheme val="minor"/>
      </font>
      <numFmt numFmtId="3" formatCode="#,##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 formatCode="#,##0"/>
    </dxf>
    <dxf>
      <font>
        <b/>
        <i val="0"/>
        <strike val="0"/>
        <condense val="0"/>
        <extend val="0"/>
        <outline val="0"/>
        <shadow val="0"/>
        <u val="none"/>
        <vertAlign val="baseline"/>
        <sz val="10"/>
        <color theme="1"/>
        <name val="Calibri"/>
        <scheme val="minor"/>
      </font>
      <numFmt numFmtId="14" formatCode="0.00\ %"/>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14" formatCode="0.00\ %"/>
      <border diagonalUp="0" diagonalDown="0">
        <left/>
        <right style="thin">
          <color indexed="64"/>
        </right>
        <top/>
        <bottom/>
        <vertical/>
        <horizontal/>
      </border>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 formatCode="#,##0"/>
      <border diagonalUp="0" diagonalDown="0">
        <left style="thin">
          <color indexed="64"/>
        </left>
        <right/>
        <top/>
        <bottom/>
        <vertical/>
        <horizontal/>
      </border>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 formatCode="#,##0"/>
      <border diagonalUp="0" diagonalDown="0">
        <left style="thin">
          <color indexed="64"/>
        </left>
        <right/>
        <top/>
        <bottom/>
        <vertical/>
        <horizontal/>
      </border>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 formatCode="#,##0"/>
      <border diagonalUp="0" diagonalDown="0">
        <left style="thin">
          <color indexed="64"/>
        </left>
        <right/>
        <top/>
        <bottom/>
        <vertical/>
        <horizontal/>
      </border>
    </dxf>
    <dxf>
      <font>
        <b/>
        <i val="0"/>
        <strike val="0"/>
        <condense val="0"/>
        <extend val="0"/>
        <outline val="0"/>
        <shadow val="0"/>
        <u val="none"/>
        <vertAlign val="baseline"/>
        <sz val="10"/>
        <color theme="1"/>
        <name val="Calibri"/>
        <scheme val="none"/>
      </font>
      <fill>
        <patternFill patternType="none">
          <fgColor indexed="64"/>
          <bgColor indexed="65"/>
        </patternFill>
      </fill>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none"/>
      </font>
      <numFmt numFmtId="0" formatCode="General"/>
      <fill>
        <patternFill patternType="none">
          <fgColor indexed="64"/>
          <bgColor indexed="65"/>
        </patternFill>
      </fill>
      <border diagonalUp="0" diagonalDown="0">
        <left/>
        <right style="thin">
          <color indexed="64"/>
        </right>
        <top/>
        <bottom/>
        <vertical/>
        <horizontal/>
      </border>
    </dxf>
    <dxf>
      <font>
        <b/>
        <i val="0"/>
        <strike val="0"/>
        <condense val="0"/>
        <extend val="0"/>
        <outline val="0"/>
        <shadow val="0"/>
        <u val="none"/>
        <vertAlign val="baseline"/>
        <sz val="10"/>
        <color theme="1"/>
        <name val="Calibri"/>
        <scheme val="none"/>
      </font>
      <fill>
        <patternFill patternType="none">
          <fgColor indexed="64"/>
          <bgColor indexed="65"/>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scheme val="none"/>
      </font>
      <numFmt numFmtId="0" formatCode="General"/>
      <fill>
        <patternFill patternType="none">
          <fgColor indexed="64"/>
          <bgColor indexed="65"/>
        </patternFill>
      </fill>
    </dxf>
    <dxf>
      <font>
        <b/>
        <i val="0"/>
        <strike val="0"/>
        <condense val="0"/>
        <extend val="0"/>
        <outline val="0"/>
        <shadow val="0"/>
        <u val="none"/>
        <vertAlign val="baseline"/>
        <sz val="10"/>
        <color theme="1"/>
        <name val="Calibri"/>
        <scheme val="none"/>
      </font>
      <fill>
        <patternFill patternType="none">
          <fgColor indexed="64"/>
          <bgColor indexed="65"/>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scheme val="none"/>
      </font>
      <numFmt numFmtId="0" formatCode="General"/>
      <fill>
        <patternFill patternType="none">
          <fgColor indexed="64"/>
          <bgColor indexed="65"/>
        </patternFill>
      </fill>
    </dxf>
    <dxf>
      <font>
        <b/>
        <i val="0"/>
        <strike val="0"/>
        <condense val="0"/>
        <extend val="0"/>
        <outline val="0"/>
        <shadow val="0"/>
        <u val="none"/>
        <vertAlign val="baseline"/>
        <sz val="10"/>
        <color theme="1"/>
        <name val="Calibri"/>
        <scheme val="none"/>
      </font>
      <fill>
        <patternFill patternType="none">
          <fgColor indexed="64"/>
          <bgColor indexed="65"/>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scheme val="none"/>
      </font>
      <numFmt numFmtId="0" formatCode="General"/>
      <fill>
        <patternFill patternType="none">
          <fgColor indexed="64"/>
          <bgColor indexed="65"/>
        </patternFill>
      </fill>
    </dxf>
    <dxf>
      <border>
        <top style="thin">
          <color indexed="64"/>
        </top>
      </border>
    </dxf>
    <dxf>
      <font>
        <b/>
      </font>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sz val="10"/>
        <color theme="1"/>
        <name val="Calibri"/>
      </font>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sz val="10"/>
        <color theme="1"/>
        <name val="Calibri"/>
      </font>
      <numFmt numFmtId="3" formatCode="#,##0"/>
      <border diagonalUp="0" diagonalDown="0">
        <left style="thin">
          <color indexed="64"/>
        </left>
        <right style="thin">
          <color indexed="64"/>
        </right>
        <top/>
        <bottom/>
        <vertical/>
        <horizontal/>
      </border>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sz val="10"/>
        <color theme="1"/>
        <name val="Calibri"/>
      </font>
      <numFmt numFmtId="3" formatCode="#,##0"/>
      <border diagonalUp="0" diagonalDown="0">
        <left style="thin">
          <color indexed="64"/>
        </left>
        <right style="thin">
          <color indexed="64"/>
        </right>
        <top/>
        <bottom/>
        <vertical/>
        <horizontal/>
      </border>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 formatCode="#,##0"/>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 formatCode="#,##0"/>
      <fill>
        <patternFill patternType="none">
          <fgColor indexed="64"/>
          <bgColor auto="1"/>
        </patternFill>
      </fill>
      <border diagonalUp="0" diagonalDown="0">
        <left style="thin">
          <color indexed="64"/>
        </left>
        <right style="thin">
          <color indexed="64"/>
        </right>
        <top/>
        <bottom/>
        <vertical/>
        <horizontal/>
      </border>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sz val="10"/>
        <color theme="1"/>
        <name val="Calibri"/>
        <scheme val="minor"/>
      </font>
      <numFmt numFmtId="3" formatCode="#,##0"/>
    </dxf>
    <dxf>
      <font>
        <b/>
        <i val="0"/>
        <strike val="0"/>
        <condense val="0"/>
        <extend val="0"/>
        <outline val="0"/>
        <shadow val="0"/>
        <u val="none"/>
        <vertAlign val="baseline"/>
        <sz val="10"/>
        <color theme="1"/>
        <name val="Calibri"/>
        <scheme val="minor"/>
      </font>
      <numFmt numFmtId="3" formatCode="#,##0"/>
      <fill>
        <patternFill patternType="none">
          <fgColor indexed="64"/>
          <bgColor indexed="65"/>
        </patternFill>
      </fill>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scheme val="minor"/>
      </font>
      <numFmt numFmtId="3" formatCode="#,##0"/>
      <border diagonalUp="0" diagonalDown="0" outline="0">
        <left/>
        <right style="thin">
          <color indexed="64"/>
        </right>
        <top style="thin">
          <color indexed="64"/>
        </top>
        <bottom style="thin">
          <color indexed="64"/>
        </bottom>
      </border>
    </dxf>
    <dxf>
      <font>
        <i val="0"/>
        <strike val="0"/>
        <outline val="0"/>
        <shadow val="0"/>
        <u val="none"/>
        <vertAlign val="baseline"/>
        <sz val="10"/>
        <color theme="1"/>
        <name val="Calibri"/>
      </font>
      <numFmt numFmtId="3" formatCode="#,##0"/>
      <border diagonalUp="0" diagonalDown="0">
        <left/>
        <right style="thin">
          <color indexed="64"/>
        </right>
        <top style="thin">
          <color auto="1"/>
        </top>
        <bottom style="thin">
          <color auto="1"/>
        </bottom>
      </border>
    </dxf>
    <dxf>
      <font>
        <b/>
        <i val="0"/>
        <strike val="0"/>
        <condense val="0"/>
        <extend val="0"/>
        <outline val="0"/>
        <shadow val="0"/>
        <u val="none"/>
        <vertAlign val="baseline"/>
        <sz val="10"/>
        <color theme="1"/>
        <name val="Calibri"/>
        <scheme val="minor"/>
      </font>
      <numFmt numFmtId="14" formatCode="0.00\ %"/>
      <border diagonalUp="0" diagonalDown="0" outline="0">
        <left style="thin">
          <color indexed="64"/>
        </left>
        <right/>
        <top style="thin">
          <color indexed="64"/>
        </top>
        <bottom style="thin">
          <color indexed="64"/>
        </bottom>
      </border>
    </dxf>
    <dxf>
      <font>
        <i val="0"/>
        <strike val="0"/>
        <outline val="0"/>
        <shadow val="0"/>
        <u val="none"/>
        <vertAlign val="baseline"/>
        <sz val="10"/>
        <color theme="1"/>
        <name val="Calibri"/>
      </font>
      <numFmt numFmtId="14" formatCode="0.00\ %"/>
      <border diagonalUp="0" diagonalDown="0">
        <left style="thin">
          <color indexed="64"/>
        </left>
        <right/>
        <top style="thin">
          <color auto="1"/>
        </top>
        <bottom style="thin">
          <color auto="1"/>
        </bottom>
      </border>
    </dxf>
    <dxf>
      <font>
        <b/>
        <i val="0"/>
        <strike val="0"/>
        <condense val="0"/>
        <extend val="0"/>
        <outline val="0"/>
        <shadow val="0"/>
        <u val="none"/>
        <vertAlign val="baseline"/>
        <sz val="10"/>
        <color theme="1"/>
        <name val="Calibri"/>
        <scheme val="minor"/>
      </font>
      <numFmt numFmtId="3" formatCode="#,##0"/>
      <border diagonalUp="0" diagonalDown="0" outline="0">
        <left/>
        <right/>
        <top style="thin">
          <color indexed="64"/>
        </top>
        <bottom style="thin">
          <color indexed="64"/>
        </bottom>
      </border>
    </dxf>
    <dxf>
      <font>
        <i val="0"/>
        <strike val="0"/>
        <outline val="0"/>
        <shadow val="0"/>
        <u val="none"/>
        <vertAlign val="baseline"/>
        <sz val="10"/>
        <color theme="1"/>
        <name val="Calibri"/>
      </font>
      <numFmt numFmtId="3" formatCode="#,##0"/>
    </dxf>
    <dxf>
      <font>
        <b/>
        <i val="0"/>
        <strike val="0"/>
        <condense val="0"/>
        <extend val="0"/>
        <outline val="0"/>
        <shadow val="0"/>
        <u val="none"/>
        <vertAlign val="baseline"/>
        <sz val="10"/>
        <color theme="1"/>
        <name val="Calibri"/>
        <scheme val="minor"/>
      </font>
      <numFmt numFmtId="14" formatCode="0.00\ %"/>
      <border diagonalUp="0" diagonalDown="0" outline="0">
        <left/>
        <right/>
        <top style="thin">
          <color indexed="64"/>
        </top>
        <bottom style="thin">
          <color indexed="64"/>
        </bottom>
      </border>
    </dxf>
    <dxf>
      <font>
        <i val="0"/>
        <strike val="0"/>
        <outline val="0"/>
        <shadow val="0"/>
        <u val="none"/>
        <vertAlign val="baseline"/>
        <sz val="10"/>
        <color theme="1"/>
        <name val="Calibri"/>
      </font>
      <numFmt numFmtId="14" formatCode="0.00\ %"/>
    </dxf>
    <dxf>
      <font>
        <b/>
        <i val="0"/>
        <strike val="0"/>
        <condense val="0"/>
        <extend val="0"/>
        <outline val="0"/>
        <shadow val="0"/>
        <u val="none"/>
        <vertAlign val="baseline"/>
        <sz val="10"/>
        <color theme="1"/>
        <name val="Calibri"/>
        <scheme val="minor"/>
      </font>
      <numFmt numFmtId="167" formatCode="#,##0.0"/>
      <border diagonalUp="0" diagonalDown="0" outline="0">
        <left/>
        <right/>
        <top style="thin">
          <color indexed="64"/>
        </top>
        <bottom style="thin">
          <color indexed="64"/>
        </bottom>
      </border>
    </dxf>
    <dxf>
      <font>
        <i val="0"/>
        <strike val="0"/>
        <outline val="0"/>
        <shadow val="0"/>
        <u val="none"/>
        <vertAlign val="baseline"/>
        <sz val="10"/>
        <color theme="1"/>
        <name val="Calibri"/>
      </font>
      <numFmt numFmtId="167" formatCode="#,##0.0"/>
    </dxf>
    <dxf>
      <font>
        <b/>
        <i val="0"/>
        <strike val="0"/>
        <condense val="0"/>
        <extend val="0"/>
        <outline val="0"/>
        <shadow val="0"/>
        <u val="none"/>
        <vertAlign val="baseline"/>
        <sz val="10"/>
        <color theme="1"/>
        <name val="Calibri"/>
        <scheme val="minor"/>
      </font>
      <numFmt numFmtId="3" formatCode="#,##0"/>
      <border diagonalUp="0" diagonalDown="0" outline="0">
        <left/>
        <right style="thin">
          <color indexed="64"/>
        </right>
        <top style="thin">
          <color indexed="64"/>
        </top>
        <bottom style="thin">
          <color indexed="64"/>
        </bottom>
      </border>
    </dxf>
    <dxf>
      <font>
        <i val="0"/>
        <strike val="0"/>
        <outline val="0"/>
        <shadow val="0"/>
        <u val="none"/>
        <vertAlign val="baseline"/>
        <sz val="10"/>
        <color theme="1"/>
        <name val="Calibri"/>
        <scheme val="minor"/>
      </font>
      <numFmt numFmtId="3" formatCode="#,##0"/>
    </dxf>
    <dxf>
      <font>
        <b/>
        <i val="0"/>
        <strike val="0"/>
        <condense val="0"/>
        <extend val="0"/>
        <outline val="0"/>
        <shadow val="0"/>
        <u val="none"/>
        <vertAlign val="baseline"/>
        <sz val="10"/>
        <color theme="1"/>
        <name val="Calibri"/>
        <scheme val="minor"/>
      </font>
      <numFmt numFmtId="14" formatCode="0.00\ %"/>
      <border diagonalUp="0" diagonalDown="0" outline="0">
        <left/>
        <right/>
        <top style="thin">
          <color indexed="64"/>
        </top>
        <bottom style="thin">
          <color indexed="64"/>
        </bottom>
      </border>
    </dxf>
    <dxf>
      <font>
        <i val="0"/>
        <strike val="0"/>
        <outline val="0"/>
        <shadow val="0"/>
        <u val="none"/>
        <vertAlign val="baseline"/>
        <sz val="10"/>
        <color theme="1"/>
        <name val="Calibri"/>
      </font>
      <numFmt numFmtId="14" formatCode="0.00\ %"/>
    </dxf>
    <dxf>
      <font>
        <b/>
        <i val="0"/>
        <strike val="0"/>
        <condense val="0"/>
        <extend val="0"/>
        <outline val="0"/>
        <shadow val="0"/>
        <u val="none"/>
        <vertAlign val="baseline"/>
        <sz val="10"/>
        <color theme="1"/>
        <name val="Calibri"/>
        <scheme val="minor"/>
      </font>
      <numFmt numFmtId="167" formatCode="#,##0.0"/>
      <border diagonalUp="0" diagonalDown="0" outline="0">
        <left style="thin">
          <color indexed="64"/>
        </left>
        <right/>
        <top style="thin">
          <color indexed="64"/>
        </top>
        <bottom style="thin">
          <color indexed="64"/>
        </bottom>
      </border>
    </dxf>
    <dxf>
      <font>
        <i val="0"/>
        <strike val="0"/>
        <outline val="0"/>
        <shadow val="0"/>
        <u val="none"/>
        <vertAlign val="baseline"/>
        <sz val="10"/>
        <color theme="1"/>
        <name val="Calibri"/>
      </font>
      <numFmt numFmtId="167" formatCode="#,##0.0"/>
      <border diagonalUp="0" diagonalDown="0" outline="0">
        <left style="thin">
          <color auto="1"/>
        </left>
        <right/>
        <top/>
        <bottom/>
      </border>
    </dxf>
    <dxf>
      <font>
        <b/>
        <i val="0"/>
        <strike val="0"/>
        <condense val="0"/>
        <extend val="0"/>
        <outline val="0"/>
        <shadow val="0"/>
        <u val="none"/>
        <vertAlign val="baseline"/>
        <sz val="10"/>
        <color theme="1"/>
        <name val="Calibri"/>
        <scheme val="minor"/>
      </font>
      <numFmt numFmtId="3" formatCode="#,##0"/>
      <border diagonalUp="0" diagonalDown="0" outline="0">
        <left/>
        <right/>
        <top style="thin">
          <color indexed="64"/>
        </top>
        <bottom style="thin">
          <color indexed="64"/>
        </bottom>
      </border>
    </dxf>
    <dxf>
      <font>
        <i val="0"/>
        <strike val="0"/>
        <outline val="0"/>
        <shadow val="0"/>
        <u val="none"/>
        <vertAlign val="baseline"/>
        <sz val="10"/>
        <color theme="1"/>
        <name val="Calibri"/>
      </font>
      <numFmt numFmtId="3" formatCode="#,##0"/>
      <border outline="0">
        <right style="thin">
          <color indexed="64"/>
        </right>
      </border>
    </dxf>
    <dxf>
      <font>
        <b/>
        <i val="0"/>
        <strike val="0"/>
        <condense val="0"/>
        <extend val="0"/>
        <outline val="0"/>
        <shadow val="0"/>
        <u val="none"/>
        <vertAlign val="baseline"/>
        <sz val="10"/>
        <color theme="1"/>
        <name val="Calibri"/>
        <scheme val="minor"/>
      </font>
      <numFmt numFmtId="14" formatCode="0.00\ %"/>
      <border diagonalUp="0" diagonalDown="0" outline="0">
        <left/>
        <right/>
        <top style="thin">
          <color indexed="64"/>
        </top>
        <bottom style="thin">
          <color indexed="64"/>
        </bottom>
      </border>
    </dxf>
    <dxf>
      <font>
        <i val="0"/>
        <strike val="0"/>
        <outline val="0"/>
        <shadow val="0"/>
        <u val="none"/>
        <vertAlign val="baseline"/>
        <sz val="10"/>
        <color theme="1"/>
        <name val="Calibri"/>
      </font>
      <numFmt numFmtId="14" formatCode="0.00\ %"/>
    </dxf>
    <dxf>
      <font>
        <b/>
        <i val="0"/>
        <strike val="0"/>
        <condense val="0"/>
        <extend val="0"/>
        <outline val="0"/>
        <shadow val="0"/>
        <u val="none"/>
        <vertAlign val="baseline"/>
        <sz val="10"/>
        <color theme="1"/>
        <name val="Calibri"/>
        <scheme val="minor"/>
      </font>
      <numFmt numFmtId="167" formatCode="#,##0.0"/>
      <border diagonalUp="0" diagonalDown="0" outline="0">
        <left/>
        <right/>
        <top style="thin">
          <color indexed="64"/>
        </top>
        <bottom style="thin">
          <color indexed="64"/>
        </bottom>
      </border>
    </dxf>
    <dxf>
      <font>
        <i val="0"/>
        <strike val="0"/>
        <outline val="0"/>
        <shadow val="0"/>
        <u val="none"/>
        <vertAlign val="baseline"/>
        <sz val="10"/>
        <color theme="1"/>
        <name val="Calibri"/>
      </font>
      <numFmt numFmtId="167" formatCode="#,##0.0"/>
    </dxf>
    <dxf>
      <font>
        <b/>
        <i val="0"/>
        <strike val="0"/>
        <condense val="0"/>
        <extend val="0"/>
        <outline val="0"/>
        <shadow val="0"/>
        <u val="none"/>
        <vertAlign val="baseline"/>
        <sz val="10"/>
        <color theme="1"/>
        <name val="Calibri"/>
        <scheme val="minor"/>
      </font>
      <numFmt numFmtId="3" formatCode="#,##0"/>
      <border diagonalUp="0" diagonalDown="0" outline="0">
        <left/>
        <right style="thin">
          <color indexed="64"/>
        </right>
        <top style="thin">
          <color indexed="64"/>
        </top>
        <bottom style="thin">
          <color indexed="64"/>
        </bottom>
      </border>
    </dxf>
    <dxf>
      <font>
        <i val="0"/>
        <strike val="0"/>
        <outline val="0"/>
        <shadow val="0"/>
        <u val="none"/>
        <vertAlign val="baseline"/>
        <sz val="10"/>
        <color theme="1"/>
        <name val="Calibri"/>
      </font>
      <numFmt numFmtId="3" formatCode="#,##0"/>
      <border diagonalUp="0" diagonalDown="0" outline="0">
        <left/>
        <right/>
        <top style="thin">
          <color auto="1"/>
        </top>
        <bottom style="thin">
          <color auto="1"/>
        </bottom>
      </border>
    </dxf>
    <dxf>
      <font>
        <b/>
        <i val="0"/>
        <strike val="0"/>
        <condense val="0"/>
        <extend val="0"/>
        <outline val="0"/>
        <shadow val="0"/>
        <u val="none"/>
        <vertAlign val="baseline"/>
        <sz val="10"/>
        <color theme="1"/>
        <name val="Calibri"/>
        <scheme val="minor"/>
      </font>
      <numFmt numFmtId="14" formatCode="0.00\ %"/>
      <border diagonalUp="0" diagonalDown="0" outline="0">
        <left/>
        <right/>
        <top style="thin">
          <color indexed="64"/>
        </top>
        <bottom style="thin">
          <color indexed="64"/>
        </bottom>
      </border>
    </dxf>
    <dxf>
      <font>
        <i val="0"/>
        <strike val="0"/>
        <outline val="0"/>
        <shadow val="0"/>
        <u val="none"/>
        <vertAlign val="baseline"/>
        <sz val="10"/>
        <color theme="1"/>
        <name val="Calibri"/>
      </font>
      <numFmt numFmtId="14" formatCode="0.00\ %"/>
      <border diagonalUp="0" diagonalDown="0" outline="0">
        <left/>
        <right/>
        <top style="thin">
          <color auto="1"/>
        </top>
        <bottom style="thin">
          <color auto="1"/>
        </bottom>
      </border>
    </dxf>
    <dxf>
      <font>
        <b/>
        <i val="0"/>
        <strike val="0"/>
        <condense val="0"/>
        <extend val="0"/>
        <outline val="0"/>
        <shadow val="0"/>
        <u val="none"/>
        <vertAlign val="baseline"/>
        <sz val="10"/>
        <color theme="1"/>
        <name val="Calibri"/>
        <scheme val="minor"/>
      </font>
      <numFmt numFmtId="167" formatCode="#,##0.0"/>
      <border diagonalUp="0" diagonalDown="0" outline="0">
        <left style="thin">
          <color indexed="64"/>
        </left>
        <right/>
        <top style="thin">
          <color indexed="64"/>
        </top>
        <bottom style="thin">
          <color indexed="64"/>
        </bottom>
      </border>
    </dxf>
    <dxf>
      <font>
        <i val="0"/>
        <strike val="0"/>
        <outline val="0"/>
        <shadow val="0"/>
        <u val="none"/>
        <vertAlign val="baseline"/>
        <sz val="10"/>
        <color theme="1"/>
        <name val="Calibri"/>
      </font>
      <numFmt numFmtId="167" formatCode="#,##0.0"/>
      <border diagonalUp="0" diagonalDown="0" outline="0">
        <left style="thin">
          <color indexed="64"/>
        </left>
        <right/>
        <top style="thin">
          <color auto="1"/>
        </top>
        <bottom style="thin">
          <color auto="1"/>
        </bottom>
      </border>
    </dxf>
    <dxf>
      <font>
        <b/>
        <i val="0"/>
        <strike val="0"/>
        <condense val="0"/>
        <extend val="0"/>
        <outline val="0"/>
        <shadow val="0"/>
        <u val="none"/>
        <vertAlign val="baseline"/>
        <sz val="10"/>
        <color theme="1"/>
        <name val="Calibri"/>
        <scheme val="minor"/>
      </font>
      <numFmt numFmtId="3" formatCode="#,##0"/>
      <border diagonalUp="0" diagonalDown="0" outline="0">
        <left/>
        <right/>
        <top style="thin">
          <color indexed="64"/>
        </top>
        <bottom style="thin">
          <color indexed="64"/>
        </bottom>
      </border>
    </dxf>
    <dxf>
      <font>
        <i val="0"/>
        <strike val="0"/>
        <outline val="0"/>
        <shadow val="0"/>
        <u val="none"/>
        <vertAlign val="baseline"/>
        <sz val="10"/>
        <color theme="1"/>
        <name val="Calibri"/>
        <scheme val="minor"/>
      </font>
      <numFmt numFmtId="3" formatCode="#,##0"/>
      <border outline="0">
        <right style="thin">
          <color indexed="64"/>
        </right>
      </border>
    </dxf>
    <dxf>
      <font>
        <b/>
        <i val="0"/>
        <strike val="0"/>
        <condense val="0"/>
        <extend val="0"/>
        <outline val="0"/>
        <shadow val="0"/>
        <u val="none"/>
        <vertAlign val="baseline"/>
        <sz val="10"/>
        <color theme="1"/>
        <name val="Calibri"/>
        <scheme val="minor"/>
      </font>
      <numFmt numFmtId="14" formatCode="0.00\ %"/>
      <border diagonalUp="0" diagonalDown="0" outline="0">
        <left/>
        <right/>
        <top style="thin">
          <color indexed="64"/>
        </top>
        <bottom style="thin">
          <color indexed="64"/>
        </bottom>
      </border>
    </dxf>
    <dxf>
      <font>
        <i val="0"/>
        <strike val="0"/>
        <outline val="0"/>
        <shadow val="0"/>
        <u val="none"/>
        <vertAlign val="baseline"/>
        <sz val="10"/>
        <color theme="1"/>
        <name val="Calibri"/>
      </font>
      <numFmt numFmtId="14" formatCode="0.00\ %"/>
    </dxf>
    <dxf>
      <font>
        <b/>
        <i val="0"/>
        <strike val="0"/>
        <condense val="0"/>
        <extend val="0"/>
        <outline val="0"/>
        <shadow val="0"/>
        <u val="none"/>
        <vertAlign val="baseline"/>
        <sz val="10"/>
        <color theme="1"/>
        <name val="Calibri"/>
        <scheme val="minor"/>
      </font>
      <border diagonalUp="0" diagonalDown="0" outline="0">
        <left/>
        <right/>
        <top style="thin">
          <color indexed="64"/>
        </top>
        <bottom style="thin">
          <color indexed="64"/>
        </bottom>
      </border>
    </dxf>
    <dxf>
      <font>
        <i val="0"/>
        <strike val="0"/>
        <outline val="0"/>
        <shadow val="0"/>
        <u val="none"/>
        <vertAlign val="baseline"/>
        <sz val="10"/>
        <color theme="1"/>
        <name val="Calibri"/>
      </font>
      <numFmt numFmtId="0" formatCode="General"/>
    </dxf>
    <dxf>
      <font>
        <b/>
        <i val="0"/>
        <strike val="0"/>
        <condense val="0"/>
        <extend val="0"/>
        <outline val="0"/>
        <shadow val="0"/>
        <u val="none"/>
        <vertAlign val="baseline"/>
        <sz val="10"/>
        <color theme="1"/>
        <name val="Calibri"/>
        <scheme val="minor"/>
      </font>
      <border diagonalUp="0" diagonalDown="0" outline="0">
        <left/>
        <right/>
        <top style="thin">
          <color indexed="64"/>
        </top>
        <bottom style="thin">
          <color indexed="64"/>
        </bottom>
      </border>
    </dxf>
    <dxf>
      <font>
        <i val="0"/>
        <strike val="0"/>
        <outline val="0"/>
        <shadow val="0"/>
        <u val="none"/>
        <vertAlign val="baseline"/>
        <sz val="10"/>
        <color theme="1"/>
        <name val="Calibri"/>
      </font>
      <numFmt numFmtId="168" formatCode="0.00000"/>
    </dxf>
    <dxf>
      <font>
        <b/>
        <i val="0"/>
        <strike val="0"/>
        <condense val="0"/>
        <extend val="0"/>
        <outline val="0"/>
        <shadow val="0"/>
        <u val="none"/>
        <vertAlign val="baseline"/>
        <sz val="10"/>
        <color theme="1"/>
        <name val="Calibri"/>
        <scheme val="minor"/>
      </font>
      <numFmt numFmtId="3" formatCode="#,##0"/>
      <fill>
        <patternFill patternType="none">
          <fgColor indexed="64"/>
          <bgColor indexed="65"/>
        </patternFill>
      </fill>
      <border diagonalUp="0" diagonalDown="0" outline="0">
        <left/>
        <right/>
        <top style="thin">
          <color indexed="64"/>
        </top>
        <bottom style="thin">
          <color indexed="64"/>
        </bottom>
      </border>
    </dxf>
    <dxf>
      <font>
        <i val="0"/>
        <strike val="0"/>
        <outline val="0"/>
        <shadow val="0"/>
        <u val="none"/>
        <vertAlign val="baseline"/>
        <sz val="10"/>
        <color theme="1"/>
        <name val="Calibri"/>
      </font>
      <numFmt numFmtId="3" formatCode="#,##0"/>
    </dxf>
    <dxf>
      <font>
        <b/>
        <i val="0"/>
        <strike val="0"/>
        <condense val="0"/>
        <extend val="0"/>
        <outline val="0"/>
        <shadow val="0"/>
        <u val="none"/>
        <vertAlign val="baseline"/>
        <sz val="10"/>
        <color theme="1"/>
        <name val="Calibri"/>
        <scheme val="minor"/>
      </font>
      <numFmt numFmtId="3" formatCode="#,##0"/>
      <fill>
        <patternFill patternType="none">
          <fgColor indexed="64"/>
          <bgColor indexed="65"/>
        </patternFill>
      </fill>
      <border diagonalUp="0" diagonalDown="0" outline="0">
        <left/>
        <right/>
        <top style="thin">
          <color indexed="64"/>
        </top>
        <bottom style="thin">
          <color indexed="64"/>
        </bottom>
      </border>
    </dxf>
    <dxf>
      <font>
        <b/>
        <i val="0"/>
        <strike val="0"/>
        <condense val="0"/>
        <extend val="0"/>
        <outline val="0"/>
        <shadow val="0"/>
        <u val="none"/>
        <vertAlign val="baseline"/>
        <sz val="10"/>
        <color theme="1"/>
        <name val="Calibri"/>
        <scheme val="minor"/>
      </font>
      <numFmt numFmtId="3" formatCode="#,##0"/>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i val="0"/>
        <strike val="0"/>
        <outline val="0"/>
        <shadow val="0"/>
        <u val="none"/>
        <vertAlign val="baseline"/>
        <sz val="10"/>
        <color theme="1"/>
        <name val="Calibri"/>
      </font>
      <numFmt numFmtId="3" formatCode="#,##0"/>
      <alignment horizontal="right" vertical="bottom" textRotation="0" wrapText="0" indent="0" justifyLastLine="0" shrinkToFit="0" readingOrder="0"/>
      <border diagonalUp="0" diagonalDown="0">
        <left style="thin">
          <color indexed="64"/>
        </left>
        <right/>
        <top/>
        <bottom/>
      </border>
    </dxf>
    <dxf>
      <font>
        <b/>
        <i val="0"/>
        <strike val="0"/>
        <condense val="0"/>
        <extend val="0"/>
        <outline val="0"/>
        <shadow val="0"/>
        <u val="none"/>
        <vertAlign val="baseline"/>
        <sz val="10"/>
        <color theme="1"/>
        <name val="Calibri"/>
        <scheme val="none"/>
      </font>
      <fill>
        <patternFill patternType="none">
          <fgColor indexed="64"/>
          <bgColor indexed="65"/>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scheme val="none"/>
      </font>
      <numFmt numFmtId="0" formatCode="General"/>
      <fill>
        <patternFill patternType="none">
          <fgColor indexed="64"/>
          <bgColor indexed="65"/>
        </patternFill>
      </fill>
    </dxf>
    <dxf>
      <font>
        <b/>
        <i val="0"/>
        <strike val="0"/>
        <condense val="0"/>
        <extend val="0"/>
        <outline val="0"/>
        <shadow val="0"/>
        <u val="none"/>
        <vertAlign val="baseline"/>
        <sz val="10"/>
        <color theme="1"/>
        <name val="Calibri"/>
        <scheme val="none"/>
      </font>
      <fill>
        <patternFill patternType="none">
          <fgColor indexed="64"/>
          <bgColor indexed="65"/>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scheme val="none"/>
      </font>
      <numFmt numFmtId="0" formatCode="General"/>
      <fill>
        <patternFill patternType="none">
          <fgColor indexed="64"/>
          <bgColor indexed="65"/>
        </patternFill>
      </fill>
      <border diagonalUp="0" diagonalDown="0">
        <left/>
        <right style="thin">
          <color indexed="64"/>
        </right>
        <top/>
        <bottom/>
      </border>
    </dxf>
    <dxf>
      <font>
        <b/>
        <i val="0"/>
        <strike val="0"/>
        <condense val="0"/>
        <extend val="0"/>
        <outline val="0"/>
        <shadow val="0"/>
        <u val="none"/>
        <vertAlign val="baseline"/>
        <sz val="10"/>
        <color theme="1"/>
        <name val="Calibri"/>
        <scheme val="none"/>
      </font>
      <fill>
        <patternFill patternType="none">
          <fgColor indexed="64"/>
          <bgColor indexed="65"/>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scheme val="none"/>
      </font>
      <numFmt numFmtId="0" formatCode="General"/>
      <fill>
        <patternFill patternType="none">
          <fgColor indexed="64"/>
          <bgColor indexed="65"/>
        </patternFill>
      </fill>
    </dxf>
    <dxf>
      <font>
        <b/>
        <i val="0"/>
        <strike val="0"/>
        <condense val="0"/>
        <extend val="0"/>
        <outline val="0"/>
        <shadow val="0"/>
        <u val="none"/>
        <vertAlign val="baseline"/>
        <sz val="10"/>
        <color theme="1"/>
        <name val="Calibri"/>
        <scheme val="none"/>
      </font>
      <fill>
        <patternFill patternType="none">
          <fgColor indexed="64"/>
          <bgColor indexed="65"/>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scheme val="none"/>
      </font>
      <numFmt numFmtId="0" formatCode="General"/>
      <fill>
        <patternFill patternType="none">
          <fgColor indexed="64"/>
          <bgColor indexed="65"/>
        </patternFill>
      </fill>
    </dxf>
    <dxf>
      <font>
        <b/>
        <i val="0"/>
        <strike val="0"/>
        <condense val="0"/>
        <extend val="0"/>
        <outline val="0"/>
        <shadow val="0"/>
        <u val="none"/>
        <vertAlign val="baseline"/>
        <sz val="10"/>
        <color theme="1"/>
        <name val="Calibri"/>
        <scheme val="minor"/>
      </font>
      <border diagonalUp="0" diagonalDown="0" outline="0">
        <left/>
        <right/>
        <top style="thin">
          <color indexed="64"/>
        </top>
        <bottom style="thin">
          <color indexed="64"/>
        </bottom>
      </border>
    </dxf>
    <dxf>
      <font>
        <i val="0"/>
        <strike val="0"/>
        <outline val="0"/>
        <shadow val="0"/>
        <u val="none"/>
        <vertAlign val="baseline"/>
        <sz val="10"/>
        <color theme="1"/>
        <name val="Calibri"/>
        <scheme val="none"/>
      </font>
      <numFmt numFmtId="0" formatCode="General"/>
      <fill>
        <patternFill patternType="none">
          <fgColor indexed="64"/>
          <bgColor indexed="65"/>
        </patternFill>
      </fill>
    </dxf>
    <dxf>
      <border>
        <top style="thin">
          <color indexed="64"/>
        </top>
      </border>
    </dxf>
    <dxf>
      <font>
        <b/>
        <strike val="0"/>
        <outline val="0"/>
        <shadow val="0"/>
        <u val="none"/>
        <vertAlign val="baseline"/>
        <sz val="10"/>
      </font>
    </dxf>
    <dxf>
      <font>
        <i val="0"/>
        <strike val="0"/>
        <outline val="0"/>
        <shadow val="0"/>
        <u val="none"/>
        <vertAlign val="baseline"/>
        <sz val="10"/>
        <color theme="1"/>
        <name val="Calibri"/>
      </font>
    </dxf>
    <dxf>
      <font>
        <strike val="0"/>
        <outline val="0"/>
        <shadow val="0"/>
        <u val="none"/>
        <vertAlign val="baseline"/>
        <sz val="10"/>
      </font>
      <alignment vertical="bottom" textRotation="0" indent="0" justifyLastLine="0" shrinkToFit="0" readingOrder="0"/>
    </dxf>
    <dxf>
      <numFmt numFmtId="0" formatCode="General"/>
    </dxf>
    <dxf>
      <numFmt numFmtId="0" formatCode="General"/>
    </dxf>
    <dxf>
      <numFmt numFmtId="0" formatCode="General"/>
    </dxf>
    <dxf>
      <numFmt numFmtId="0" formatCode="General"/>
    </dxf>
    <dxf>
      <numFmt numFmtId="0" formatCode="General"/>
    </dxf>
    <dxf>
      <alignment horizontal="general" vertical="bottom" textRotation="0" wrapText="1" indent="0" justifyLastLine="0" shrinkToFit="0" readingOrder="0"/>
    </dxf>
  </dxfs>
  <tableStyles count="0" defaultTableStyle="TableStyleMedium2" defaultPivotStyle="PivotStyleLight16"/>
  <colors>
    <mruColors>
      <color rgb="FFFF99FF"/>
      <color rgb="FFFF99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304800</xdr:colOff>
      <xdr:row>1</xdr:row>
      <xdr:rowOff>171449</xdr:rowOff>
    </xdr:from>
    <xdr:ext cx="11944350" cy="13103202"/>
    <xdr:sp macro="" textlink="">
      <xdr:nvSpPr>
        <xdr:cNvPr id="2" name="Tekstiruutu 1"/>
        <xdr:cNvSpPr txBox="1"/>
      </xdr:nvSpPr>
      <xdr:spPr>
        <a:xfrm>
          <a:off x="304800" y="361949"/>
          <a:ext cx="11944350" cy="13103202"/>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fi-FI" sz="1100">
            <a:solidFill>
              <a:schemeClr val="tx1"/>
            </a:solidFill>
            <a:effectLst/>
            <a:latin typeface="+mn-lt"/>
            <a:ea typeface="+mn-ea"/>
            <a:cs typeface="+mn-cs"/>
          </a:endParaRPr>
        </a:p>
        <a:p>
          <a:r>
            <a:rPr lang="fi-FI" sz="1100">
              <a:solidFill>
                <a:schemeClr val="tx1"/>
              </a:solidFill>
              <a:effectLst/>
              <a:latin typeface="+mn-lt"/>
              <a:ea typeface="+mn-ea"/>
              <a:cs typeface="+mn-cs"/>
            </a:rPr>
            <a:t>8.11.2019	Rahoituksen simulointimalli ammatillisen koulutuksen järjestäjille</a:t>
          </a:r>
        </a:p>
        <a:p>
          <a:endParaRPr lang="fi-FI" sz="1100">
            <a:solidFill>
              <a:schemeClr val="tx1"/>
            </a:solidFill>
            <a:effectLst/>
            <a:latin typeface="+mn-lt"/>
            <a:ea typeface="+mn-ea"/>
            <a:cs typeface="+mn-cs"/>
          </a:endParaRPr>
        </a:p>
        <a:p>
          <a:r>
            <a:rPr lang="fi-FI" sz="1400" b="1">
              <a:solidFill>
                <a:schemeClr val="tx1"/>
              </a:solidFill>
              <a:effectLst/>
              <a:latin typeface="+mn-lt"/>
              <a:ea typeface="+mn-ea"/>
              <a:cs typeface="+mn-cs"/>
            </a:rPr>
            <a:t>OHJEET</a:t>
          </a:r>
        </a:p>
        <a:p>
          <a:endParaRPr lang="fi-FI" sz="1400">
            <a:solidFill>
              <a:schemeClr val="tx1"/>
            </a:solidFill>
            <a:effectLst/>
            <a:latin typeface="+mn-lt"/>
            <a:ea typeface="+mn-ea"/>
            <a:cs typeface="+mn-cs"/>
          </a:endParaRPr>
        </a:p>
        <a:p>
          <a:r>
            <a:rPr lang="fi-FI" sz="1100" b="1">
              <a:solidFill>
                <a:schemeClr val="tx1"/>
              </a:solidFill>
              <a:effectLst/>
              <a:latin typeface="+mn-lt"/>
              <a:ea typeface="+mn-ea"/>
              <a:cs typeface="+mn-cs"/>
            </a:rPr>
            <a:t>YLEISTÄ</a:t>
          </a:r>
        </a:p>
        <a:p>
          <a:endParaRPr lang="fi-FI" sz="1100">
            <a:solidFill>
              <a:schemeClr val="tx1"/>
            </a:solidFill>
            <a:effectLst/>
            <a:latin typeface="+mn-lt"/>
            <a:ea typeface="+mn-ea"/>
            <a:cs typeface="+mn-cs"/>
          </a:endParaRPr>
        </a:p>
        <a:p>
          <a:r>
            <a:rPr lang="fi-FI" sz="1100">
              <a:solidFill>
                <a:schemeClr val="tx1"/>
              </a:solidFill>
              <a:effectLst/>
              <a:latin typeface="+mn-lt"/>
              <a:ea typeface="+mn-ea"/>
              <a:cs typeface="+mn-cs"/>
            </a:rPr>
            <a:t>Simulointimalli on vuoden 2020 varsinaisen suoritepäätöksen laatimiseen tarkoitettu työkalu, joka on tässä suppeampana versiona koulutuksen järjestäjien omaa rahoituksen ennakointia varten hyödynnettäväksi.</a:t>
          </a:r>
        </a:p>
        <a:p>
          <a:endParaRPr lang="fi-FI" sz="1100">
            <a:solidFill>
              <a:schemeClr val="tx1"/>
            </a:solidFill>
            <a:effectLst/>
            <a:latin typeface="+mn-lt"/>
            <a:ea typeface="+mn-ea"/>
            <a:cs typeface="+mn-cs"/>
          </a:endParaRPr>
        </a:p>
        <a:p>
          <a:r>
            <a:rPr lang="fi-FI" sz="1100">
              <a:solidFill>
                <a:schemeClr val="tx1"/>
              </a:solidFill>
              <a:effectLst/>
              <a:latin typeface="+mn-lt"/>
              <a:ea typeface="+mn-ea"/>
              <a:cs typeface="+mn-cs"/>
            </a:rPr>
            <a:t>Malliin laskennan pohjaksi asetetut euromäärät perustuvat vuoden 2020 talousarvioehdotukseen. Kuitenkin mallissa varsinaisella suoritepäätöksellä jaettava euromäärä, joka lasketaan vähentämällä koko vuoden laskennallisesta rahoituksesta varainhoitovuoden aikana jaettava osuus, on vain simulointimallia varten asetettu euromäärä, ei lopullinen määrä, eikä edes arvio siitä. Edellä olevasta seuraa, että myöskään varsinaisella suoritepäätöksellä jaettava tavoitteellisten opiskelijavuosien määrä mallissa ei todennäköisesti ole se, mitä se lopullisesti tulee olemaan. Myöskään asetettu varsinaisessa suoritepäätöksessä jaettavan harkinnanvaraisen korotuksen osuus ei ole lopullinen toteutuva euromäärä, eikä edes arvio siitä. Harkinnanvaraisen korotuksen osuus tarkentuu suoritepäätöksen valmistelun aikana.</a:t>
          </a:r>
        </a:p>
        <a:p>
          <a:endParaRPr lang="fi-FI" sz="1100">
            <a:solidFill>
              <a:schemeClr val="tx1"/>
            </a:solidFill>
            <a:effectLst/>
            <a:latin typeface="+mn-lt"/>
            <a:ea typeface="+mn-ea"/>
            <a:cs typeface="+mn-cs"/>
          </a:endParaRPr>
        </a:p>
        <a:p>
          <a:r>
            <a:rPr lang="fi-FI" sz="1100" b="1">
              <a:solidFill>
                <a:schemeClr val="tx1"/>
              </a:solidFill>
              <a:effectLst/>
              <a:latin typeface="+mn-lt"/>
              <a:ea typeface="+mn-ea"/>
              <a:cs typeface="+mn-cs"/>
            </a:rPr>
            <a:t>RAKENNE JA KÄYTTÖ</a:t>
          </a:r>
        </a:p>
        <a:p>
          <a:endParaRPr lang="fi-FI" sz="1100">
            <a:solidFill>
              <a:schemeClr val="tx1"/>
            </a:solidFill>
            <a:effectLst/>
            <a:latin typeface="+mn-lt"/>
            <a:ea typeface="+mn-ea"/>
            <a:cs typeface="+mn-cs"/>
          </a:endParaRPr>
        </a:p>
        <a:p>
          <a:r>
            <a:rPr lang="fi-FI" sz="1100">
              <a:solidFill>
                <a:schemeClr val="tx1"/>
              </a:solidFill>
              <a:effectLst/>
              <a:latin typeface="+mn-lt"/>
              <a:ea typeface="+mn-ea"/>
              <a:cs typeface="+mn-cs"/>
            </a:rPr>
            <a:t>Välilehdillä 1.1–1.3 tapahtuu varsinainen simulointi siten, että käyttäjä tekee muutoksia lähinnä välilehdelle 1.2. Välilehdillä 2.1–2.5 ovat puolestaan simuloinnin tausta-aineistona käytettävät rahoitusperusteraportit. Lisäksi välilehdillä 3.1–3.2 ovat muut kuin laskennallisen rahoituksen laskennassa käytetyt taustatiedot.</a:t>
          </a:r>
        </a:p>
        <a:p>
          <a:endParaRPr lang="fi-FI" sz="1100">
            <a:solidFill>
              <a:schemeClr val="tx1"/>
            </a:solidFill>
            <a:effectLst/>
            <a:latin typeface="+mn-lt"/>
            <a:ea typeface="+mn-ea"/>
            <a:cs typeface="+mn-cs"/>
          </a:endParaRPr>
        </a:p>
        <a:p>
          <a:r>
            <a:rPr lang="fi-FI" sz="1100">
              <a:solidFill>
                <a:schemeClr val="tx1"/>
              </a:solidFill>
              <a:effectLst/>
              <a:latin typeface="+mn-lt"/>
              <a:ea typeface="+mn-ea"/>
              <a:cs typeface="+mn-cs"/>
            </a:rPr>
            <a:t>Tarkempi kuvaus välilehdistä:</a:t>
          </a:r>
        </a:p>
        <a:p>
          <a:r>
            <a:rPr lang="fi-FI" sz="1100">
              <a:solidFill>
                <a:schemeClr val="tx1"/>
              </a:solidFill>
              <a:effectLst/>
              <a:latin typeface="+mn-lt"/>
              <a:ea typeface="+mn-ea"/>
              <a:cs typeface="+mn-cs"/>
            </a:rPr>
            <a:t/>
          </a:r>
          <a:br>
            <a:rPr lang="fi-FI" sz="1100">
              <a:solidFill>
                <a:schemeClr val="tx1"/>
              </a:solidFill>
              <a:effectLst/>
              <a:latin typeface="+mn-lt"/>
              <a:ea typeface="+mn-ea"/>
              <a:cs typeface="+mn-cs"/>
            </a:rPr>
          </a:br>
          <a:r>
            <a:rPr lang="fi-FI" sz="1100" b="1">
              <a:solidFill>
                <a:schemeClr val="tx1"/>
              </a:solidFill>
              <a:effectLst/>
              <a:latin typeface="+mn-lt"/>
              <a:ea typeface="+mn-ea"/>
              <a:cs typeface="+mn-cs"/>
            </a:rPr>
            <a:t>1.1 Jakotaulu</a:t>
          </a:r>
          <a:endParaRPr lang="fi-FI" sz="1100">
            <a:solidFill>
              <a:schemeClr val="tx1"/>
            </a:solidFill>
            <a:effectLst/>
            <a:latin typeface="+mn-lt"/>
            <a:ea typeface="+mn-ea"/>
            <a:cs typeface="+mn-cs"/>
          </a:endParaRPr>
        </a:p>
        <a:p>
          <a:r>
            <a:rPr lang="fi-FI" sz="1100">
              <a:solidFill>
                <a:schemeClr val="tx1"/>
              </a:solidFill>
              <a:effectLst/>
              <a:latin typeface="+mn-lt"/>
              <a:ea typeface="+mn-ea"/>
              <a:cs typeface="+mn-cs"/>
            </a:rPr>
            <a:t>Jakotaulussa määritellään laskennan pohjaksi ammatillisen koulutuksen rahoituksen kokonaiskuva sekä summien jakautuminen eri rahoitusperusteiden alle. Keltaisella pohjalla olevissa soluissa on lähtöjoukko, joiden perusteella muut solut määräytyvät. Niistä </a:t>
          </a:r>
          <a:r>
            <a:rPr lang="fi-FI" sz="1100" i="1">
              <a:solidFill>
                <a:schemeClr val="tx1"/>
              </a:solidFill>
              <a:effectLst/>
              <a:latin typeface="+mn-lt"/>
              <a:ea typeface="+mn-ea"/>
              <a:cs typeface="+mn-cs"/>
            </a:rPr>
            <a:t>Ammatillisen koulutuksen rahoitus pl. alv</a:t>
          </a:r>
          <a:r>
            <a:rPr lang="fi-FI" sz="1100">
              <a:solidFill>
                <a:schemeClr val="tx1"/>
              </a:solidFill>
              <a:effectLst/>
              <a:latin typeface="+mn-lt"/>
              <a:ea typeface="+mn-ea"/>
              <a:cs typeface="+mn-cs"/>
            </a:rPr>
            <a:t> sekä </a:t>
          </a:r>
          <a:r>
            <a:rPr lang="fi-FI" sz="1100" i="1">
              <a:solidFill>
                <a:schemeClr val="tx1"/>
              </a:solidFill>
              <a:effectLst/>
              <a:latin typeface="+mn-lt"/>
              <a:ea typeface="+mn-ea"/>
              <a:cs typeface="+mn-cs"/>
            </a:rPr>
            <a:t>Strategiarahoitus</a:t>
          </a:r>
          <a:r>
            <a:rPr lang="fi-FI" sz="1100">
              <a:solidFill>
                <a:schemeClr val="tx1"/>
              </a:solidFill>
              <a:effectLst/>
              <a:latin typeface="+mn-lt"/>
              <a:ea typeface="+mn-ea"/>
              <a:cs typeface="+mn-cs"/>
            </a:rPr>
            <a:t> ovat hallituksen vuoden 2020 talousarvioesityksen mukaisia ja taulukon oikean reunan prosentti- ja murtolukuosuudet ministeriön asetusten mukaisia. </a:t>
          </a:r>
          <a:r>
            <a:rPr lang="fi-FI" sz="1100" i="1">
              <a:solidFill>
                <a:schemeClr val="tx1"/>
              </a:solidFill>
              <a:effectLst/>
              <a:latin typeface="+mn-lt"/>
              <a:ea typeface="+mn-ea"/>
              <a:cs typeface="+mn-cs"/>
            </a:rPr>
            <a:t>Arvonlisäverokorvaus</a:t>
          </a:r>
          <a:r>
            <a:rPr lang="fi-FI" sz="1100">
              <a:solidFill>
                <a:schemeClr val="tx1"/>
              </a:solidFill>
              <a:effectLst/>
              <a:latin typeface="+mn-lt"/>
              <a:ea typeface="+mn-ea"/>
              <a:cs typeface="+mn-cs"/>
            </a:rPr>
            <a:t> on sen sijaan tämänhetkinen arvio, ja </a:t>
          </a:r>
          <a:r>
            <a:rPr lang="fi-FI" sz="1100" i="1">
              <a:solidFill>
                <a:schemeClr val="tx1"/>
              </a:solidFill>
              <a:effectLst/>
              <a:latin typeface="+mn-lt"/>
              <a:ea typeface="+mn-ea"/>
              <a:cs typeface="+mn-cs"/>
            </a:rPr>
            <a:t>Varainhoitovuoden jakovara ja oikaisuvähennys</a:t>
          </a:r>
          <a:r>
            <a:rPr lang="fi-FI" sz="1100">
              <a:solidFill>
                <a:schemeClr val="tx1"/>
              </a:solidFill>
              <a:effectLst/>
              <a:latin typeface="+mn-lt"/>
              <a:ea typeface="+mn-ea"/>
              <a:cs typeface="+mn-cs"/>
            </a:rPr>
            <a:t> sekä </a:t>
          </a:r>
          <a:r>
            <a:rPr lang="fi-FI" sz="1100" i="1">
              <a:solidFill>
                <a:schemeClr val="tx1"/>
              </a:solidFill>
              <a:effectLst/>
              <a:latin typeface="+mn-lt"/>
              <a:ea typeface="+mn-ea"/>
              <a:cs typeface="+mn-cs"/>
            </a:rPr>
            <a:t>Harkinnanvarainen perusrahoitus</a:t>
          </a:r>
          <a:r>
            <a:rPr lang="fi-FI" sz="1100">
              <a:solidFill>
                <a:schemeClr val="tx1"/>
              </a:solidFill>
              <a:effectLst/>
              <a:latin typeface="+mn-lt"/>
              <a:ea typeface="+mn-ea"/>
              <a:cs typeface="+mn-cs"/>
            </a:rPr>
            <a:t> ovat vain tähän esimerkinomaisesti asetettuja oletuksia. Lisäksi taulukon alaosassa on niin ikään esimerkinomaisesti laskettu arvio suoritepäätöksellä jaettavien opiskelijavuosien enimmäismäärästä. Arvio on laskettu siten, että talousarvioesityksen tavoitteellisten opiskelijavuosien enimmäismäärästä (179500) on vähennetty varainhoitovuodelle jätettyä 30 miljoonaa euroa vastaava laskennallinen osuus (2,47 %) opiskelijavuosien enimmäismäärästä sekä järjestämislupien opiskelijavuosien vähimmäismäärä (159291). Ministeriön suoritepäätös voi kuitenkin poiketa näistä oletuksista ja arvioista.</a:t>
          </a:r>
        </a:p>
        <a:p>
          <a:r>
            <a:rPr lang="fi-FI" sz="1100">
              <a:solidFill>
                <a:schemeClr val="tx1"/>
              </a:solidFill>
              <a:effectLst/>
              <a:latin typeface="+mn-lt"/>
              <a:ea typeface="+mn-ea"/>
              <a:cs typeface="+mn-cs"/>
            </a:rPr>
            <a:t>Simulointimallin käyttäjän ei tarvitse muokata tämän välilehden lukuja vuoden 2020 rahoitusta simuloidessa.</a:t>
          </a:r>
        </a:p>
        <a:p>
          <a:endParaRPr lang="fi-FI" sz="1100" b="1">
            <a:solidFill>
              <a:schemeClr val="tx1"/>
            </a:solidFill>
            <a:effectLst/>
            <a:latin typeface="+mn-lt"/>
            <a:ea typeface="+mn-ea"/>
            <a:cs typeface="+mn-cs"/>
          </a:endParaRPr>
        </a:p>
        <a:p>
          <a:r>
            <a:rPr lang="fi-FI" sz="1100" b="1">
              <a:solidFill>
                <a:schemeClr val="tx1"/>
              </a:solidFill>
              <a:effectLst/>
              <a:latin typeface="+mn-lt"/>
              <a:ea typeface="+mn-ea"/>
              <a:cs typeface="+mn-cs"/>
            </a:rPr>
            <a:t>1.2</a:t>
          </a:r>
          <a:r>
            <a:rPr lang="fi-FI" sz="1100" b="1" baseline="0">
              <a:solidFill>
                <a:schemeClr val="tx1"/>
              </a:solidFill>
              <a:effectLst/>
              <a:latin typeface="+mn-lt"/>
              <a:ea typeface="+mn-ea"/>
              <a:cs typeface="+mn-cs"/>
            </a:rPr>
            <a:t> </a:t>
          </a:r>
          <a:r>
            <a:rPr lang="fi-FI" sz="1100" b="1">
              <a:solidFill>
                <a:schemeClr val="tx1"/>
              </a:solidFill>
              <a:effectLst/>
              <a:latin typeface="+mn-lt"/>
              <a:ea typeface="+mn-ea"/>
              <a:cs typeface="+mn-cs"/>
            </a:rPr>
            <a:t>Ohjaus-laskentataulu</a:t>
          </a:r>
          <a:endParaRPr lang="fi-FI" sz="1100">
            <a:solidFill>
              <a:schemeClr val="tx1"/>
            </a:solidFill>
            <a:effectLst/>
            <a:latin typeface="+mn-lt"/>
            <a:ea typeface="+mn-ea"/>
            <a:cs typeface="+mn-cs"/>
          </a:endParaRPr>
        </a:p>
        <a:p>
          <a:r>
            <a:rPr lang="fi-FI" sz="1100">
              <a:solidFill>
                <a:schemeClr val="tx1"/>
              </a:solidFill>
              <a:effectLst/>
              <a:latin typeface="+mn-lt"/>
              <a:ea typeface="+mn-ea"/>
              <a:cs typeface="+mn-cs"/>
            </a:rPr>
            <a:t>Ohjaus-laskentataulu on simulointimallin keskeisin välilehti, jolla tapahtuu laskennallisen rahoituksen arviointi perustuen jakotaulussa määriteltyihin euromääriin sekä rahoitusperusteraporttien suoritetietoihin.</a:t>
          </a:r>
        </a:p>
        <a:p>
          <a:r>
            <a:rPr lang="fi-FI" sz="1100">
              <a:solidFill>
                <a:schemeClr val="tx1"/>
              </a:solidFill>
              <a:effectLst/>
              <a:latin typeface="+mn-lt"/>
              <a:ea typeface="+mn-ea"/>
              <a:cs typeface="+mn-cs"/>
            </a:rPr>
            <a:t>Perusrahoituksen tavoitteellisten opiskelijavuosien osalta </a:t>
          </a:r>
          <a:r>
            <a:rPr lang="fi-FI" sz="1100" i="1">
              <a:solidFill>
                <a:schemeClr val="tx1"/>
              </a:solidFill>
              <a:effectLst/>
              <a:latin typeface="+mn-lt"/>
              <a:ea typeface="+mn-ea"/>
              <a:cs typeface="+mn-cs"/>
            </a:rPr>
            <a:t>Järjestämisluvan opiskelijavuosien vähimmäismäärä</a:t>
          </a:r>
          <a:r>
            <a:rPr lang="fi-FI" sz="1100">
              <a:solidFill>
                <a:schemeClr val="tx1"/>
              </a:solidFill>
              <a:effectLst/>
              <a:latin typeface="+mn-lt"/>
              <a:ea typeface="+mn-ea"/>
              <a:cs typeface="+mn-cs"/>
            </a:rPr>
            <a:t> on asetettu taulukkoon vuoden 2019 tason mukaisena, ja se tulee pysymään kaikilla järjestäjillä samana myös vuonna 2020. Sen sijaan </a:t>
          </a:r>
          <a:r>
            <a:rPr lang="fi-FI" sz="1100" i="1">
              <a:solidFill>
                <a:schemeClr val="tx1"/>
              </a:solidFill>
              <a:effectLst/>
              <a:latin typeface="+mn-lt"/>
              <a:ea typeface="+mn-ea"/>
              <a:cs typeface="+mn-cs"/>
            </a:rPr>
            <a:t>Suoritepäätöksellä jaetut opiskelijavuodet (luvan ylittävä osuus)</a:t>
          </a:r>
          <a:r>
            <a:rPr lang="fi-FI" sz="1100">
              <a:solidFill>
                <a:schemeClr val="tx1"/>
              </a:solidFill>
              <a:effectLst/>
              <a:latin typeface="+mn-lt"/>
              <a:ea typeface="+mn-ea"/>
              <a:cs typeface="+mn-cs"/>
            </a:rPr>
            <a:t> tulee osalla järjestäjistä olemaan eri kuin viime vuonna. Siksi on päätöstä edeltävää arviointia varten asetettu kaikille järjestäjille pohjaksi nolla. Tämän sarakkeeseen (G) soluihin simulointimallin käyttäjä voi arvioida itse mahdollisen järjestämisluvan ylittävän opiskelijavuosimäärän simuloidakseen kunkin järjestäjän rahoitusta vuodelle 2020. Mikäli muutoksia sarakkeeseen ei tee, rahoitus näyttäytyy mallissa tulevaa päätöstä pienempänä niiden järjestäjien osalta, joilla päätöksellä tullaan jakamaan järjestämisluvan ylittäviä opiskelijavuosia. Alimpana järjestäjänä malliin on kirjattu </a:t>
          </a:r>
          <a:r>
            <a:rPr lang="fi-FI" sz="1100" i="1">
              <a:solidFill>
                <a:schemeClr val="tx1"/>
              </a:solidFill>
              <a:effectLst/>
              <a:latin typeface="+mn-lt"/>
              <a:ea typeface="+mn-ea"/>
              <a:cs typeface="+mn-cs"/>
            </a:rPr>
            <a:t>Muu järjestäjä</a:t>
          </a:r>
          <a:r>
            <a:rPr lang="fi-FI" sz="1100">
              <a:solidFill>
                <a:schemeClr val="tx1"/>
              </a:solidFill>
              <a:effectLst/>
              <a:latin typeface="+mn-lt"/>
              <a:ea typeface="+mn-ea"/>
              <a:cs typeface="+mn-cs"/>
            </a:rPr>
            <a:t>, joka tasaa laskentaa siten että tavoitteellisten opiskelijavuosien summa on kokonaisuudessa tasolla, joka vastaa jakotaulussa laskettua arviota.</a:t>
          </a:r>
        </a:p>
        <a:p>
          <a:r>
            <a:rPr lang="fi-FI" sz="1100">
              <a:solidFill>
                <a:schemeClr val="tx1"/>
              </a:solidFill>
              <a:effectLst/>
              <a:latin typeface="+mn-lt"/>
              <a:ea typeface="+mn-ea"/>
              <a:cs typeface="+mn-cs"/>
            </a:rPr>
            <a:t>Muut suoriteperusteisen laskennallisen rahoituksen määrittävät tekijät, eli profiilikerroin sekä suoritus- ja vaikutusrahoituksen painotetut pisteet, tulevat malliin rahoitusperusteraporteista, jotka ovat 31.10.2019 tasolle jäädytettyjä Koski-järjestelmän lukuja.</a:t>
          </a:r>
        </a:p>
        <a:p>
          <a:r>
            <a:rPr lang="fi-FI" sz="1100">
              <a:solidFill>
                <a:schemeClr val="tx1"/>
              </a:solidFill>
              <a:effectLst/>
              <a:latin typeface="+mn-lt"/>
              <a:ea typeface="+mn-ea"/>
              <a:cs typeface="+mn-cs"/>
            </a:rPr>
            <a:t>Suoriteperusteisen osuuden lisäksi laskennallinen rahoitus koostuu perusrahoituksen harkinnanvaraisesta korotuksesta. Suoritepäätöksellä jaettavien järjestämisluvan ylittävien opiskelijavuosien tapaan on korotukseksi asetettu päätöstä edeltävän arvioinnin pohjaksi nolla, jota simulointimallin käyttäjä voi itse korottaa harkintansa mukaan sarakkeen (AA) soluihin. Jälleen </a:t>
          </a:r>
          <a:r>
            <a:rPr lang="fi-FI" sz="1100" i="1">
              <a:solidFill>
                <a:schemeClr val="tx1"/>
              </a:solidFill>
              <a:effectLst/>
              <a:latin typeface="+mn-lt"/>
              <a:ea typeface="+mn-ea"/>
              <a:cs typeface="+mn-cs"/>
            </a:rPr>
            <a:t>Muu järjestäjä</a:t>
          </a:r>
          <a:r>
            <a:rPr lang="fi-FI" sz="1100">
              <a:solidFill>
                <a:schemeClr val="tx1"/>
              </a:solidFill>
              <a:effectLst/>
              <a:latin typeface="+mn-lt"/>
              <a:ea typeface="+mn-ea"/>
              <a:cs typeface="+mn-cs"/>
            </a:rPr>
            <a:t> rivi tasapainottaa laskentaa siten, että varsinaisen suoritepäätöksen harkinnanvarainen korotus pysyy kokonaisuudessa tasolla, joka vastaa jakotaulussa asetettua oletusta.</a:t>
          </a:r>
        </a:p>
        <a:p>
          <a:r>
            <a:rPr lang="fi-FI" sz="1100">
              <a:solidFill>
                <a:schemeClr val="tx1"/>
              </a:solidFill>
              <a:effectLst/>
              <a:latin typeface="+mn-lt"/>
              <a:ea typeface="+mn-ea"/>
              <a:cs typeface="+mn-cs"/>
            </a:rPr>
            <a:t>Välilehden oikeassa reunassa on vielä vedetty yhteen aiempien sarakkeiden summia, esitetty järjestäjien OPH:lle vahvistama arvonlisäverokulujen taso sekä lopuksi summattu yhteen arvio simuloidun laskennallisen rahoituksen sekä arvonlisäverokompensaation muodostamasta kokonaisuudesta.</a:t>
          </a:r>
        </a:p>
        <a:p>
          <a:endParaRPr lang="fi-FI" sz="1100" b="1">
            <a:solidFill>
              <a:schemeClr val="tx1"/>
            </a:solidFill>
            <a:effectLst/>
            <a:latin typeface="+mn-lt"/>
            <a:ea typeface="+mn-ea"/>
            <a:cs typeface="+mn-cs"/>
          </a:endParaRPr>
        </a:p>
        <a:p>
          <a:r>
            <a:rPr lang="fi-FI" sz="1100" b="1">
              <a:solidFill>
                <a:schemeClr val="tx1"/>
              </a:solidFill>
              <a:effectLst/>
              <a:latin typeface="+mn-lt"/>
              <a:ea typeface="+mn-ea"/>
              <a:cs typeface="+mn-cs"/>
            </a:rPr>
            <a:t>1.3</a:t>
          </a:r>
          <a:r>
            <a:rPr lang="fi-FI" sz="1100" b="1" baseline="0">
              <a:solidFill>
                <a:schemeClr val="tx1"/>
              </a:solidFill>
              <a:effectLst/>
              <a:latin typeface="+mn-lt"/>
              <a:ea typeface="+mn-ea"/>
              <a:cs typeface="+mn-cs"/>
            </a:rPr>
            <a:t> </a:t>
          </a:r>
          <a:r>
            <a:rPr lang="fi-FI" sz="1100" b="1">
              <a:solidFill>
                <a:schemeClr val="tx1"/>
              </a:solidFill>
              <a:effectLst/>
              <a:latin typeface="+mn-lt"/>
              <a:ea typeface="+mn-ea"/>
              <a:cs typeface="+mn-cs"/>
            </a:rPr>
            <a:t>Vertailulukuja</a:t>
          </a:r>
          <a:endParaRPr lang="fi-FI" sz="1100">
            <a:solidFill>
              <a:schemeClr val="tx1"/>
            </a:solidFill>
            <a:effectLst/>
            <a:latin typeface="+mn-lt"/>
            <a:ea typeface="+mn-ea"/>
            <a:cs typeface="+mn-cs"/>
          </a:endParaRPr>
        </a:p>
        <a:p>
          <a:r>
            <a:rPr lang="fi-FI" sz="1100">
              <a:solidFill>
                <a:schemeClr val="tx1"/>
              </a:solidFill>
              <a:effectLst/>
              <a:latin typeface="+mn-lt"/>
              <a:ea typeface="+mn-ea"/>
              <a:cs typeface="+mn-cs"/>
            </a:rPr>
            <a:t>Vertailulukuvälilehdellä voi verrata järjestäjittäin ohjaus-laskentataulun kautta simuloitua rahoitusta vuoden 2019 varsinaiseen suoritepäätökseen (huomaa, ettei vertailukohtana ole koko vuoden 2019 rahoitus) ja hahmotella mahdollista tulevaa rahoitustason muutosta. Tämä vertailu on jaettu kolmeen osaan, joista ensimmäisessä on ainoastaan suoriteperusteinen laskennallinen rahoitus ilman harkinnanvaraista perusrahoituksen korotusta, toisessa on koko laskennallinen rahoitus ja kolmannessa laskennallinen rahoitus sekä alv-korvaus. Harkinnanvaraisen korotuksen sisältävä summa on käytännön kannalta keskeisin vertailuluku, mutta sen pois lukevaa summaa voi hyödyntää silloin, kun ei halua ottaa kantaa harkinnanvaraisen korotuksen simulointiin. Kaikkiin esitettyihin rahoitusmuutoksiin on kuitenkin suhtauduttava varauksella ja muistettava em. simulointiin liittyvä epävarmuus. Myöskään ei pidä hätkähtää yksittäisten järjestäjien rahoituksessa suurelta näyttäviä muutoksia, jotka voivat johtua simuloinnin pohjana nolliksi asetetuista suoritepäätöksellä jaettavista opiskelijavuosista.</a:t>
          </a:r>
        </a:p>
        <a:p>
          <a:r>
            <a:rPr lang="fi-FI" sz="1100">
              <a:solidFill>
                <a:schemeClr val="tx1"/>
              </a:solidFill>
              <a:effectLst/>
              <a:latin typeface="+mn-lt"/>
              <a:ea typeface="+mn-ea"/>
              <a:cs typeface="+mn-cs"/>
            </a:rPr>
            <a:t>Simulointimallin käyttäjän ei tarvitse muokata tämän välilehden lukuja lainkaan.</a:t>
          </a:r>
        </a:p>
        <a:p>
          <a:endParaRPr lang="fi-FI" sz="1100">
            <a:solidFill>
              <a:schemeClr val="tx1"/>
            </a:solidFill>
            <a:effectLst/>
            <a:latin typeface="+mn-lt"/>
            <a:ea typeface="+mn-ea"/>
            <a:cs typeface="+mn-cs"/>
          </a:endParaRPr>
        </a:p>
        <a:p>
          <a:r>
            <a:rPr lang="fi-FI" sz="1100" b="1">
              <a:solidFill>
                <a:schemeClr val="tx1"/>
              </a:solidFill>
              <a:effectLst/>
              <a:latin typeface="+mn-lt"/>
              <a:ea typeface="+mn-ea"/>
              <a:cs typeface="+mn-cs"/>
            </a:rPr>
            <a:t>2.1</a:t>
          </a:r>
          <a:r>
            <a:rPr lang="fi-FI" sz="1100">
              <a:solidFill>
                <a:schemeClr val="tx1"/>
              </a:solidFill>
              <a:effectLst/>
              <a:latin typeface="+mn-lt"/>
              <a:ea typeface="+mn-ea"/>
              <a:cs typeface="+mn-cs"/>
            </a:rPr>
            <a:t>–</a:t>
          </a:r>
          <a:r>
            <a:rPr lang="fi-FI" sz="1100" b="1">
              <a:solidFill>
                <a:schemeClr val="tx1"/>
              </a:solidFill>
              <a:effectLst/>
              <a:latin typeface="+mn-lt"/>
              <a:ea typeface="+mn-ea"/>
              <a:cs typeface="+mn-cs"/>
            </a:rPr>
            <a:t>2.5 Rahoitusperusteraportit</a:t>
          </a:r>
          <a:endParaRPr lang="fi-FI" sz="1100">
            <a:solidFill>
              <a:schemeClr val="tx1"/>
            </a:solidFill>
            <a:effectLst/>
            <a:latin typeface="+mn-lt"/>
            <a:ea typeface="+mn-ea"/>
            <a:cs typeface="+mn-cs"/>
          </a:endParaRPr>
        </a:p>
        <a:p>
          <a:r>
            <a:rPr lang="fi-FI" sz="1100">
              <a:solidFill>
                <a:schemeClr val="tx1"/>
              </a:solidFill>
              <a:effectLst/>
              <a:latin typeface="+mn-lt"/>
              <a:ea typeface="+mn-ea"/>
              <a:cs typeface="+mn-cs"/>
            </a:rPr>
            <a:t>Näille välilehdille on tuotu sellaisenaan Vipunen-portaalin kautta julkaistujen rahoitusperusteraporttien tiedot. Linkit raportteihin koottu ministeriön sivuille osoitteeseen </a:t>
          </a:r>
          <a:r>
            <a:rPr lang="fi-FI" sz="1100" u="sng">
              <a:solidFill>
                <a:schemeClr val="tx1"/>
              </a:solidFill>
              <a:effectLst/>
              <a:latin typeface="+mn-lt"/>
              <a:ea typeface="+mn-ea"/>
              <a:cs typeface="+mn-cs"/>
              <a:hlinkClick xmlns:r="http://schemas.openxmlformats.org/officeDocument/2006/relationships" r:id=""/>
            </a:rPr>
            <a:t>https://minedu.fi/ammatillinen-koulutus/paatosten-valmisteluraportit</a:t>
          </a:r>
          <a:r>
            <a:rPr lang="fi-FI" sz="1100">
              <a:solidFill>
                <a:schemeClr val="tx1"/>
              </a:solidFill>
              <a:effectLst/>
              <a:latin typeface="+mn-lt"/>
              <a:ea typeface="+mn-ea"/>
              <a:cs typeface="+mn-cs"/>
            </a:rPr>
            <a:t> Lisätietoa raporttien sisällöstä löytyy puolestaan kunkin raportin oikean reunan palkissa sijaitsevasta Raporttiselitteestä. Ohjaus-laskentataulu hakee raporttivälilehdiltä perusrahoituksen laskennassa käytetyn profiilikertoimen sekä suoritus- ja vaikuttavuusrahoituksen laskennassa käytetyt painotetut pisteet. On syytä huomioida, että rahoitusperusteraportit on viety simulointimalliin arvomuotoisina tietoina, eikä raporttien soluissa tapahdu kaavalaskentaa. Siis yksityiskohtaisia suoritetietoja manipuloimalla ei voi simuloida painotettujen pisteiden tasoa, vaan em. ohjaus-laskentatauluun haetut tiedot ovat alin taso, jolla käyttäjä voi tehdä muutoksia simulointimalliin.</a:t>
          </a:r>
        </a:p>
        <a:p>
          <a:endParaRPr lang="fi-FI" sz="1100">
            <a:solidFill>
              <a:schemeClr val="tx1"/>
            </a:solidFill>
            <a:effectLst/>
            <a:latin typeface="+mn-lt"/>
            <a:ea typeface="+mn-ea"/>
            <a:cs typeface="+mn-cs"/>
          </a:endParaRPr>
        </a:p>
        <a:p>
          <a:r>
            <a:rPr lang="fi-FI" sz="1100" b="1">
              <a:solidFill>
                <a:schemeClr val="tx1"/>
              </a:solidFill>
              <a:effectLst/>
              <a:latin typeface="+mn-lt"/>
              <a:ea typeface="+mn-ea"/>
              <a:cs typeface="+mn-cs"/>
            </a:rPr>
            <a:t>3.1 Arvonlisäverokorvaus vahvistettu</a:t>
          </a:r>
          <a:endParaRPr lang="fi-FI" sz="1100">
            <a:solidFill>
              <a:schemeClr val="tx1"/>
            </a:solidFill>
            <a:effectLst/>
            <a:latin typeface="+mn-lt"/>
            <a:ea typeface="+mn-ea"/>
            <a:cs typeface="+mn-cs"/>
          </a:endParaRPr>
        </a:p>
        <a:p>
          <a:r>
            <a:rPr lang="fi-FI" sz="1100">
              <a:solidFill>
                <a:schemeClr val="tx1"/>
              </a:solidFill>
              <a:effectLst/>
              <a:latin typeface="+mn-lt"/>
              <a:ea typeface="+mn-ea"/>
              <a:cs typeface="+mn-cs"/>
            </a:rPr>
            <a:t>Välilehdelle on tuotu järjestäjien OPH:lle vahvistamien arvonlisäverokulujen taso vuodelta 2018. Nämä korvataan täysimääräisesti vuodesta 2020 alkaen, eikä alv-korvaus vaikuta mitenkään laskennallisen rahoituksen muodostumiseen tai toisin päin. Korvaus on mukana simulointimallissa ainoastaan, jotta rahoituksen kokonaisuus olisi helpommin hahmotettavissa.</a:t>
          </a:r>
        </a:p>
        <a:p>
          <a:endParaRPr lang="fi-FI" sz="1100">
            <a:solidFill>
              <a:schemeClr val="tx1"/>
            </a:solidFill>
            <a:effectLst/>
            <a:latin typeface="+mn-lt"/>
            <a:ea typeface="+mn-ea"/>
            <a:cs typeface="+mn-cs"/>
          </a:endParaRPr>
        </a:p>
        <a:p>
          <a:r>
            <a:rPr lang="fi-FI" sz="1100" b="1">
              <a:solidFill>
                <a:schemeClr val="tx1"/>
              </a:solidFill>
              <a:effectLst/>
              <a:latin typeface="+mn-lt"/>
              <a:ea typeface="+mn-ea"/>
              <a:cs typeface="+mn-cs"/>
            </a:rPr>
            <a:t>3.2 Suoritepäätös 2019</a:t>
          </a:r>
          <a:endParaRPr lang="fi-FI" sz="1100">
            <a:solidFill>
              <a:schemeClr val="tx1"/>
            </a:solidFill>
            <a:effectLst/>
            <a:latin typeface="+mn-lt"/>
            <a:ea typeface="+mn-ea"/>
            <a:cs typeface="+mn-cs"/>
          </a:endParaRPr>
        </a:p>
        <a:p>
          <a:r>
            <a:rPr lang="fi-FI" sz="1100">
              <a:solidFill>
                <a:schemeClr val="tx1"/>
              </a:solidFill>
              <a:effectLst/>
              <a:latin typeface="+mn-lt"/>
              <a:ea typeface="+mn-ea"/>
              <a:cs typeface="+mn-cs"/>
            </a:rPr>
            <a:t>Välilehdelle on tuotu vuoden 2019 varsinainen suoritepäätös, josta vertailulukuvälilehti hakee vertailutiedot. Suoritepäätöstä voi käyttää myös suoritteiden tason muutosten tarkasteluun tai ohjaus-laskentataulun kautta tehtävän simuloinnin avuksi (käyttäjä voi esimerkiksi ottaa halutessaan simuloinnin lähtökohdaksi 2019 mukaiset järjestämisluvan ylittävät tavoitteelliset opiskelijavuodet tai harkinnanvaraisen korotuksen).</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3118576/Work%20Folders/Tiedostot%20Johannes/Kopio%20SIIRTOTIEDOSTO_OKM5AMOS_SUORITEP&#196;&#196;T&#214;SLASKENTAMALLI_2019_PAAKAYTTAJA_ver_1-0_12122018lopulline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nsilehti"/>
      <sheetName val="Ohjaus-Laskentataulu"/>
      <sheetName val="Jakotaulu"/>
      <sheetName val="Fuusiot"/>
      <sheetName val="Roolikartta"/>
      <sheetName val="Koski_opv"/>
      <sheetName val="Rajapinta_lukuarvot"/>
      <sheetName val="R-aineistot"/>
      <sheetName val="(Sarakkeet)"/>
    </sheetNames>
    <sheetDataSet>
      <sheetData sheetId="0"/>
      <sheetData sheetId="1"/>
      <sheetData sheetId="2"/>
      <sheetData sheetId="3">
        <row r="1">
          <cell r="C1">
            <v>9</v>
          </cell>
        </row>
      </sheetData>
      <sheetData sheetId="4"/>
      <sheetData sheetId="5"/>
      <sheetData sheetId="6"/>
      <sheetData sheetId="7"/>
      <sheetData sheetId="8"/>
    </sheetDataSet>
  </externalBook>
</externalLink>
</file>

<file path=xl/tables/table1.xml><?xml version="1.0" encoding="utf-8"?>
<table xmlns="http://schemas.openxmlformats.org/spreadsheetml/2006/main" id="9" name="Järj.10" displayName="Järj.10" ref="A3:J160" totalsRowShown="0" headerRowDxfId="107">
  <autoFilter ref="A3:J160"/>
  <sortState ref="A4:E163">
    <sortCondition ref="B3:B163"/>
  </sortState>
  <tableColumns count="10">
    <tableColumn id="1" name="Y-tunnus"/>
    <tableColumn id="2" name="Koulutuksen järjestäjä"/>
    <tableColumn id="7" name="Kotipaikan maakunnan koodi" dataDxfId="106"/>
    <tableColumn id="3" name="Kotipaikkakunnan maakunta"/>
    <tableColumn id="9" name="Toiminta-alueen pääasiallinen maakuntakoodi" dataDxfId="105"/>
    <tableColumn id="8" name="Toiminta-alueen pääasiallinen maakunta" dataDxfId="104"/>
    <tableColumn id="4" name="Omistajatyypin koodi"/>
    <tableColumn id="10" name="Omistajatyyppi" dataDxfId="103"/>
    <tableColumn id="11" name="Kielen koodi"/>
    <tableColumn id="5" name="Kieli" dataDxfId="102"/>
  </tableColumns>
  <tableStyleInfo name="TableStyleMedium2" showFirstColumn="0" showLastColumn="0" showRowStripes="1" showColumnStripes="0"/>
</table>
</file>

<file path=xl/tables/table2.xml><?xml version="1.0" encoding="utf-8"?>
<table xmlns="http://schemas.openxmlformats.org/spreadsheetml/2006/main" id="1" name="Ohj.lask." displayName="Ohj.lask." ref="A5:AG157" totalsRowCount="1" headerRowDxfId="101" dataDxfId="100" totalsRowDxfId="99" totalsRowBorderDxfId="98">
  <autoFilter ref="A5:AG156"/>
  <tableColumns count="33">
    <tableColumn id="62" name="Y-tunnus" totalsRowLabel="Yhteensä" dataDxfId="97" totalsRowDxfId="96"/>
    <tableColumn id="1" name="Nimi" totalsRowFunction="custom" dataDxfId="95" totalsRowDxfId="94">
      <totalsRowFormula>COUNTIF(Ohj.lask.[Nimi],"?*")-1</totalsRowFormula>
    </tableColumn>
    <tableColumn id="73" name="Maakunta" dataDxfId="93" totalsRowDxfId="92"/>
    <tableColumn id="72" name="Omistajatyyppi" dataDxfId="91" totalsRowDxfId="90"/>
    <tableColumn id="43" name="Kieli" dataDxfId="89" totalsRowDxfId="88"/>
    <tableColumn id="2" name="Järjestämisluvan opisk.vuosien vähimmäismäärä" totalsRowFunction="sum" dataDxfId="87" totalsRowDxfId="86"/>
    <tableColumn id="3" name="Suoritepäätöksellä jaettavat opv:t (luvan ylittävä osuus)" totalsRowFunction="sum" totalsRowDxfId="85">
      <calculatedColumnFormula>0</calculatedColumnFormula>
    </tableColumn>
    <tableColumn id="4" name="Tavoitteelliset opiske-lijavuodet" totalsRowFunction="sum" dataDxfId="84" totalsRowDxfId="83">
      <calculatedColumnFormula>IFERROR(F6+G6,0)</calculatedColumnFormula>
    </tableColumn>
    <tableColumn id="5" name="Profiili-kerroin" dataDxfId="82" totalsRowDxfId="81">
      <calculatedColumnFormula>IFERROR(VLOOKUP($A6,'2.1 Toteut. op.vuodet'!$A:$Q,COLUMN('2.1 Toteut. op.vuodet'!Q:Q),FALSE),0)</calculatedColumnFormula>
    </tableColumn>
    <tableColumn id="6" name="Painotetut opiskelija-vuodet" totalsRowFunction="sum" dataDxfId="80" totalsRowDxfId="79">
      <calculatedColumnFormula>IFERROR(ROUND(H6*I6,1),0)</calculatedColumnFormula>
    </tableColumn>
    <tableColumn id="7" name="%-osuus 1" totalsRowFunction="sum" dataDxfId="78" totalsRowDxfId="77">
      <calculatedColumnFormula>IFERROR(Ohj.lask.[[#This Row],[Painotetut opiskelija-vuodet]]/Ohj.lask.[[#Totals],[Painotetut opiskelija-vuodet]],0)</calculatedColumnFormula>
    </tableColumn>
    <tableColumn id="8" name="Jaettava € 1" totalsRowFunction="sum" dataDxfId="76" totalsRowDxfId="75">
      <calculatedColumnFormula>ROUND(IFERROR('1.1 Jakotaulu'!L$10*Ohj.lask.[[#This Row],[%-osuus 1]],0),0)</calculatedColumnFormula>
    </tableColumn>
    <tableColumn id="9" name="Painotetut pisteet 2" totalsRowFunction="sum" dataDxfId="74" totalsRowDxfId="73">
      <calculatedColumnFormula>IFERROR(ROUND(VLOOKUP($A6,'2.2 Tutk. ja osien pain. pist.'!$A:$Q,COLUMN('2.2 Tutk. ja osien pain. pist.'!P:P),FALSE),1),0)</calculatedColumnFormula>
    </tableColumn>
    <tableColumn id="10" name="%-osuus 2" totalsRowFunction="sum" dataDxfId="72" totalsRowDxfId="71" dataCellStyle="Prosenttia">
      <calculatedColumnFormula>IFERROR(Ohj.lask.[[#This Row],[Painotetut pisteet 2]]/Ohj.lask.[[#Totals],[Painotetut pisteet 2]],0)</calculatedColumnFormula>
    </tableColumn>
    <tableColumn id="11" name="Jaettava € 2" totalsRowFunction="sum" dataDxfId="70" totalsRowDxfId="69">
      <calculatedColumnFormula>ROUND(IFERROR('1.1 Jakotaulu'!K$11*Ohj.lask.[[#This Row],[%-osuus 2]],0),0)</calculatedColumnFormula>
    </tableColumn>
    <tableColumn id="12" name="Painotetut pisteet 3" totalsRowFunction="sum" dataDxfId="68" totalsRowDxfId="67" dataCellStyle="Pilkku">
      <calculatedColumnFormula>IFERROR(ROUND(VLOOKUP($A6,'2.3 Työll. ja jatko-opisk.'!$A:$K,COLUMN('2.3 Työll. ja jatko-opisk.'!I:I),FALSE),1),0)</calculatedColumnFormula>
    </tableColumn>
    <tableColumn id="13" name="%-osuus 3" totalsRowFunction="sum" dataDxfId="66" totalsRowDxfId="65">
      <calculatedColumnFormula>IFERROR(Ohj.lask.[[#This Row],[Painotetut pisteet 3]]/Ohj.lask.[[#Totals],[Painotetut pisteet 3]],0)</calculatedColumnFormula>
    </tableColumn>
    <tableColumn id="14" name="Jaettava € 3" totalsRowFunction="sum" dataDxfId="64" totalsRowDxfId="63">
      <calculatedColumnFormula>ROUND(IFERROR('1.1 Jakotaulu'!L$13*Ohj.lask.[[#This Row],[%-osuus 3]],0),0)</calculatedColumnFormula>
    </tableColumn>
    <tableColumn id="15" name="Painotetut pisteet 4" totalsRowFunction="sum" dataDxfId="62" totalsRowDxfId="61">
      <calculatedColumnFormula>IFERROR(ROUND(VLOOKUP($A6,'2.4 Aloittaneet palaute'!$A:$K,COLUMN('2.4 Aloittaneet palaute'!J:J),FALSE),1),0)</calculatedColumnFormula>
    </tableColumn>
    <tableColumn id="16" name="%-osuus 4" totalsRowFunction="sum" dataDxfId="60" totalsRowDxfId="59">
      <calculatedColumnFormula>IFERROR(Ohj.lask.[[#This Row],[Painotetut pisteet 4]]/Ohj.lask.[[#Totals],[Painotetut pisteet 4]],0)</calculatedColumnFormula>
    </tableColumn>
    <tableColumn id="17" name="Jaettava € 4" totalsRowFunction="sum" dataDxfId="58" totalsRowDxfId="57">
      <calculatedColumnFormula>ROUND(IFERROR('1.1 Jakotaulu'!M$16*Ohj.lask.[[#This Row],[%-osuus 4]],0),0)</calculatedColumnFormula>
    </tableColumn>
    <tableColumn id="18" name="Painotetut pisteet 5" totalsRowFunction="sum" dataDxfId="56" totalsRowDxfId="55">
      <calculatedColumnFormula>IFERROR(ROUND(VLOOKUP($A6,'2.5 Päättäneet palaute'!$A:$AC,COLUMN('2.5 Päättäneet palaute'!AB:AB),FALSE),1),0)</calculatedColumnFormula>
    </tableColumn>
    <tableColumn id="19" name="%-osuus 5" totalsRowFunction="sum" dataDxfId="54" totalsRowDxfId="53">
      <calculatedColumnFormula>IFERROR(Ohj.lask.[[#This Row],[Painotetut pisteet 5]]/Ohj.lask.[[#Totals],[Painotetut pisteet 5]],0)</calculatedColumnFormula>
    </tableColumn>
    <tableColumn id="20" name="Jaettava € 5" totalsRowFunction="sum" dataDxfId="52" totalsRowDxfId="51">
      <calculatedColumnFormula>ROUND(IFERROR('1.1 Jakotaulu'!M$17*Ohj.lask.[[#This Row],[%-osuus 5]],0),0)</calculatedColumnFormula>
    </tableColumn>
    <tableColumn id="21" name="%-osuus 6" totalsRowFunction="sum" dataDxfId="50" totalsRowDxfId="49" dataCellStyle="Prosenttia">
      <calculatedColumnFormula>IFERROR(Ohj.lask.[[#This Row],[Jaettava € 6]]/Ohj.lask.[[#Totals],[Jaettava € 6]],"")</calculatedColumnFormula>
    </tableColumn>
    <tableColumn id="22" name="Jaettava € 6" totalsRowFunction="sum" dataDxfId="48" totalsRowDxfId="47">
      <calculatedColumnFormula>IFERROR(Ohj.lask.[[#This Row],[Jaettava € 1]]+Ohj.lask.[[#This Row],[Jaettava € 2]]+Ohj.lask.[[#This Row],[Jaettava € 3]]+Ohj.lask.[[#This Row],[Jaettava € 4]]+Ohj.lask.[[#This Row],[Jaettava € 5]],"")</calculatedColumnFormula>
    </tableColumn>
    <tableColumn id="33" name="Jaettava €" totalsRowFunction="sum" totalsRowDxfId="46">
      <calculatedColumnFormula>0</calculatedColumnFormula>
    </tableColumn>
    <tableColumn id="38" name="Opiskelijavuosiin perustuva (suoriteperusteinen) sekä harkinnanvarainen korotus, €" totalsRowFunction="sum" dataDxfId="45" totalsRowDxfId="44">
      <calculatedColumnFormula>Ohj.lask.[[#This Row],[Jaettava € 1]]+Ohj.lask.[[#This Row],[Jaettava €]]</calculatedColumnFormula>
    </tableColumn>
    <tableColumn id="34" name="Suoritusrahoitus, €" totalsRowFunction="sum" dataDxfId="43" totalsRowDxfId="42">
      <calculatedColumnFormula>Ohj.lask.[[#This Row],[Jaettava € 2]]</calculatedColumnFormula>
    </tableColumn>
    <tableColumn id="23" name="Työllistymiseen ja jatko-opintoihin siirtymiseen perustuva sekä opiskelija-palautteisiin perustuva, €" totalsRowFunction="sum" dataDxfId="41" totalsRowDxfId="40">
      <calculatedColumnFormula>Ohj.lask.[[#This Row],[Jaettava € 3]]+Ohj.lask.[[#This Row],[Jaettava € 4]]+Ohj.lask.[[#This Row],[Jaettava € 5]]</calculatedColumnFormula>
    </tableColumn>
    <tableColumn id="39" name="Perus-, suoritus- ja vaikuttavuusrahoitus yhteensä, €" totalsRowFunction="sum" dataDxfId="39" totalsRowDxfId="38">
      <calculatedColumnFormula>Ohj.lask.[[#This Row],[Jaettava € 6]]+Ohj.lask.[[#This Row],[Jaettava €]]</calculatedColumnFormula>
    </tableColumn>
    <tableColumn id="35" name="Alv-korvaus, €" totalsRowFunction="sum" dataDxfId="37" totalsRowDxfId="36">
      <calculatedColumnFormula>IFERROR(VLOOKUP(Ohj.lask.[[#This Row],[Y-tunnus]],'3.1 Alv vahvistettu'!A:Y,COLUMN(C:C),FALSE),0)</calculatedColumnFormula>
    </tableColumn>
    <tableColumn id="42" name="Koko rahoitus + _x000a_alv-korvaus, €" totalsRowFunction="sum" dataDxfId="35" totalsRowDxfId="34">
      <calculatedColumnFormula>Ohj.lask.[[#This Row],[Perus-, suoritus- ja vaikuttavuusrahoitus yhteensä, €]]+Ohj.lask.[[#This Row],[Alv-korvaus, €]]</calculatedColumnFormula>
    </tableColumn>
  </tableColumns>
  <tableStyleInfo showFirstColumn="0" showLastColumn="0" showRowStripes="1" showColumnStripes="0"/>
</table>
</file>

<file path=xl/tables/table3.xml><?xml version="1.0" encoding="utf-8"?>
<table xmlns="http://schemas.openxmlformats.org/spreadsheetml/2006/main" id="3" name="Vertailu" displayName="Vertailu" ref="A5:P157" totalsRowCount="1" totalsRowDxfId="33" totalsRowBorderDxfId="32">
  <autoFilter ref="A5:P156"/>
  <sortState ref="A6:AN175">
    <sortCondition ref="B5:B175"/>
  </sortState>
  <tableColumns count="16">
    <tableColumn id="1" name="Y-tunnus" totalsRowLabel="Yhteensä" dataDxfId="31" totalsRowDxfId="30"/>
    <tableColumn id="2" name="Nimi" totalsRowFunction="custom" dataDxfId="29" totalsRowDxfId="28">
      <totalsRowFormula>COUNTIF(Vertailu[Nimi],"?*")-1</totalsRowFormula>
    </tableColumn>
    <tableColumn id="3" name="Maakunta" dataDxfId="27" totalsRowDxfId="26"/>
    <tableColumn id="4" name="Omistajatyyppi" dataDxfId="25" totalsRowDxfId="24"/>
    <tableColumn id="12" name="2019 rahoitus pl. hark. kor. ilman alv, €" totalsRowFunction="sum" dataDxfId="23" totalsRowDxfId="22">
      <calculatedColumnFormula>IFERROR(VLOOKUP(Vertailu[[#This Row],[Y-tunnus]],'3.2 Suoritepäätös 2019'!$A:$S,COLUMN('3.2 Suoritepäätös 2019'!Q:Q),FALSE)-VLOOKUP(Vertailu[[#This Row],[Y-tunnus]],'3.2 Suoritepäätös 2019'!$A:$S,COLUMN('3.2 Suoritepäätös 2019'!L:L),FALSE),0)</calculatedColumnFormula>
    </tableColumn>
    <tableColumn id="16" name="Simuloitu rahoitus pl. hark. kor. ilman alv, €" totalsRowFunction="sum" dataDxfId="21" totalsRowDxfId="20">
      <calculatedColumnFormula>IFERROR(VLOOKUP(Vertailu[[#This Row],[Y-tunnus]],'1.2 Ohjaus-laskentataulu'!A:AG,COLUMN('1.2 Ohjaus-laskentataulu'!Z:Z),FALSE),0)</calculatedColumnFormula>
    </tableColumn>
    <tableColumn id="14" name="Muutos, € 1" totalsRowFunction="sum" dataDxfId="19" totalsRowDxfId="18">
      <calculatedColumnFormula>IFERROR(Vertailu[[#This Row],[Simuloitu rahoitus pl. hark. kor. ilman alv, €]]-Vertailu[[#This Row],[2019 rahoitus pl. hark. kor. ilman alv, €]],0)</calculatedColumnFormula>
    </tableColumn>
    <tableColumn id="15" name="Muutos, % 1" totalsRowFunction="custom" dataDxfId="17" totalsRowDxfId="16" dataCellStyle="Prosenttia">
      <calculatedColumnFormula>IFERROR(Vertailu[[#This Row],[Muutos, € 1]]/Vertailu[[#This Row],[2019 rahoitus pl. hark. kor. ilman alv, €]],0)</calculatedColumnFormula>
      <totalsRowFormula>IFERROR(Vertailu[[#Totals],[Muutos, € 1]]/Vertailu[[#Totals],[2019 rahoitus pl. hark. kor. ilman alv, €]],0)</totalsRowFormula>
    </tableColumn>
    <tableColumn id="37" name="2019 rahoitus sis. hark. kor. ilman alv, €" totalsRowFunction="sum" dataDxfId="15" totalsRowDxfId="14" dataCellStyle="Prosenttia">
      <calculatedColumnFormula>IFERROR(VLOOKUP(Vertailu[[#This Row],[Y-tunnus]],'3.2 Suoritepäätös 2019'!$A:$S,COLUMN('3.2 Suoritepäätös 2019'!Q:Q),FALSE),0)</calculatedColumnFormula>
    </tableColumn>
    <tableColumn id="23" name="Simuloitu rahoitus sis. hark. kor. ilman alv, €" totalsRowFunction="sum" dataDxfId="13" totalsRowDxfId="12" dataCellStyle="Prosenttia">
      <calculatedColumnFormula>IFERROR(VLOOKUP(Vertailu[[#This Row],[Y-tunnus]],'1.2 Ohjaus-laskentataulu'!A:AG,COLUMN('1.2 Ohjaus-laskentataulu'!AE:AE),FALSE),0)</calculatedColumnFormula>
    </tableColumn>
    <tableColumn id="13" name="Muutos, € 2" totalsRowFunction="sum" dataDxfId="11" totalsRowDxfId="10" dataCellStyle="Prosenttia">
      <calculatedColumnFormula>IFERROR(Vertailu[[#This Row],[Simuloitu rahoitus sis. hark. kor. ilman alv, €]]-Vertailu[[#This Row],[2019 rahoitus sis. hark. kor. ilman alv, €]],0)</calculatedColumnFormula>
    </tableColumn>
    <tableColumn id="11" name="Muutos, % 2" totalsRowFunction="custom" dataDxfId="9" totalsRowDxfId="8" dataCellStyle="Prosenttia">
      <calculatedColumnFormula>IFERROR(Vertailu[[#This Row],[Muutos, € 2]]/Vertailu[[#This Row],[2019 rahoitus sis. hark. kor. ilman alv, €]],0)</calculatedColumnFormula>
      <totalsRowFormula>IFERROR(Vertailu[[#Totals],[Muutos, € 2]]/Vertailu[[#Totals],[2019 rahoitus sis. hark. kor. ilman alv, €]],0)</totalsRowFormula>
    </tableColumn>
    <tableColumn id="30" name="2019 rahoitus sis. hark. kor. + alv, €" totalsRowFunction="sum" dataDxfId="7" totalsRowDxfId="6" dataCellStyle="Prosenttia">
      <calculatedColumnFormula>IFERROR(VLOOKUP(Vertailu[[#This Row],[Y-tunnus]],'3.2 Suoritepäätös 2019'!$A:$S,COLUMN('3.2 Suoritepäätös 2019'!Q:Q),FALSE)+VLOOKUP(Vertailu[[#This Row],[Y-tunnus]],'3.2 Suoritepäätös 2019'!$A:$S,COLUMN('3.2 Suoritepäätös 2019'!R:R),FALSE),0)</calculatedColumnFormula>
    </tableColumn>
    <tableColumn id="45" name="Simuloitu rahoitus sis. hark. kor. + alv, €" totalsRowFunction="sum" dataDxfId="5" totalsRowDxfId="4" dataCellStyle="Prosenttia">
      <calculatedColumnFormula>IFERROR(VLOOKUP(Vertailu[[#This Row],[Y-tunnus]],'1.2 Ohjaus-laskentataulu'!A:AG,COLUMN('1.2 Ohjaus-laskentataulu'!AG:AG),FALSE),0)</calculatedColumnFormula>
    </tableColumn>
    <tableColumn id="44" name="Muutos, € 3" totalsRowFunction="sum" dataDxfId="3" totalsRowDxfId="2" dataCellStyle="Prosenttia">
      <calculatedColumnFormula>IFERROR(Vertailu[[#This Row],[Simuloitu rahoitus sis. hark. kor. + alv, €]]-Vertailu[[#This Row],[2019 rahoitus sis. hark. kor. + alv, €]],0)</calculatedColumnFormula>
    </tableColumn>
    <tableColumn id="24" name="Muutos, % 3" totalsRowFunction="custom" dataDxfId="1" totalsRowDxfId="0" dataCellStyle="Prosenttia">
      <calculatedColumnFormula>IFERROR(Vertailu[[#This Row],[Muutos, € 3]]/Vertailu[[#This Row],[2019 rahoitus sis. hark. kor. + alv, €]],0)</calculatedColumnFormula>
      <totalsRowFormula>IFERROR(Vertailu[[#Totals],[Muutos, € 3]]/Vertailu[[#Totals],[2019 rahoitus sis. hark. kor. + alv, €]],0)</totalsRowFormula>
    </tableColumn>
  </tableColumns>
  <tableStyleInfo showFirstColumn="0" showLastColumn="0" showRowStripes="0"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vipunen.fi/fi-fi/_layouts/15/xlviewer.aspx?id=/fi-fi/Raportit/Ammatillinenkoulutus%20-%20opiskelijapalaute%20-%20rahoitusmalli-%20p%C3%A4ttt%C3%B6kysely.xlsb"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vipunen.fi/fi-fi/_layouts/15/xlviewer.aspx?id=/fi-fi/Raportit/Koski%20opiskelijavuodet.xlsb"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vipunen.fi/fi-fi/_layouts/15/xlviewer.aspx?id=/fi-fi/Raportit/Koski%20tutkinnot%20ja%20tutkinnon%20osat%20painotetut.xlsb"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vipunen.fi/fi-fi/_layouts/15/xlviewer.aspx?id=/fi-fi/Raportit/Rahoitusperusteraportti%20(ty%C3%B6llistyneet%20ja%20jatko-opiskelijat).xlsb"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vipunen.fi/fi-fi/_layouts/15/xlviewer.aspx?id=/fi-fi/Raportit/Ammatillinen%20koulutus%20-%20opiskelijapalaute%20-%20rahoitusmalli%20-%20aloituskysely.xls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9"/>
  <sheetViews>
    <sheetView zoomScale="90" zoomScaleNormal="90" workbookViewId="0">
      <pane xSplit="2" ySplit="6" topLeftCell="C7" activePane="bottomRight" state="frozen"/>
      <selection pane="topRight" activeCell="C1" sqref="C1"/>
      <selection pane="bottomLeft" activeCell="A7" sqref="A7"/>
      <selection pane="bottomRight"/>
    </sheetView>
  </sheetViews>
  <sheetFormatPr defaultRowHeight="15" x14ac:dyDescent="0.25"/>
  <cols>
    <col min="1" max="1" width="11.7109375" customWidth="1"/>
    <col min="2" max="2" width="45.7109375" customWidth="1"/>
    <col min="3" max="29" width="17.42578125" customWidth="1"/>
  </cols>
  <sheetData>
    <row r="1" spans="1:29" ht="19.5" x14ac:dyDescent="0.3">
      <c r="A1" s="5" t="s">
        <v>461</v>
      </c>
      <c r="B1" s="5"/>
    </row>
    <row r="2" spans="1:29" ht="15.75" x14ac:dyDescent="0.25">
      <c r="A2" s="6" t="s">
        <v>433</v>
      </c>
      <c r="B2" s="6"/>
    </row>
    <row r="3" spans="1:29" x14ac:dyDescent="0.25">
      <c r="A3" s="14" t="s">
        <v>696</v>
      </c>
      <c r="B3" s="1"/>
      <c r="C3" s="2" t="s">
        <v>12</v>
      </c>
      <c r="D3" s="2"/>
      <c r="E3" s="2"/>
      <c r="F3" s="2"/>
      <c r="G3" s="2"/>
      <c r="H3" s="2"/>
      <c r="I3" s="2"/>
      <c r="J3" s="2"/>
      <c r="K3" s="2"/>
      <c r="L3" s="2"/>
      <c r="M3" s="2"/>
      <c r="N3" s="2"/>
      <c r="O3" s="2"/>
      <c r="P3" s="2"/>
      <c r="Q3" s="2"/>
      <c r="R3" s="2"/>
      <c r="S3" s="2"/>
      <c r="T3" s="2"/>
      <c r="U3" s="2"/>
      <c r="V3" s="2"/>
      <c r="W3" s="2"/>
      <c r="X3" s="2"/>
      <c r="Y3" s="2"/>
      <c r="Z3" s="2"/>
    </row>
    <row r="4" spans="1:29" ht="15" customHeight="1" x14ac:dyDescent="0.25">
      <c r="A4" s="118"/>
      <c r="B4" s="118"/>
      <c r="C4" s="137" t="s">
        <v>12</v>
      </c>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row>
    <row r="5" spans="1:29" ht="15" customHeight="1" x14ac:dyDescent="0.25">
      <c r="A5" s="120"/>
      <c r="B5" s="120"/>
      <c r="C5" s="280" t="s">
        <v>151</v>
      </c>
      <c r="D5" s="280"/>
      <c r="E5" s="280"/>
      <c r="F5" s="280"/>
      <c r="G5" s="280"/>
      <c r="H5" s="280"/>
      <c r="I5" s="280"/>
      <c r="J5" s="280"/>
      <c r="K5" s="280"/>
      <c r="L5" s="280" t="s">
        <v>152</v>
      </c>
      <c r="M5" s="280"/>
      <c r="N5" s="280"/>
      <c r="O5" s="280"/>
      <c r="P5" s="280"/>
      <c r="Q5" s="280"/>
      <c r="R5" s="280"/>
      <c r="S5" s="280"/>
      <c r="T5" s="280"/>
      <c r="U5" s="280" t="s">
        <v>626</v>
      </c>
      <c r="V5" s="280" t="s">
        <v>627</v>
      </c>
      <c r="W5" s="280" t="s">
        <v>628</v>
      </c>
      <c r="X5" s="280" t="s">
        <v>629</v>
      </c>
      <c r="Y5" s="280" t="s">
        <v>630</v>
      </c>
      <c r="Z5" s="280" t="s">
        <v>631</v>
      </c>
      <c r="AA5" s="280" t="s">
        <v>632</v>
      </c>
      <c r="AB5" s="280" t="s">
        <v>633</v>
      </c>
      <c r="AC5" s="280" t="s">
        <v>634</v>
      </c>
    </row>
    <row r="6" spans="1:29" ht="24" customHeight="1" x14ac:dyDescent="0.25">
      <c r="A6" s="140" t="s">
        <v>12</v>
      </c>
      <c r="B6" s="121"/>
      <c r="C6" s="140" t="s">
        <v>617</v>
      </c>
      <c r="D6" s="140" t="s">
        <v>618</v>
      </c>
      <c r="E6" s="140" t="s">
        <v>619</v>
      </c>
      <c r="F6" s="140" t="s">
        <v>620</v>
      </c>
      <c r="G6" s="140" t="s">
        <v>621</v>
      </c>
      <c r="H6" s="140" t="s">
        <v>622</v>
      </c>
      <c r="I6" s="140" t="s">
        <v>623</v>
      </c>
      <c r="J6" s="140" t="s">
        <v>624</v>
      </c>
      <c r="K6" s="140" t="s">
        <v>625</v>
      </c>
      <c r="L6" s="140" t="s">
        <v>617</v>
      </c>
      <c r="M6" s="140" t="s">
        <v>618</v>
      </c>
      <c r="N6" s="140" t="s">
        <v>619</v>
      </c>
      <c r="O6" s="140" t="s">
        <v>620</v>
      </c>
      <c r="P6" s="140" t="s">
        <v>621</v>
      </c>
      <c r="Q6" s="140" t="s">
        <v>622</v>
      </c>
      <c r="R6" s="140" t="s">
        <v>623</v>
      </c>
      <c r="S6" s="140" t="s">
        <v>624</v>
      </c>
      <c r="T6" s="140" t="s">
        <v>625</v>
      </c>
      <c r="U6" s="280"/>
      <c r="V6" s="280"/>
      <c r="W6" s="280"/>
      <c r="X6" s="280"/>
      <c r="Y6" s="280"/>
      <c r="Z6" s="280"/>
      <c r="AA6" s="280"/>
      <c r="AB6" s="280"/>
      <c r="AC6" s="280"/>
    </row>
    <row r="7" spans="1:29" ht="15" customHeight="1" x14ac:dyDescent="0.25">
      <c r="A7" s="88" t="s">
        <v>284</v>
      </c>
      <c r="B7" s="116" t="str">
        <f>VLOOKUP(A7,'0 Järjestäjätiedot'!A:H,2,FALSE)</f>
        <v>Suomen kansallisooppera ja -baletti sr</v>
      </c>
      <c r="C7" s="223">
        <v>12</v>
      </c>
      <c r="D7" s="223">
        <v>10</v>
      </c>
      <c r="E7" s="224">
        <v>0.83333333333333337</v>
      </c>
      <c r="F7" s="217"/>
      <c r="G7" s="218">
        <v>3.7083333333333335</v>
      </c>
      <c r="H7" s="218">
        <v>1.1789531608828041</v>
      </c>
      <c r="I7" s="223">
        <v>445</v>
      </c>
      <c r="J7" s="223">
        <v>1602</v>
      </c>
      <c r="K7" s="219">
        <v>2.5204813823399689E-4</v>
      </c>
      <c r="L7" s="217"/>
      <c r="M7" s="217"/>
      <c r="N7" s="217"/>
      <c r="O7" s="217"/>
      <c r="P7" s="217"/>
      <c r="Q7" s="217"/>
      <c r="R7" s="217"/>
      <c r="S7" s="217"/>
      <c r="T7" s="217"/>
      <c r="U7" s="223">
        <v>12</v>
      </c>
      <c r="V7" s="223">
        <v>10</v>
      </c>
      <c r="W7" s="224">
        <v>0.83333333333333337</v>
      </c>
      <c r="X7" s="217"/>
      <c r="Y7" s="218">
        <v>3.7083333333333335</v>
      </c>
      <c r="Z7" s="218">
        <v>1.1789531608828041</v>
      </c>
      <c r="AA7" s="223">
        <v>445</v>
      </c>
      <c r="AB7" s="223">
        <v>1602</v>
      </c>
      <c r="AC7" s="219">
        <v>2.4191741927585204E-4</v>
      </c>
    </row>
    <row r="8" spans="1:29" ht="15" customHeight="1" x14ac:dyDescent="0.25">
      <c r="A8" s="88" t="s">
        <v>249</v>
      </c>
      <c r="B8" s="116" t="str">
        <f>VLOOKUP(A8,'0 Järjestäjätiedot'!A:H,2,FALSE)</f>
        <v>Vantaan kaupunki</v>
      </c>
      <c r="C8" s="223">
        <v>981</v>
      </c>
      <c r="D8" s="223">
        <v>561</v>
      </c>
      <c r="E8" s="224">
        <v>0.5718654434250765</v>
      </c>
      <c r="F8" s="217"/>
      <c r="G8" s="218">
        <v>4.1381461675579319</v>
      </c>
      <c r="H8" s="218">
        <v>0.96657784829003035</v>
      </c>
      <c r="I8" s="223">
        <v>27858</v>
      </c>
      <c r="J8" s="223">
        <v>107027.50525523946</v>
      </c>
      <c r="K8" s="219">
        <v>1.6839003395388529E-2</v>
      </c>
      <c r="L8" s="223">
        <v>283</v>
      </c>
      <c r="M8" s="223">
        <v>132</v>
      </c>
      <c r="N8" s="224">
        <v>0.46643109540636041</v>
      </c>
      <c r="O8" s="217"/>
      <c r="P8" s="218">
        <v>4.0069444444444446</v>
      </c>
      <c r="Q8" s="218">
        <v>1.013458553339909</v>
      </c>
      <c r="R8" s="223">
        <v>6347</v>
      </c>
      <c r="S8" s="223">
        <v>8043.629203136511</v>
      </c>
      <c r="T8" s="219">
        <v>3.0220378376565025E-2</v>
      </c>
      <c r="U8" s="223">
        <v>1264</v>
      </c>
      <c r="V8" s="223">
        <v>693</v>
      </c>
      <c r="W8" s="224">
        <v>0.54825949367088611</v>
      </c>
      <c r="X8" s="217"/>
      <c r="Y8" s="218">
        <v>4.1131553631553635</v>
      </c>
      <c r="Z8" s="218">
        <v>0.97704047060569232</v>
      </c>
      <c r="AA8" s="223">
        <v>47313.038548752833</v>
      </c>
      <c r="AB8" s="223">
        <v>115071.13445837598</v>
      </c>
      <c r="AC8" s="219">
        <v>1.7376848864740876E-2</v>
      </c>
    </row>
    <row r="9" spans="1:29" ht="15" customHeight="1" x14ac:dyDescent="0.25">
      <c r="A9" s="88" t="s">
        <v>355</v>
      </c>
      <c r="B9" s="116" t="str">
        <f>VLOOKUP(A9,'0 Järjestäjätiedot'!A:H,2,FALSE)</f>
        <v>Kisakalliosäätiö sr</v>
      </c>
      <c r="C9" s="223">
        <v>64</v>
      </c>
      <c r="D9" s="223">
        <v>46</v>
      </c>
      <c r="E9" s="224">
        <v>0.71875</v>
      </c>
      <c r="F9" s="217"/>
      <c r="G9" s="218">
        <v>4.1557971014492754</v>
      </c>
      <c r="H9" s="218">
        <v>0.9804256777322885</v>
      </c>
      <c r="I9" s="223">
        <v>2294</v>
      </c>
      <c r="J9" s="223">
        <v>8741.7445678710938</v>
      </c>
      <c r="K9" s="219">
        <v>1.375368566322762E-3</v>
      </c>
      <c r="L9" s="223">
        <v>13</v>
      </c>
      <c r="M9" s="223">
        <v>5</v>
      </c>
      <c r="N9" s="224">
        <v>0.38461538461538464</v>
      </c>
      <c r="O9" s="217"/>
      <c r="P9" s="218">
        <v>4.3499999999999996</v>
      </c>
      <c r="Q9" s="218">
        <v>0.85293610546160059</v>
      </c>
      <c r="R9" s="223">
        <v>261</v>
      </c>
      <c r="S9" s="223">
        <v>324.94693047337279</v>
      </c>
      <c r="T9" s="219">
        <v>1.2208443406838672E-3</v>
      </c>
      <c r="U9" s="223">
        <v>77</v>
      </c>
      <c r="V9" s="223">
        <v>51</v>
      </c>
      <c r="W9" s="224">
        <v>0.66233766233766234</v>
      </c>
      <c r="X9" s="217"/>
      <c r="Y9" s="218">
        <v>4.1748366013071898</v>
      </c>
      <c r="Z9" s="218">
        <v>0.97038878036876131</v>
      </c>
      <c r="AA9" s="223">
        <v>4206.2706651287963</v>
      </c>
      <c r="AB9" s="223">
        <v>9066.6914983444658</v>
      </c>
      <c r="AC9" s="219">
        <v>1.3691576833019983E-3</v>
      </c>
    </row>
    <row r="10" spans="1:29" ht="15" customHeight="1" x14ac:dyDescent="0.25">
      <c r="A10" s="88" t="s">
        <v>293</v>
      </c>
      <c r="B10" s="116" t="str">
        <f>VLOOKUP(A10,'0 Järjestäjätiedot'!A:H,2,FALSE)</f>
        <v>Salon Seudun Koulutuskuntayhtymä</v>
      </c>
      <c r="C10" s="223">
        <v>827</v>
      </c>
      <c r="D10" s="223">
        <v>284</v>
      </c>
      <c r="E10" s="224">
        <v>0.343409915356711</v>
      </c>
      <c r="F10" s="217"/>
      <c r="G10" s="218">
        <v>4.1081871345029244</v>
      </c>
      <c r="H10" s="218">
        <v>1.0139337383672506</v>
      </c>
      <c r="I10" s="223">
        <v>14000.701754385966</v>
      </c>
      <c r="J10" s="223">
        <v>51654.764234145267</v>
      </c>
      <c r="K10" s="219">
        <v>8.127020696711838E-3</v>
      </c>
      <c r="L10" s="223">
        <v>60</v>
      </c>
      <c r="M10" s="223">
        <v>15</v>
      </c>
      <c r="N10" s="224">
        <v>0.25</v>
      </c>
      <c r="O10" s="217"/>
      <c r="P10" s="218">
        <v>3.65</v>
      </c>
      <c r="Q10" s="218">
        <v>1.3518505834595778</v>
      </c>
      <c r="R10" s="223">
        <v>657</v>
      </c>
      <c r="S10" s="223">
        <v>778.904296875</v>
      </c>
      <c r="T10" s="219">
        <v>2.9263883225144425E-3</v>
      </c>
      <c r="U10" s="223">
        <v>887</v>
      </c>
      <c r="V10" s="223">
        <v>299</v>
      </c>
      <c r="W10" s="224">
        <v>0.33709131905298761</v>
      </c>
      <c r="X10" s="217"/>
      <c r="Y10" s="218">
        <v>4.0852777777777778</v>
      </c>
      <c r="Z10" s="218">
        <v>1.0382704264280378</v>
      </c>
      <c r="AA10" s="223">
        <v>26526.525666666668</v>
      </c>
      <c r="AB10" s="223">
        <v>52433.668531020267</v>
      </c>
      <c r="AC10" s="219">
        <v>7.9179886230898115E-3</v>
      </c>
    </row>
    <row r="11" spans="1:29" ht="15" customHeight="1" x14ac:dyDescent="0.25">
      <c r="A11" s="88" t="s">
        <v>264</v>
      </c>
      <c r="B11" s="116" t="str">
        <f>VLOOKUP(A11,'0 Järjestäjätiedot'!A:H,2,FALSE)</f>
        <v>Turun Aikuiskoulutussäätiö sr</v>
      </c>
      <c r="C11" s="223">
        <v>739</v>
      </c>
      <c r="D11" s="223">
        <v>243</v>
      </c>
      <c r="E11" s="224">
        <v>0.32882273342354534</v>
      </c>
      <c r="F11" s="217"/>
      <c r="G11" s="218">
        <v>4.2389753566796369</v>
      </c>
      <c r="H11" s="218">
        <v>0.93443893466042416</v>
      </c>
      <c r="I11" s="223">
        <v>12360.852140077821</v>
      </c>
      <c r="J11" s="223">
        <v>45381.600392221175</v>
      </c>
      <c r="K11" s="219">
        <v>7.1400423776145873E-3</v>
      </c>
      <c r="L11" s="223">
        <v>360</v>
      </c>
      <c r="M11" s="223">
        <v>199</v>
      </c>
      <c r="N11" s="224">
        <v>0.55277777777777781</v>
      </c>
      <c r="O11" s="217"/>
      <c r="P11" s="218">
        <v>4.1231398809523814</v>
      </c>
      <c r="Q11" s="218">
        <v>1.0732545179011448</v>
      </c>
      <c r="R11" s="223">
        <v>9846.0580357142844</v>
      </c>
      <c r="S11" s="223">
        <v>12598.10865385402</v>
      </c>
      <c r="T11" s="219">
        <v>4.7331820094353674E-2</v>
      </c>
      <c r="U11" s="223">
        <v>1099</v>
      </c>
      <c r="V11" s="223">
        <v>442</v>
      </c>
      <c r="W11" s="224">
        <v>0.40218380345768878</v>
      </c>
      <c r="X11" s="217"/>
      <c r="Y11" s="218">
        <v>4.1850311850311854</v>
      </c>
      <c r="Z11" s="218">
        <v>1.0031470485958143</v>
      </c>
      <c r="AA11" s="223">
        <v>22349.006202428242</v>
      </c>
      <c r="AB11" s="223">
        <v>57979.709046075193</v>
      </c>
      <c r="AC11" s="219">
        <v>8.7554941215925615E-3</v>
      </c>
    </row>
    <row r="12" spans="1:29" ht="15" customHeight="1" x14ac:dyDescent="0.25">
      <c r="A12" s="88" t="s">
        <v>357</v>
      </c>
      <c r="B12" s="116" t="str">
        <f>VLOOKUP(A12,'0 Järjestäjätiedot'!A:H,2,FALSE)</f>
        <v>Kiipulasäätiö sr</v>
      </c>
      <c r="C12" s="223">
        <v>168</v>
      </c>
      <c r="D12" s="223">
        <v>75</v>
      </c>
      <c r="E12" s="224">
        <v>0.44642857142857145</v>
      </c>
      <c r="F12" s="217"/>
      <c r="G12" s="218">
        <v>4.3279220779220777</v>
      </c>
      <c r="H12" s="218">
        <v>0.94756443908713917</v>
      </c>
      <c r="I12" s="223">
        <v>3895.1298701298701</v>
      </c>
      <c r="J12" s="223">
        <v>14756.600457946472</v>
      </c>
      <c r="K12" s="219">
        <v>2.3217064120401708E-3</v>
      </c>
      <c r="L12" s="223">
        <v>56</v>
      </c>
      <c r="M12" s="223">
        <v>7</v>
      </c>
      <c r="N12" s="224">
        <v>0.125</v>
      </c>
      <c r="O12" s="217"/>
      <c r="P12" s="218">
        <v>4.3571428571428568</v>
      </c>
      <c r="Q12" s="218">
        <v>0.89499743472440629</v>
      </c>
      <c r="R12" s="223">
        <v>366</v>
      </c>
      <c r="S12" s="223">
        <v>404.4228515625</v>
      </c>
      <c r="T12" s="219">
        <v>1.5194399554845719E-3</v>
      </c>
      <c r="U12" s="223">
        <v>224</v>
      </c>
      <c r="V12" s="223">
        <v>82</v>
      </c>
      <c r="W12" s="224">
        <v>0.36607142857142855</v>
      </c>
      <c r="X12" s="217"/>
      <c r="Y12" s="218">
        <v>4.3303571428571432</v>
      </c>
      <c r="Z12" s="218">
        <v>0.94333032108121995</v>
      </c>
      <c r="AA12" s="223">
        <v>7205.7142857142853</v>
      </c>
      <c r="AB12" s="223">
        <v>15161.023309508972</v>
      </c>
      <c r="AC12" s="219">
        <v>2.2894604448298675E-3</v>
      </c>
    </row>
    <row r="13" spans="1:29" ht="15" customHeight="1" x14ac:dyDescent="0.25">
      <c r="A13" s="88" t="s">
        <v>335</v>
      </c>
      <c r="B13" s="116" t="str">
        <f>VLOOKUP(A13,'0 Järjestäjätiedot'!A:H,2,FALSE)</f>
        <v>Lahden Konservatorio Oy</v>
      </c>
      <c r="C13" s="223">
        <v>16</v>
      </c>
      <c r="D13" s="223">
        <v>10</v>
      </c>
      <c r="E13" s="224">
        <v>0.625</v>
      </c>
      <c r="F13" s="217"/>
      <c r="G13" s="218">
        <v>4.3916666666666666</v>
      </c>
      <c r="H13" s="218">
        <v>0.76698363013097559</v>
      </c>
      <c r="I13" s="223">
        <v>527</v>
      </c>
      <c r="J13" s="223">
        <v>2024.88427734375</v>
      </c>
      <c r="K13" s="219">
        <v>3.185819676927493E-4</v>
      </c>
      <c r="L13" s="217"/>
      <c r="M13" s="217"/>
      <c r="N13" s="217"/>
      <c r="O13" s="217"/>
      <c r="P13" s="217"/>
      <c r="Q13" s="217"/>
      <c r="R13" s="217"/>
      <c r="S13" s="217"/>
      <c r="T13" s="217"/>
      <c r="U13" s="223">
        <v>16</v>
      </c>
      <c r="V13" s="223">
        <v>10</v>
      </c>
      <c r="W13" s="224">
        <v>0.625</v>
      </c>
      <c r="X13" s="217"/>
      <c r="Y13" s="218">
        <v>4.3916666666666666</v>
      </c>
      <c r="Z13" s="218">
        <v>0.76698363013097559</v>
      </c>
      <c r="AA13" s="223">
        <v>527</v>
      </c>
      <c r="AB13" s="223">
        <v>2024.88427734375</v>
      </c>
      <c r="AC13" s="219">
        <v>3.0577701542275197E-4</v>
      </c>
    </row>
    <row r="14" spans="1:29" ht="15" customHeight="1" x14ac:dyDescent="0.25">
      <c r="A14" s="88" t="s">
        <v>336</v>
      </c>
      <c r="B14" s="116" t="str">
        <f>VLOOKUP(A14,'0 Järjestäjätiedot'!A:H,2,FALSE)</f>
        <v>Lahden kansanopiston säätiö sr</v>
      </c>
      <c r="C14" s="223">
        <v>15</v>
      </c>
      <c r="D14" s="223">
        <v>15</v>
      </c>
      <c r="E14" s="224">
        <v>1</v>
      </c>
      <c r="F14" s="217"/>
      <c r="G14" s="218">
        <v>4.25</v>
      </c>
      <c r="H14" s="218">
        <v>1.0374916331657278</v>
      </c>
      <c r="I14" s="223">
        <v>765</v>
      </c>
      <c r="J14" s="223">
        <v>2295</v>
      </c>
      <c r="K14" s="219">
        <v>3.6108019803184944E-4</v>
      </c>
      <c r="L14" s="217"/>
      <c r="M14" s="217"/>
      <c r="N14" s="217"/>
      <c r="O14" s="217"/>
      <c r="P14" s="217"/>
      <c r="Q14" s="217"/>
      <c r="R14" s="217"/>
      <c r="S14" s="217"/>
      <c r="T14" s="217"/>
      <c r="U14" s="223">
        <v>15</v>
      </c>
      <c r="V14" s="223">
        <v>15</v>
      </c>
      <c r="W14" s="224">
        <v>1</v>
      </c>
      <c r="X14" s="217"/>
      <c r="Y14" s="218">
        <v>4.25</v>
      </c>
      <c r="Z14" s="218">
        <v>1.0374916331657278</v>
      </c>
      <c r="AA14" s="223">
        <v>765</v>
      </c>
      <c r="AB14" s="223">
        <v>2295</v>
      </c>
      <c r="AC14" s="219">
        <v>3.4656708941203522E-4</v>
      </c>
    </row>
    <row r="15" spans="1:29" ht="15" customHeight="1" x14ac:dyDescent="0.25">
      <c r="A15" s="88" t="s">
        <v>405</v>
      </c>
      <c r="B15" s="116" t="str">
        <f>VLOOKUP(A15,'0 Järjestäjätiedot'!A:H,2,FALSE)</f>
        <v>Aitoon Emäntäkoulu Oy</v>
      </c>
      <c r="C15" s="223">
        <v>17</v>
      </c>
      <c r="D15" s="223">
        <v>17</v>
      </c>
      <c r="E15" s="224">
        <v>1</v>
      </c>
      <c r="F15" s="217"/>
      <c r="G15" s="218">
        <v>4.6078431372549016</v>
      </c>
      <c r="H15" s="218">
        <v>0.81236597983790604</v>
      </c>
      <c r="I15" s="223">
        <v>940</v>
      </c>
      <c r="J15" s="223">
        <v>2820</v>
      </c>
      <c r="K15" s="219">
        <v>4.4368024333325291E-4</v>
      </c>
      <c r="L15" s="217"/>
      <c r="M15" s="217"/>
      <c r="N15" s="217"/>
      <c r="O15" s="217"/>
      <c r="P15" s="217"/>
      <c r="Q15" s="217"/>
      <c r="R15" s="217"/>
      <c r="S15" s="217"/>
      <c r="T15" s="217"/>
      <c r="U15" s="223">
        <v>17</v>
      </c>
      <c r="V15" s="223">
        <v>17</v>
      </c>
      <c r="W15" s="224">
        <v>1</v>
      </c>
      <c r="X15" s="217"/>
      <c r="Y15" s="218">
        <v>4.6078431372549016</v>
      </c>
      <c r="Z15" s="218">
        <v>0.81236597983790604</v>
      </c>
      <c r="AA15" s="223">
        <v>940</v>
      </c>
      <c r="AB15" s="223">
        <v>2820</v>
      </c>
      <c r="AC15" s="219">
        <v>4.2584714254550733E-4</v>
      </c>
    </row>
    <row r="16" spans="1:29" ht="15" customHeight="1" x14ac:dyDescent="0.25">
      <c r="A16" s="88" t="s">
        <v>312</v>
      </c>
      <c r="B16" s="116" t="str">
        <f>VLOOKUP(A16,'0 Järjestäjätiedot'!A:H,2,FALSE)</f>
        <v>Palloilu Säätiö sr</v>
      </c>
      <c r="C16" s="223">
        <v>89</v>
      </c>
      <c r="D16" s="223">
        <v>51</v>
      </c>
      <c r="E16" s="224">
        <v>0.5730337078651685</v>
      </c>
      <c r="F16" s="217"/>
      <c r="G16" s="218">
        <v>3.9077380952380953</v>
      </c>
      <c r="H16" s="218">
        <v>1.134076980664259</v>
      </c>
      <c r="I16" s="223">
        <v>2391.5357142857142</v>
      </c>
      <c r="J16" s="223">
        <v>9188.3894350968058</v>
      </c>
      <c r="K16" s="219">
        <v>1.4456407306398728E-3</v>
      </c>
      <c r="L16" s="217"/>
      <c r="M16" s="217"/>
      <c r="N16" s="217"/>
      <c r="O16" s="217"/>
      <c r="P16" s="217"/>
      <c r="Q16" s="217"/>
      <c r="R16" s="217"/>
      <c r="S16" s="217"/>
      <c r="T16" s="217"/>
      <c r="U16" s="223">
        <v>89</v>
      </c>
      <c r="V16" s="223">
        <v>51</v>
      </c>
      <c r="W16" s="224">
        <v>0.5730337078651685</v>
      </c>
      <c r="X16" s="217"/>
      <c r="Y16" s="218">
        <v>3.9077380952380953</v>
      </c>
      <c r="Z16" s="218">
        <v>1.134076980664259</v>
      </c>
      <c r="AA16" s="223">
        <v>2391.5357142857142</v>
      </c>
      <c r="AB16" s="223">
        <v>9188.3894350968058</v>
      </c>
      <c r="AC16" s="219">
        <v>1.3875352430962066E-3</v>
      </c>
    </row>
    <row r="17" spans="1:29" ht="15" customHeight="1" x14ac:dyDescent="0.25">
      <c r="A17" s="88" t="s">
        <v>406</v>
      </c>
      <c r="B17" s="116" t="str">
        <f>VLOOKUP(A17,'0 Järjestäjätiedot'!A:H,2,FALSE)</f>
        <v>Ahlmanin koulun Säätiö sr</v>
      </c>
      <c r="C17" s="223">
        <v>155</v>
      </c>
      <c r="D17" s="223">
        <v>70</v>
      </c>
      <c r="E17" s="224">
        <v>0.45161290322580644</v>
      </c>
      <c r="F17" s="217"/>
      <c r="G17" s="218">
        <v>4.0214285714285714</v>
      </c>
      <c r="H17" s="218">
        <v>1.0302648097607203</v>
      </c>
      <c r="I17" s="223">
        <v>3378</v>
      </c>
      <c r="J17" s="223">
        <v>12809.861082206035</v>
      </c>
      <c r="K17" s="219">
        <v>2.0154192489426738E-3</v>
      </c>
      <c r="L17" s="217"/>
      <c r="M17" s="217"/>
      <c r="N17" s="217"/>
      <c r="O17" s="217"/>
      <c r="P17" s="217"/>
      <c r="Q17" s="217"/>
      <c r="R17" s="217"/>
      <c r="S17" s="217"/>
      <c r="T17" s="217"/>
      <c r="U17" s="223">
        <v>155</v>
      </c>
      <c r="V17" s="223">
        <v>70</v>
      </c>
      <c r="W17" s="224">
        <v>0.45161290322580644</v>
      </c>
      <c r="X17" s="217"/>
      <c r="Y17" s="218">
        <v>4.0214285714285714</v>
      </c>
      <c r="Z17" s="218">
        <v>1.0302648097607203</v>
      </c>
      <c r="AA17" s="223">
        <v>3378</v>
      </c>
      <c r="AB17" s="223">
        <v>12809.861082206035</v>
      </c>
      <c r="AC17" s="219">
        <v>1.9344123185327446E-3</v>
      </c>
    </row>
    <row r="18" spans="1:29" ht="15" customHeight="1" x14ac:dyDescent="0.25">
      <c r="A18" s="88" t="s">
        <v>275</v>
      </c>
      <c r="B18" s="116" t="str">
        <f>VLOOKUP(A18,'0 Järjestäjätiedot'!A:H,2,FALSE)</f>
        <v>Tampereen Aikuiskoulutussäätiö sr</v>
      </c>
      <c r="C18" s="223">
        <v>916</v>
      </c>
      <c r="D18" s="223">
        <v>444</v>
      </c>
      <c r="E18" s="224">
        <v>0.48471615720524019</v>
      </c>
      <c r="F18" s="217"/>
      <c r="G18" s="218">
        <v>4.3249103942652329</v>
      </c>
      <c r="H18" s="218">
        <v>0.9475432726897266</v>
      </c>
      <c r="I18" s="223">
        <v>23043.122580645162</v>
      </c>
      <c r="J18" s="223">
        <v>87854.225475065366</v>
      </c>
      <c r="K18" s="219">
        <v>1.3822405722209741E-2</v>
      </c>
      <c r="L18" s="223">
        <v>488</v>
      </c>
      <c r="M18" s="223">
        <v>338</v>
      </c>
      <c r="N18" s="224">
        <v>0.69262295081967218</v>
      </c>
      <c r="O18" s="217"/>
      <c r="P18" s="218">
        <v>4.2780235988200586</v>
      </c>
      <c r="Q18" s="218">
        <v>0.94574492260694054</v>
      </c>
      <c r="R18" s="223">
        <v>17351.663716814157</v>
      </c>
      <c r="S18" s="223">
        <v>22115.522172936413</v>
      </c>
      <c r="T18" s="219">
        <v>8.30892910629E-2</v>
      </c>
      <c r="U18" s="223">
        <v>1404</v>
      </c>
      <c r="V18" s="223">
        <v>782</v>
      </c>
      <c r="W18" s="224">
        <v>0.55698005698005693</v>
      </c>
      <c r="X18" s="217"/>
      <c r="Y18" s="218">
        <v>4.3051409618573802</v>
      </c>
      <c r="Z18" s="218">
        <v>0.94706850050063918</v>
      </c>
      <c r="AA18" s="223">
        <v>41257.643721690052</v>
      </c>
      <c r="AB18" s="223">
        <v>109969.74764800178</v>
      </c>
      <c r="AC18" s="219">
        <v>1.6606490355444002E-2</v>
      </c>
    </row>
    <row r="19" spans="1:29" ht="15" customHeight="1" x14ac:dyDescent="0.25">
      <c r="A19" s="88" t="s">
        <v>248</v>
      </c>
      <c r="B19" s="116" t="str">
        <f>VLOOKUP(A19,'0 Järjestäjätiedot'!A:H,2,FALSE)</f>
        <v>Varalan Säätiö sr</v>
      </c>
      <c r="C19" s="223">
        <v>151</v>
      </c>
      <c r="D19" s="223">
        <v>96</v>
      </c>
      <c r="E19" s="224">
        <v>0.63576158940397354</v>
      </c>
      <c r="F19" s="217"/>
      <c r="G19" s="218">
        <v>3.8411458333333335</v>
      </c>
      <c r="H19" s="218">
        <v>1.0598126502984559</v>
      </c>
      <c r="I19" s="223">
        <v>4425</v>
      </c>
      <c r="J19" s="223">
        <v>16995.330248673305</v>
      </c>
      <c r="K19" s="219">
        <v>2.6739334256242432E-3</v>
      </c>
      <c r="L19" s="217"/>
      <c r="M19" s="217"/>
      <c r="N19" s="217"/>
      <c r="O19" s="217"/>
      <c r="P19" s="217"/>
      <c r="Q19" s="217"/>
      <c r="R19" s="217"/>
      <c r="S19" s="217"/>
      <c r="T19" s="217"/>
      <c r="U19" s="223">
        <v>151</v>
      </c>
      <c r="V19" s="223">
        <v>96</v>
      </c>
      <c r="W19" s="224">
        <v>0.63576158940397354</v>
      </c>
      <c r="X19" s="217"/>
      <c r="Y19" s="218">
        <v>3.8411458333333335</v>
      </c>
      <c r="Z19" s="218">
        <v>1.0598126502984559</v>
      </c>
      <c r="AA19" s="223">
        <v>4425</v>
      </c>
      <c r="AB19" s="223">
        <v>16995.330248673305</v>
      </c>
      <c r="AC19" s="219">
        <v>2.566458447877572E-3</v>
      </c>
    </row>
    <row r="20" spans="1:29" ht="15" customHeight="1" x14ac:dyDescent="0.25">
      <c r="A20" s="88" t="s">
        <v>347</v>
      </c>
      <c r="B20" s="116" t="str">
        <f>VLOOKUP(A20,'0 Järjestäjätiedot'!A:H,2,FALSE)</f>
        <v>Kouvolan Aikuiskoulutussäätiö sr</v>
      </c>
      <c r="C20" s="223">
        <v>181</v>
      </c>
      <c r="D20" s="223">
        <v>153</v>
      </c>
      <c r="E20" s="224">
        <v>0.84530386740331487</v>
      </c>
      <c r="F20" s="217"/>
      <c r="G20" s="218">
        <v>4.344771241830065</v>
      </c>
      <c r="H20" s="218">
        <v>0.89014203045353613</v>
      </c>
      <c r="I20" s="223">
        <v>7977</v>
      </c>
      <c r="J20" s="223">
        <v>28310.529411764706</v>
      </c>
      <c r="K20" s="219">
        <v>4.4541924036542481E-3</v>
      </c>
      <c r="L20" s="223">
        <v>147</v>
      </c>
      <c r="M20" s="223">
        <v>43</v>
      </c>
      <c r="N20" s="224">
        <v>0.29251700680272108</v>
      </c>
      <c r="O20" s="217"/>
      <c r="P20" s="218">
        <v>3.8972868217054262</v>
      </c>
      <c r="Q20" s="218">
        <v>1.1028119463676211</v>
      </c>
      <c r="R20" s="223">
        <v>2011</v>
      </c>
      <c r="S20" s="223">
        <v>2428.0534485052526</v>
      </c>
      <c r="T20" s="219">
        <v>9.1223367063886993E-3</v>
      </c>
      <c r="U20" s="223">
        <v>328</v>
      </c>
      <c r="V20" s="223">
        <v>196</v>
      </c>
      <c r="W20" s="224">
        <v>0.59756097560975607</v>
      </c>
      <c r="X20" s="217"/>
      <c r="Y20" s="218">
        <v>4.2465986394557822</v>
      </c>
      <c r="Z20" s="218">
        <v>0.95897408092675063</v>
      </c>
      <c r="AA20" s="223">
        <v>13133.949604331528</v>
      </c>
      <c r="AB20" s="223">
        <v>30738.582860269958</v>
      </c>
      <c r="AC20" s="219">
        <v>4.6418218712568331E-3</v>
      </c>
    </row>
    <row r="21" spans="1:29" ht="15" customHeight="1" x14ac:dyDescent="0.25">
      <c r="A21" s="88" t="s">
        <v>346</v>
      </c>
      <c r="B21" s="116" t="str">
        <f>VLOOKUP(A21,'0 Järjestäjätiedot'!A:H,2,FALSE)</f>
        <v>Kouvolan kaupunki</v>
      </c>
      <c r="C21" s="223">
        <v>629</v>
      </c>
      <c r="D21" s="223">
        <v>484</v>
      </c>
      <c r="E21" s="224">
        <v>0.76947535771065179</v>
      </c>
      <c r="F21" s="217"/>
      <c r="G21" s="218">
        <v>4.1323024054982822</v>
      </c>
      <c r="H21" s="218">
        <v>0.99259519160271814</v>
      </c>
      <c r="I21" s="223">
        <v>24000.412371134022</v>
      </c>
      <c r="J21" s="223">
        <v>90635.950592978741</v>
      </c>
      <c r="K21" s="219">
        <v>1.4260064047458687E-2</v>
      </c>
      <c r="L21" s="223">
        <v>36</v>
      </c>
      <c r="M21" s="223">
        <v>29</v>
      </c>
      <c r="N21" s="224">
        <v>0.80555555555555558</v>
      </c>
      <c r="O21" s="217"/>
      <c r="P21" s="218">
        <v>3.6896551724137931</v>
      </c>
      <c r="Q21" s="218">
        <v>1.2870740659374962</v>
      </c>
      <c r="R21" s="223">
        <v>1284</v>
      </c>
      <c r="S21" s="223">
        <v>1593.9310344827586</v>
      </c>
      <c r="T21" s="219">
        <v>5.9884907361761174E-3</v>
      </c>
      <c r="U21" s="223">
        <v>665</v>
      </c>
      <c r="V21" s="223">
        <v>513</v>
      </c>
      <c r="W21" s="224">
        <v>0.77142857142857146</v>
      </c>
      <c r="X21" s="217"/>
      <c r="Y21" s="218">
        <v>4.1073281452658881</v>
      </c>
      <c r="Z21" s="218">
        <v>1.0166375977511137</v>
      </c>
      <c r="AA21" s="223">
        <v>45180.162106920623</v>
      </c>
      <c r="AB21" s="223">
        <v>92229.881627461495</v>
      </c>
      <c r="AC21" s="219">
        <v>1.3927599839845695E-2</v>
      </c>
    </row>
    <row r="22" spans="1:29" ht="15" customHeight="1" x14ac:dyDescent="0.25">
      <c r="A22" s="88" t="s">
        <v>255</v>
      </c>
      <c r="B22" s="116" t="str">
        <f>VLOOKUP(A22,'0 Järjestäjätiedot'!A:H,2,FALSE)</f>
        <v>Valkealan Kristillisen Kansanopiston kannatusyhdistys r.y.</v>
      </c>
      <c r="C22" s="223">
        <v>23</v>
      </c>
      <c r="D22" s="223">
        <v>21</v>
      </c>
      <c r="E22" s="224">
        <v>0.91304347826086951</v>
      </c>
      <c r="F22" s="217"/>
      <c r="G22" s="218">
        <v>4.5357142857142856</v>
      </c>
      <c r="H22" s="218">
        <v>0.94842930184045382</v>
      </c>
      <c r="I22" s="223">
        <v>1143</v>
      </c>
      <c r="J22" s="223">
        <v>3755.5714285714289</v>
      </c>
      <c r="K22" s="219">
        <v>5.9087689549077447E-4</v>
      </c>
      <c r="L22" s="217"/>
      <c r="M22" s="217"/>
      <c r="N22" s="217"/>
      <c r="O22" s="217"/>
      <c r="P22" s="217"/>
      <c r="Q22" s="217"/>
      <c r="R22" s="217"/>
      <c r="S22" s="217"/>
      <c r="T22" s="217"/>
      <c r="U22" s="223">
        <v>23</v>
      </c>
      <c r="V22" s="223">
        <v>21</v>
      </c>
      <c r="W22" s="224">
        <v>0.91304347826086951</v>
      </c>
      <c r="X22" s="217"/>
      <c r="Y22" s="218">
        <v>4.5357142857142856</v>
      </c>
      <c r="Z22" s="218">
        <v>0.94842930184045382</v>
      </c>
      <c r="AA22" s="223">
        <v>1143</v>
      </c>
      <c r="AB22" s="223">
        <v>3755.5714285714289</v>
      </c>
      <c r="AC22" s="219">
        <v>5.6712743314989069E-4</v>
      </c>
    </row>
    <row r="23" spans="1:29" ht="15" customHeight="1" x14ac:dyDescent="0.25">
      <c r="A23" s="88" t="s">
        <v>375</v>
      </c>
      <c r="B23" s="116" t="str">
        <f>VLOOKUP(A23,'0 Järjestäjätiedot'!A:H,2,FALSE)</f>
        <v>Itä-Suomen Liikuntaopisto Oy</v>
      </c>
      <c r="C23" s="223">
        <v>63</v>
      </c>
      <c r="D23" s="223">
        <v>51</v>
      </c>
      <c r="E23" s="224">
        <v>0.80952380952380953</v>
      </c>
      <c r="F23" s="217"/>
      <c r="G23" s="218">
        <v>4.1879084967320264</v>
      </c>
      <c r="H23" s="218">
        <v>0.93706407980797546</v>
      </c>
      <c r="I23" s="223">
        <v>2563</v>
      </c>
      <c r="J23" s="223">
        <v>9498.176470588236</v>
      </c>
      <c r="K23" s="219">
        <v>1.4943805842882148E-3</v>
      </c>
      <c r="L23" s="217"/>
      <c r="M23" s="217"/>
      <c r="N23" s="217"/>
      <c r="O23" s="217"/>
      <c r="P23" s="217"/>
      <c r="Q23" s="217"/>
      <c r="R23" s="217"/>
      <c r="S23" s="217"/>
      <c r="T23" s="217"/>
      <c r="U23" s="223">
        <v>63</v>
      </c>
      <c r="V23" s="223">
        <v>51</v>
      </c>
      <c r="W23" s="224">
        <v>0.80952380952380953</v>
      </c>
      <c r="X23" s="217"/>
      <c r="Y23" s="218">
        <v>4.1879084967320264</v>
      </c>
      <c r="Z23" s="218">
        <v>0.93706407980797546</v>
      </c>
      <c r="AA23" s="223">
        <v>2563</v>
      </c>
      <c r="AB23" s="223">
        <v>9498.176470588236</v>
      </c>
      <c r="AC23" s="219">
        <v>1.4343160671606286E-3</v>
      </c>
    </row>
    <row r="24" spans="1:29" ht="15" customHeight="1" x14ac:dyDescent="0.25">
      <c r="A24" s="88" t="s">
        <v>266</v>
      </c>
      <c r="B24" s="116" t="str">
        <f>VLOOKUP(A24,'0 Järjestäjätiedot'!A:H,2,FALSE)</f>
        <v>Tohtori Matthias Ingmanin säätiö sr</v>
      </c>
      <c r="C24" s="223">
        <v>74</v>
      </c>
      <c r="D24" s="223">
        <v>58</v>
      </c>
      <c r="E24" s="224">
        <v>0.78378378378378377</v>
      </c>
      <c r="F24" s="217"/>
      <c r="G24" s="218">
        <v>4.1293103448275863</v>
      </c>
      <c r="H24" s="218">
        <v>0.93030250067736009</v>
      </c>
      <c r="I24" s="223">
        <v>2874</v>
      </c>
      <c r="J24" s="223">
        <v>10819.421247260776</v>
      </c>
      <c r="K24" s="219">
        <v>1.7022565431594424E-3</v>
      </c>
      <c r="L24" s="223">
        <v>2</v>
      </c>
      <c r="M24" s="223">
        <v>2</v>
      </c>
      <c r="N24" s="224">
        <v>1</v>
      </c>
      <c r="O24" s="217"/>
      <c r="P24" s="218">
        <v>4.208333333333333</v>
      </c>
      <c r="Q24" s="218">
        <v>0.7058780977540593</v>
      </c>
      <c r="R24" s="223">
        <v>101</v>
      </c>
      <c r="S24" s="223">
        <v>101</v>
      </c>
      <c r="T24" s="219">
        <v>3.7946281945006597E-4</v>
      </c>
      <c r="U24" s="223">
        <v>76</v>
      </c>
      <c r="V24" s="223">
        <v>60</v>
      </c>
      <c r="W24" s="224">
        <v>0.78947368421052633</v>
      </c>
      <c r="X24" s="217"/>
      <c r="Y24" s="218">
        <v>4.1319444444444446</v>
      </c>
      <c r="Z24" s="218">
        <v>0.92380950250231608</v>
      </c>
      <c r="AA24" s="223">
        <v>5566.5555555555557</v>
      </c>
      <c r="AB24" s="223">
        <v>10920.421247260776</v>
      </c>
      <c r="AC24" s="219">
        <v>1.6490887175671088E-3</v>
      </c>
    </row>
    <row r="25" spans="1:29" ht="15" customHeight="1" x14ac:dyDescent="0.25">
      <c r="A25" s="88" t="s">
        <v>361</v>
      </c>
      <c r="B25" s="116" t="str">
        <f>VLOOKUP(A25,'0 Järjestäjätiedot'!A:H,2,FALSE)</f>
        <v>Kaustisen Evankelisen Opiston Kannatusyhdistys ry</v>
      </c>
      <c r="C25" s="223">
        <v>39</v>
      </c>
      <c r="D25" s="223">
        <v>17</v>
      </c>
      <c r="E25" s="224">
        <v>0.4358974358974359</v>
      </c>
      <c r="F25" s="217"/>
      <c r="G25" s="218">
        <v>4.083333333333333</v>
      </c>
      <c r="H25" s="218">
        <v>1.018417008211461</v>
      </c>
      <c r="I25" s="223">
        <v>833</v>
      </c>
      <c r="J25" s="223">
        <v>3149.2678131163707</v>
      </c>
      <c r="K25" s="219">
        <v>4.9548507434221721E-4</v>
      </c>
      <c r="L25" s="217"/>
      <c r="M25" s="217"/>
      <c r="N25" s="217"/>
      <c r="O25" s="217"/>
      <c r="P25" s="217"/>
      <c r="Q25" s="217"/>
      <c r="R25" s="217"/>
      <c r="S25" s="217"/>
      <c r="T25" s="217"/>
      <c r="U25" s="223">
        <v>39</v>
      </c>
      <c r="V25" s="223">
        <v>17</v>
      </c>
      <c r="W25" s="224">
        <v>0.4358974358974359</v>
      </c>
      <c r="X25" s="217"/>
      <c r="Y25" s="218">
        <v>4.083333333333333</v>
      </c>
      <c r="Z25" s="218">
        <v>1.018417008211461</v>
      </c>
      <c r="AA25" s="223">
        <v>833</v>
      </c>
      <c r="AB25" s="223">
        <v>3149.2678131163707</v>
      </c>
      <c r="AC25" s="219">
        <v>4.7556975153409408E-4</v>
      </c>
    </row>
    <row r="26" spans="1:29" ht="15" customHeight="1" x14ac:dyDescent="0.25">
      <c r="A26" s="88" t="s">
        <v>339</v>
      </c>
      <c r="B26" s="116" t="str">
        <f>VLOOKUP(A26,'0 Järjestäjätiedot'!A:H,2,FALSE)</f>
        <v>Kuortaneen Urheiluopistosäätiö sr</v>
      </c>
      <c r="C26" s="223">
        <v>90</v>
      </c>
      <c r="D26" s="223">
        <v>73</v>
      </c>
      <c r="E26" s="224">
        <v>0.81111111111111112</v>
      </c>
      <c r="F26" s="217"/>
      <c r="G26" s="218">
        <v>4.2860360360360357</v>
      </c>
      <c r="H26" s="218">
        <v>0.83783481061160137</v>
      </c>
      <c r="I26" s="223">
        <v>3754.5675675675675</v>
      </c>
      <c r="J26" s="223">
        <v>13886.756756756758</v>
      </c>
      <c r="K26" s="219">
        <v>2.1848509279955792E-3</v>
      </c>
      <c r="L26" s="217"/>
      <c r="M26" s="217"/>
      <c r="N26" s="217"/>
      <c r="O26" s="217"/>
      <c r="P26" s="217"/>
      <c r="Q26" s="217"/>
      <c r="R26" s="217"/>
      <c r="S26" s="217"/>
      <c r="T26" s="217"/>
      <c r="U26" s="223">
        <v>90</v>
      </c>
      <c r="V26" s="223">
        <v>73</v>
      </c>
      <c r="W26" s="224">
        <v>0.81111111111111112</v>
      </c>
      <c r="X26" s="217"/>
      <c r="Y26" s="218">
        <v>4.2860360360360357</v>
      </c>
      <c r="Z26" s="218">
        <v>0.83783481061160137</v>
      </c>
      <c r="AA26" s="223">
        <v>3754.5675675675675</v>
      </c>
      <c r="AB26" s="223">
        <v>13886.756756756758</v>
      </c>
      <c r="AC26" s="219">
        <v>2.0970339305281496E-3</v>
      </c>
    </row>
    <row r="27" spans="1:29" ht="15" customHeight="1" x14ac:dyDescent="0.25">
      <c r="A27" s="88" t="s">
        <v>325</v>
      </c>
      <c r="B27" s="116" t="str">
        <f>VLOOKUP(A27,'0 Järjestäjätiedot'!A:H,2,FALSE)</f>
        <v>Marttayhdistysten liitto ry</v>
      </c>
      <c r="C27" s="223">
        <v>85</v>
      </c>
      <c r="D27" s="223">
        <v>42</v>
      </c>
      <c r="E27" s="224">
        <v>0.49411764705882355</v>
      </c>
      <c r="F27" s="217"/>
      <c r="G27" s="218">
        <v>4.5595238095238093</v>
      </c>
      <c r="H27" s="218">
        <v>0.82160108609422167</v>
      </c>
      <c r="I27" s="223">
        <v>2298</v>
      </c>
      <c r="J27" s="223">
        <v>8772.5553633218005</v>
      </c>
      <c r="K27" s="219">
        <v>1.380216134132287E-3</v>
      </c>
      <c r="L27" s="223">
        <v>7</v>
      </c>
      <c r="M27" s="223">
        <v>5</v>
      </c>
      <c r="N27" s="224">
        <v>0.7142857142857143</v>
      </c>
      <c r="O27" s="217"/>
      <c r="P27" s="218">
        <v>4.0333333333333332</v>
      </c>
      <c r="Q27" s="218">
        <v>1.23782964184181</v>
      </c>
      <c r="R27" s="223">
        <v>242</v>
      </c>
      <c r="S27" s="223">
        <v>307.59311224489801</v>
      </c>
      <c r="T27" s="219">
        <v>1.1556450457016793E-3</v>
      </c>
      <c r="U27" s="223">
        <v>92</v>
      </c>
      <c r="V27" s="223">
        <v>47</v>
      </c>
      <c r="W27" s="224">
        <v>0.51086956521739135</v>
      </c>
      <c r="X27" s="217"/>
      <c r="Y27" s="218">
        <v>4.5035460992907801</v>
      </c>
      <c r="Z27" s="218">
        <v>0.89024750304012767</v>
      </c>
      <c r="AA27" s="223">
        <v>5080</v>
      </c>
      <c r="AB27" s="223">
        <v>9080.1484755666988</v>
      </c>
      <c r="AC27" s="219">
        <v>1.3711898163861784E-3</v>
      </c>
    </row>
    <row r="28" spans="1:29" ht="15" customHeight="1" x14ac:dyDescent="0.25">
      <c r="A28" s="88" t="s">
        <v>302</v>
      </c>
      <c r="B28" s="116" t="str">
        <f>VLOOKUP(A28,'0 Järjestäjätiedot'!A:H,2,FALSE)</f>
        <v>Raahen Porvari- ja Kauppakoulurahasto sr</v>
      </c>
      <c r="C28" s="217"/>
      <c r="D28" s="217"/>
      <c r="E28" s="217"/>
      <c r="F28" s="217"/>
      <c r="G28" s="217"/>
      <c r="H28" s="217"/>
      <c r="I28" s="217"/>
      <c r="J28" s="217"/>
      <c r="K28" s="217"/>
      <c r="L28" s="223">
        <v>1</v>
      </c>
      <c r="M28" s="223">
        <v>1</v>
      </c>
      <c r="N28" s="224">
        <v>1</v>
      </c>
      <c r="O28" s="217"/>
      <c r="P28" s="218">
        <v>4.916666666666667</v>
      </c>
      <c r="Q28" s="218">
        <v>0.27638539919627758</v>
      </c>
      <c r="R28" s="223">
        <v>59</v>
      </c>
      <c r="S28" s="223">
        <v>59</v>
      </c>
      <c r="T28" s="219">
        <v>2.2166639948073159E-4</v>
      </c>
      <c r="U28" s="223">
        <v>1</v>
      </c>
      <c r="V28" s="223">
        <v>1</v>
      </c>
      <c r="W28" s="224">
        <v>1</v>
      </c>
      <c r="X28" s="217"/>
      <c r="Y28" s="218">
        <v>4.916666666666667</v>
      </c>
      <c r="Z28" s="218">
        <v>0.27638539919627758</v>
      </c>
      <c r="AA28" s="223">
        <v>59</v>
      </c>
      <c r="AB28" s="223">
        <v>59</v>
      </c>
      <c r="AC28" s="219">
        <v>8.9095678759521038E-6</v>
      </c>
    </row>
    <row r="29" spans="1:29" ht="15" customHeight="1" x14ac:dyDescent="0.25">
      <c r="A29" s="88" t="s">
        <v>309</v>
      </c>
      <c r="B29" s="116" t="str">
        <f>VLOOKUP(A29,'0 Järjestäjätiedot'!A:H,2,FALSE)</f>
        <v>Peräpohjolan Kansanopiston kannatusyhdistys ry</v>
      </c>
      <c r="C29" s="223">
        <v>32</v>
      </c>
      <c r="D29" s="223">
        <v>18</v>
      </c>
      <c r="E29" s="224">
        <v>0.5625</v>
      </c>
      <c r="F29" s="217"/>
      <c r="G29" s="218">
        <v>4.0972222222222223</v>
      </c>
      <c r="H29" s="218">
        <v>1.0518025386197329</v>
      </c>
      <c r="I29" s="223">
        <v>885</v>
      </c>
      <c r="J29" s="223">
        <v>3398.8018798828125</v>
      </c>
      <c r="K29" s="219">
        <v>5.3474512237869636E-4</v>
      </c>
      <c r="L29" s="217"/>
      <c r="M29" s="217"/>
      <c r="N29" s="217"/>
      <c r="O29" s="217"/>
      <c r="P29" s="217"/>
      <c r="Q29" s="217"/>
      <c r="R29" s="217"/>
      <c r="S29" s="217"/>
      <c r="T29" s="217"/>
      <c r="U29" s="223">
        <v>32</v>
      </c>
      <c r="V29" s="223">
        <v>18</v>
      </c>
      <c r="W29" s="224">
        <v>0.5625</v>
      </c>
      <c r="X29" s="217"/>
      <c r="Y29" s="218">
        <v>4.0972222222222223</v>
      </c>
      <c r="Z29" s="218">
        <v>1.0518025386197329</v>
      </c>
      <c r="AA29" s="223">
        <v>885</v>
      </c>
      <c r="AB29" s="223">
        <v>3398.8018798828125</v>
      </c>
      <c r="AC29" s="219">
        <v>5.1325179738524621E-4</v>
      </c>
    </row>
    <row r="30" spans="1:29" ht="15" customHeight="1" x14ac:dyDescent="0.25">
      <c r="A30" s="88" t="s">
        <v>299</v>
      </c>
      <c r="B30" s="116" t="str">
        <f>VLOOKUP(A30,'0 Järjestäjätiedot'!A:H,2,FALSE)</f>
        <v>Raudaskylän Kristillinen Opisto r.y.</v>
      </c>
      <c r="C30" s="223">
        <v>33</v>
      </c>
      <c r="D30" s="223">
        <v>15</v>
      </c>
      <c r="E30" s="224">
        <v>0.45454545454545453</v>
      </c>
      <c r="F30" s="217"/>
      <c r="G30" s="218">
        <v>4.4375</v>
      </c>
      <c r="H30" s="218">
        <v>0.92772683659217925</v>
      </c>
      <c r="I30" s="223">
        <v>798.75</v>
      </c>
      <c r="J30" s="223">
        <v>3030.5878744834713</v>
      </c>
      <c r="K30" s="219">
        <v>4.7681275375660722E-4</v>
      </c>
      <c r="L30" s="217"/>
      <c r="M30" s="217"/>
      <c r="N30" s="217"/>
      <c r="O30" s="217"/>
      <c r="P30" s="217"/>
      <c r="Q30" s="217"/>
      <c r="R30" s="217"/>
      <c r="S30" s="217"/>
      <c r="T30" s="217"/>
      <c r="U30" s="223">
        <v>33</v>
      </c>
      <c r="V30" s="223">
        <v>15</v>
      </c>
      <c r="W30" s="224">
        <v>0.45454545454545453</v>
      </c>
      <c r="X30" s="217"/>
      <c r="Y30" s="218">
        <v>4.4375</v>
      </c>
      <c r="Z30" s="218">
        <v>0.92772683659217925</v>
      </c>
      <c r="AA30" s="223">
        <v>798.75</v>
      </c>
      <c r="AB30" s="223">
        <v>3030.5878744834713</v>
      </c>
      <c r="AC30" s="219">
        <v>4.5764793850420175E-4</v>
      </c>
    </row>
    <row r="31" spans="1:29" ht="15" customHeight="1" x14ac:dyDescent="0.25">
      <c r="A31" s="88" t="s">
        <v>381</v>
      </c>
      <c r="B31" s="116" t="str">
        <f>VLOOKUP(A31,'0 Järjestäjätiedot'!A:H,2,FALSE)</f>
        <v>Laajasalon opiston säätiö sr</v>
      </c>
      <c r="C31" s="223">
        <v>37</v>
      </c>
      <c r="D31" s="223">
        <v>21</v>
      </c>
      <c r="E31" s="224">
        <v>0.56756756756756754</v>
      </c>
      <c r="F31" s="217"/>
      <c r="G31" s="218">
        <v>4.1515151515151514</v>
      </c>
      <c r="H31" s="218">
        <v>1.051585012088524</v>
      </c>
      <c r="I31" s="223">
        <v>1046.1818181818182</v>
      </c>
      <c r="J31" s="223">
        <v>4018.6822083139655</v>
      </c>
      <c r="K31" s="219">
        <v>6.3227301420700507E-4</v>
      </c>
      <c r="L31" s="217"/>
      <c r="M31" s="217"/>
      <c r="N31" s="217"/>
      <c r="O31" s="217"/>
      <c r="P31" s="217"/>
      <c r="Q31" s="217"/>
      <c r="R31" s="217"/>
      <c r="S31" s="217"/>
      <c r="T31" s="217"/>
      <c r="U31" s="223">
        <v>37</v>
      </c>
      <c r="V31" s="223">
        <v>21</v>
      </c>
      <c r="W31" s="224">
        <v>0.56756756756756754</v>
      </c>
      <c r="X31" s="217"/>
      <c r="Y31" s="218">
        <v>4.1515151515151514</v>
      </c>
      <c r="Z31" s="218">
        <v>1.051585012088524</v>
      </c>
      <c r="AA31" s="223">
        <v>1046.1818181818182</v>
      </c>
      <c r="AB31" s="223">
        <v>4018.6822083139655</v>
      </c>
      <c r="AC31" s="219">
        <v>6.0685969333651468E-4</v>
      </c>
    </row>
    <row r="32" spans="1:29" ht="15" customHeight="1" x14ac:dyDescent="0.25">
      <c r="A32" s="88" t="s">
        <v>382</v>
      </c>
      <c r="B32" s="116" t="str">
        <f>VLOOKUP(A32,'0 Järjestäjätiedot'!A:H,2,FALSE)</f>
        <v>Helsingin Konservatorion Säätiö sr</v>
      </c>
      <c r="C32" s="223">
        <v>20</v>
      </c>
      <c r="D32" s="223">
        <v>16</v>
      </c>
      <c r="E32" s="224">
        <v>0.8</v>
      </c>
      <c r="F32" s="217"/>
      <c r="G32" s="218">
        <v>3.96875</v>
      </c>
      <c r="H32" s="218">
        <v>1.0098795823430298</v>
      </c>
      <c r="I32" s="223">
        <v>762</v>
      </c>
      <c r="J32" s="223">
        <v>2857.5</v>
      </c>
      <c r="K32" s="219">
        <v>4.4958024656906745E-4</v>
      </c>
      <c r="L32" s="223">
        <v>1</v>
      </c>
      <c r="M32" s="223">
        <v>1</v>
      </c>
      <c r="N32" s="224">
        <v>1</v>
      </c>
      <c r="O32" s="217"/>
      <c r="P32" s="218">
        <v>4.416666666666667</v>
      </c>
      <c r="Q32" s="218">
        <v>0.86200670273238222</v>
      </c>
      <c r="R32" s="223">
        <v>53</v>
      </c>
      <c r="S32" s="223">
        <v>53</v>
      </c>
      <c r="T32" s="219">
        <v>1.9912405377082667E-4</v>
      </c>
      <c r="U32" s="223">
        <v>21</v>
      </c>
      <c r="V32" s="223">
        <v>17</v>
      </c>
      <c r="W32" s="224">
        <v>0.80952380952380953</v>
      </c>
      <c r="X32" s="217"/>
      <c r="Y32" s="218">
        <v>3.9950980392156863</v>
      </c>
      <c r="Z32" s="218">
        <v>1.0073141779670385</v>
      </c>
      <c r="AA32" s="223">
        <v>1449.5155709342559</v>
      </c>
      <c r="AB32" s="223">
        <v>2910.5</v>
      </c>
      <c r="AC32" s="219">
        <v>4.3951351360946777E-4</v>
      </c>
    </row>
    <row r="33" spans="1:29" ht="15" customHeight="1" x14ac:dyDescent="0.25">
      <c r="A33" s="88" t="s">
        <v>386</v>
      </c>
      <c r="B33" s="116" t="str">
        <f>VLOOKUP(A33,'0 Järjestäjätiedot'!A:H,2,FALSE)</f>
        <v>Helsingin kaupunki</v>
      </c>
      <c r="C33" s="223">
        <v>2610</v>
      </c>
      <c r="D33" s="223">
        <v>635</v>
      </c>
      <c r="E33" s="224">
        <v>0.24329501915708812</v>
      </c>
      <c r="F33" s="217"/>
      <c r="G33" s="218">
        <v>4.1286089238845145</v>
      </c>
      <c r="H33" s="218">
        <v>1.0279533506701355</v>
      </c>
      <c r="I33" s="223">
        <v>31460</v>
      </c>
      <c r="J33" s="223">
        <v>111542.5279030145</v>
      </c>
      <c r="K33" s="219">
        <v>1.7549367348232491E-2</v>
      </c>
      <c r="L33" s="223">
        <v>599</v>
      </c>
      <c r="M33" s="223">
        <v>136</v>
      </c>
      <c r="N33" s="224">
        <v>0.22704507512520869</v>
      </c>
      <c r="O33" s="217"/>
      <c r="P33" s="218">
        <v>3.8713235294117645</v>
      </c>
      <c r="Q33" s="218">
        <v>1.0905616529376654</v>
      </c>
      <c r="R33" s="223">
        <v>6318</v>
      </c>
      <c r="S33" s="223">
        <v>7408.371417582448</v>
      </c>
      <c r="T33" s="219">
        <v>2.7833678273753638E-2</v>
      </c>
      <c r="U33" s="223">
        <v>3209</v>
      </c>
      <c r="V33" s="223">
        <v>771</v>
      </c>
      <c r="W33" s="224">
        <v>0.24026176378934247</v>
      </c>
      <c r="X33" s="217"/>
      <c r="Y33" s="218">
        <v>4.0832252485948981</v>
      </c>
      <c r="Z33" s="218">
        <v>1.0438875965146581</v>
      </c>
      <c r="AA33" s="223">
        <v>54813.215737137922</v>
      </c>
      <c r="AB33" s="223">
        <v>118950.89932059695</v>
      </c>
      <c r="AC33" s="219">
        <v>1.7962730701735652E-2</v>
      </c>
    </row>
    <row r="34" spans="1:29" ht="15" customHeight="1" x14ac:dyDescent="0.25">
      <c r="A34" s="88" t="s">
        <v>378</v>
      </c>
      <c r="B34" s="116" t="str">
        <f>VLOOKUP(A34,'0 Järjestäjätiedot'!A:H,2,FALSE)</f>
        <v>Invalidisäätiö sr</v>
      </c>
      <c r="C34" s="223">
        <v>208</v>
      </c>
      <c r="D34" s="223">
        <v>95</v>
      </c>
      <c r="E34" s="224">
        <v>0.45673076923076922</v>
      </c>
      <c r="F34" s="217"/>
      <c r="G34" s="218">
        <v>4.3964912280701753</v>
      </c>
      <c r="H34" s="218">
        <v>0.86995965066358294</v>
      </c>
      <c r="I34" s="223">
        <v>5012</v>
      </c>
      <c r="J34" s="223">
        <v>19023.757792275333</v>
      </c>
      <c r="K34" s="219">
        <v>2.9930728675140379E-3</v>
      </c>
      <c r="L34" s="223">
        <v>41</v>
      </c>
      <c r="M34" s="223">
        <v>7</v>
      </c>
      <c r="N34" s="224">
        <v>0.17073170731707318</v>
      </c>
      <c r="O34" s="217"/>
      <c r="P34" s="218">
        <v>4.0119047619047619</v>
      </c>
      <c r="Q34" s="218">
        <v>1.2391822151557355</v>
      </c>
      <c r="R34" s="223">
        <v>337</v>
      </c>
      <c r="S34" s="223">
        <v>383.26608045806074</v>
      </c>
      <c r="T34" s="219">
        <v>1.4399527474276391E-3</v>
      </c>
      <c r="U34" s="223">
        <v>249</v>
      </c>
      <c r="V34" s="223">
        <v>102</v>
      </c>
      <c r="W34" s="224">
        <v>0.40963855421686746</v>
      </c>
      <c r="X34" s="217"/>
      <c r="Y34" s="218">
        <v>4.3700980392156863</v>
      </c>
      <c r="Z34" s="218">
        <v>0.90538764503053293</v>
      </c>
      <c r="AA34" s="223">
        <v>9330.4163783160311</v>
      </c>
      <c r="AB34" s="223">
        <v>19407.023872733393</v>
      </c>
      <c r="AC34" s="219">
        <v>2.9306473977006955E-3</v>
      </c>
    </row>
    <row r="35" spans="1:29" ht="15" customHeight="1" x14ac:dyDescent="0.25">
      <c r="A35" s="88" t="s">
        <v>384</v>
      </c>
      <c r="B35" s="116" t="str">
        <f>VLOOKUP(A35,'0 Järjestäjätiedot'!A:H,2,FALSE)</f>
        <v>Hengitysliitto ry</v>
      </c>
      <c r="C35" s="223">
        <v>360</v>
      </c>
      <c r="D35" s="223">
        <v>307</v>
      </c>
      <c r="E35" s="224">
        <v>0.85277777777777775</v>
      </c>
      <c r="F35" s="217"/>
      <c r="G35" s="218">
        <v>4.3507057546145491</v>
      </c>
      <c r="H35" s="218">
        <v>0.92423166508654353</v>
      </c>
      <c r="I35" s="223">
        <v>16028</v>
      </c>
      <c r="J35" s="223">
        <v>56385.146579804561</v>
      </c>
      <c r="K35" s="219">
        <v>8.8712679272726323E-3</v>
      </c>
      <c r="L35" s="223">
        <v>88</v>
      </c>
      <c r="M35" s="223">
        <v>59</v>
      </c>
      <c r="N35" s="224">
        <v>0.67045454545454541</v>
      </c>
      <c r="O35" s="217"/>
      <c r="P35" s="218">
        <v>4.0621468926553677</v>
      </c>
      <c r="Q35" s="218">
        <v>1.0743974376964798</v>
      </c>
      <c r="R35" s="223">
        <v>2876</v>
      </c>
      <c r="S35" s="223">
        <v>3673.7218653150821</v>
      </c>
      <c r="T35" s="219">
        <v>1.3802384721661549E-2</v>
      </c>
      <c r="U35" s="223">
        <v>448</v>
      </c>
      <c r="V35" s="223">
        <v>366</v>
      </c>
      <c r="W35" s="224">
        <v>0.8169642857142857</v>
      </c>
      <c r="X35" s="217"/>
      <c r="Y35" s="218">
        <v>4.3041894353369763</v>
      </c>
      <c r="Z35" s="218">
        <v>0.95595188954051269</v>
      </c>
      <c r="AA35" s="223">
        <v>27583.503837080832</v>
      </c>
      <c r="AB35" s="223">
        <v>60058.868445119646</v>
      </c>
      <c r="AC35" s="219">
        <v>9.0694672027910421E-3</v>
      </c>
    </row>
    <row r="36" spans="1:29" ht="15" customHeight="1" x14ac:dyDescent="0.25">
      <c r="A36" s="88" t="s">
        <v>326</v>
      </c>
      <c r="B36" s="116" t="str">
        <f>VLOOKUP(A36,'0 Järjestäjätiedot'!A:H,2,FALSE)</f>
        <v>Markkinointi-instituutin Kannatusyhdistys ry</v>
      </c>
      <c r="C36" s="223">
        <v>1275</v>
      </c>
      <c r="D36" s="223">
        <v>442</v>
      </c>
      <c r="E36" s="224">
        <v>0.34666666666666668</v>
      </c>
      <c r="F36" s="217"/>
      <c r="G36" s="218">
        <v>4.3787707390648567</v>
      </c>
      <c r="H36" s="218">
        <v>0.88774648025273251</v>
      </c>
      <c r="I36" s="223">
        <v>23225</v>
      </c>
      <c r="J36" s="223">
        <v>85777.666666666657</v>
      </c>
      <c r="K36" s="219">
        <v>1.3495693623838767E-2</v>
      </c>
      <c r="L36" s="223">
        <v>37</v>
      </c>
      <c r="M36" s="223">
        <v>12</v>
      </c>
      <c r="N36" s="224">
        <v>0.32432432432432434</v>
      </c>
      <c r="O36" s="217"/>
      <c r="P36" s="218">
        <v>4.291666666666667</v>
      </c>
      <c r="Q36" s="218">
        <v>0.8154327412825374</v>
      </c>
      <c r="R36" s="223">
        <v>618</v>
      </c>
      <c r="S36" s="223">
        <v>755.12016070124173</v>
      </c>
      <c r="T36" s="219">
        <v>2.8370299525077233E-3</v>
      </c>
      <c r="U36" s="223">
        <v>1312</v>
      </c>
      <c r="V36" s="223">
        <v>454</v>
      </c>
      <c r="W36" s="224">
        <v>0.34603658536585363</v>
      </c>
      <c r="X36" s="217"/>
      <c r="Y36" s="218">
        <v>4.3764684287812043</v>
      </c>
      <c r="Z36" s="218">
        <v>0.88602123940030642</v>
      </c>
      <c r="AA36" s="223">
        <v>45538.561412020419</v>
      </c>
      <c r="AB36" s="223">
        <v>86532.786827367905</v>
      </c>
      <c r="AC36" s="219">
        <v>1.3067283690402177E-2</v>
      </c>
    </row>
    <row r="37" spans="1:29" ht="15" customHeight="1" x14ac:dyDescent="0.25">
      <c r="A37" s="88" t="s">
        <v>260</v>
      </c>
      <c r="B37" s="116" t="str">
        <f>VLOOKUP(A37,'0 Järjestäjätiedot'!A:H,2,FALSE)</f>
        <v>Työtehoseura ry</v>
      </c>
      <c r="C37" s="223">
        <v>481</v>
      </c>
      <c r="D37" s="223">
        <v>109</v>
      </c>
      <c r="E37" s="224">
        <v>0.22661122661122662</v>
      </c>
      <c r="F37" s="217"/>
      <c r="G37" s="218">
        <v>4.1077586206896548</v>
      </c>
      <c r="H37" s="218">
        <v>1.0387036733575066</v>
      </c>
      <c r="I37" s="223">
        <v>5372.9482758620688</v>
      </c>
      <c r="J37" s="223">
        <v>18896.585509228171</v>
      </c>
      <c r="K37" s="219">
        <v>2.9730644173411262E-3</v>
      </c>
      <c r="L37" s="223">
        <v>301</v>
      </c>
      <c r="M37" s="223">
        <v>229</v>
      </c>
      <c r="N37" s="224">
        <v>0.76079734219269102</v>
      </c>
      <c r="O37" s="217"/>
      <c r="P37" s="218">
        <v>4.059679767103348</v>
      </c>
      <c r="Q37" s="218">
        <v>0.9648503210303534</v>
      </c>
      <c r="R37" s="223">
        <v>11156</v>
      </c>
      <c r="S37" s="223">
        <v>14068.275671626139</v>
      </c>
      <c r="T37" s="219">
        <v>5.2855322288673512E-2</v>
      </c>
      <c r="U37" s="223">
        <v>782</v>
      </c>
      <c r="V37" s="223">
        <v>338</v>
      </c>
      <c r="W37" s="224">
        <v>0.43222506393861893</v>
      </c>
      <c r="X37" s="217"/>
      <c r="Y37" s="218">
        <v>4.0758454106280197</v>
      </c>
      <c r="Z37" s="218">
        <v>0.99055741652152307</v>
      </c>
      <c r="AA37" s="223">
        <v>18454.010333963455</v>
      </c>
      <c r="AB37" s="223">
        <v>32964.861180854306</v>
      </c>
      <c r="AC37" s="219">
        <v>4.9780113256298313E-3</v>
      </c>
    </row>
    <row r="38" spans="1:29" ht="15" customHeight="1" x14ac:dyDescent="0.25">
      <c r="A38" s="88" t="s">
        <v>281</v>
      </c>
      <c r="B38" s="116" t="str">
        <f>VLOOKUP(A38,'0 Järjestäjätiedot'!A:H,2,FALSE)</f>
        <v>Suomen Urheiluopiston Kannatusosakeyhtiö</v>
      </c>
      <c r="C38" s="223">
        <v>158</v>
      </c>
      <c r="D38" s="223">
        <v>102</v>
      </c>
      <c r="E38" s="224">
        <v>0.64556962025316456</v>
      </c>
      <c r="F38" s="217"/>
      <c r="G38" s="218">
        <v>3.9901960784313726</v>
      </c>
      <c r="H38" s="218">
        <v>1.0625388700852954</v>
      </c>
      <c r="I38" s="223">
        <v>4884</v>
      </c>
      <c r="J38" s="223">
        <v>18749.104530523953</v>
      </c>
      <c r="K38" s="219">
        <v>2.9498607306324334E-3</v>
      </c>
      <c r="L38" s="223">
        <v>16</v>
      </c>
      <c r="M38" s="223">
        <v>9</v>
      </c>
      <c r="N38" s="224">
        <v>0.5625</v>
      </c>
      <c r="O38" s="217"/>
      <c r="P38" s="218">
        <v>4.5092592592592595</v>
      </c>
      <c r="Q38" s="218">
        <v>0.77573585579746163</v>
      </c>
      <c r="R38" s="223">
        <v>487</v>
      </c>
      <c r="S38" s="223">
        <v>623.4337158203125</v>
      </c>
      <c r="T38" s="219">
        <v>2.3422763915386829E-3</v>
      </c>
      <c r="U38" s="223">
        <v>174</v>
      </c>
      <c r="V38" s="223">
        <v>111</v>
      </c>
      <c r="W38" s="224">
        <v>0.63793103448275867</v>
      </c>
      <c r="X38" s="217"/>
      <c r="Y38" s="218">
        <v>4.0322822822822824</v>
      </c>
      <c r="Z38" s="218">
        <v>1.0518151984108264</v>
      </c>
      <c r="AA38" s="223">
        <v>9141.2929145361577</v>
      </c>
      <c r="AB38" s="223">
        <v>19372.538246344266</v>
      </c>
      <c r="AC38" s="219">
        <v>2.9254397361912266E-3</v>
      </c>
    </row>
    <row r="39" spans="1:29" ht="15" customHeight="1" x14ac:dyDescent="0.25">
      <c r="A39" s="88" t="s">
        <v>330</v>
      </c>
      <c r="B39" s="116" t="str">
        <f>VLOOKUP(A39,'0 Järjestäjätiedot'!A:H,2,FALSE)</f>
        <v>Luksia, Länsi-Uudenmaan koulutuskuntayhtymä</v>
      </c>
      <c r="C39" s="223">
        <v>1020</v>
      </c>
      <c r="D39" s="223">
        <v>408</v>
      </c>
      <c r="E39" s="224">
        <v>0.4</v>
      </c>
      <c r="F39" s="217"/>
      <c r="G39" s="218">
        <v>4.1660554197229009</v>
      </c>
      <c r="H39" s="218">
        <v>1.0529642282814338</v>
      </c>
      <c r="I39" s="223">
        <v>20397.007334963328</v>
      </c>
      <c r="J39" s="223">
        <v>76488.77750611247</v>
      </c>
      <c r="K39" s="219">
        <v>1.2034240927721639E-2</v>
      </c>
      <c r="L39" s="223">
        <v>62</v>
      </c>
      <c r="M39" s="223">
        <v>16</v>
      </c>
      <c r="N39" s="224">
        <v>0.25806451612903225</v>
      </c>
      <c r="O39" s="217"/>
      <c r="P39" s="218">
        <v>4.494791666666667</v>
      </c>
      <c r="Q39" s="218">
        <v>0.7216690422882347</v>
      </c>
      <c r="R39" s="223">
        <v>863</v>
      </c>
      <c r="S39" s="223">
        <v>1026.8891779396461</v>
      </c>
      <c r="T39" s="219">
        <v>3.8580818091459262E-3</v>
      </c>
      <c r="U39" s="223">
        <v>1082</v>
      </c>
      <c r="V39" s="223">
        <v>424</v>
      </c>
      <c r="W39" s="224">
        <v>0.39186691312384475</v>
      </c>
      <c r="X39" s="217"/>
      <c r="Y39" s="218">
        <v>4.1784313725490199</v>
      </c>
      <c r="Z39" s="218">
        <v>1.0442773513136931</v>
      </c>
      <c r="AA39" s="223">
        <v>39435.268429065749</v>
      </c>
      <c r="AB39" s="223">
        <v>77515.666684052121</v>
      </c>
      <c r="AC39" s="219">
        <v>1.1705611758834602E-2</v>
      </c>
    </row>
    <row r="40" spans="1:29" ht="15" customHeight="1" x14ac:dyDescent="0.25">
      <c r="A40" s="88" t="s">
        <v>394</v>
      </c>
      <c r="B40" s="116" t="str">
        <f>VLOOKUP(A40,'0 Järjestäjätiedot'!A:H,2,FALSE)</f>
        <v>Eurajoen kristillisen opiston kannatusyhdistys r.y.</v>
      </c>
      <c r="C40" s="223">
        <v>24</v>
      </c>
      <c r="D40" s="223">
        <v>24</v>
      </c>
      <c r="E40" s="224">
        <v>1</v>
      </c>
      <c r="F40" s="217"/>
      <c r="G40" s="218">
        <v>4.2222222222222223</v>
      </c>
      <c r="H40" s="218">
        <v>0.92754488094799947</v>
      </c>
      <c r="I40" s="223">
        <v>1216</v>
      </c>
      <c r="J40" s="223">
        <v>3648</v>
      </c>
      <c r="K40" s="219">
        <v>5.7395231478003783E-4</v>
      </c>
      <c r="L40" s="223">
        <v>2</v>
      </c>
      <c r="M40" s="223">
        <v>2</v>
      </c>
      <c r="N40" s="224">
        <v>1</v>
      </c>
      <c r="O40" s="217"/>
      <c r="P40" s="218">
        <v>4.416666666666667</v>
      </c>
      <c r="Q40" s="218">
        <v>0.57130455003341762</v>
      </c>
      <c r="R40" s="223">
        <v>106</v>
      </c>
      <c r="S40" s="223">
        <v>106</v>
      </c>
      <c r="T40" s="219">
        <v>3.9824810754165334E-4</v>
      </c>
      <c r="U40" s="223">
        <v>26</v>
      </c>
      <c r="V40" s="223">
        <v>26</v>
      </c>
      <c r="W40" s="224">
        <v>1</v>
      </c>
      <c r="X40" s="217"/>
      <c r="Y40" s="218">
        <v>4.2371794871794872</v>
      </c>
      <c r="Z40" s="218">
        <v>0.90661514385454867</v>
      </c>
      <c r="AA40" s="223">
        <v>2268.5207100591715</v>
      </c>
      <c r="AB40" s="223">
        <v>3754</v>
      </c>
      <c r="AC40" s="219">
        <v>5.6689013231057961E-4</v>
      </c>
    </row>
    <row r="41" spans="1:29" ht="15" customHeight="1" x14ac:dyDescent="0.25">
      <c r="A41" s="88" t="s">
        <v>290</v>
      </c>
      <c r="B41" s="116" t="str">
        <f>VLOOKUP(A41,'0 Järjestäjätiedot'!A:H,2,FALSE)</f>
        <v>Satakunnan koulutuskuntayhtymä</v>
      </c>
      <c r="C41" s="223">
        <v>799</v>
      </c>
      <c r="D41" s="223">
        <v>639</v>
      </c>
      <c r="E41" s="224">
        <v>0.79974968710888605</v>
      </c>
      <c r="F41" s="217"/>
      <c r="G41" s="218">
        <v>4.1938377535101408</v>
      </c>
      <c r="H41" s="218">
        <v>0.96317990887403759</v>
      </c>
      <c r="I41" s="223">
        <v>32158.347893915754</v>
      </c>
      <c r="J41" s="223">
        <v>120601.34642565984</v>
      </c>
      <c r="K41" s="219">
        <v>1.897462224413287E-2</v>
      </c>
      <c r="L41" s="223">
        <v>242</v>
      </c>
      <c r="M41" s="223">
        <v>125</v>
      </c>
      <c r="N41" s="224">
        <v>0.51652892561983466</v>
      </c>
      <c r="O41" s="217"/>
      <c r="P41" s="218">
        <v>4.28</v>
      </c>
      <c r="Q41" s="218">
        <v>0.93537871118244464</v>
      </c>
      <c r="R41" s="223">
        <v>6420</v>
      </c>
      <c r="S41" s="223">
        <v>8190.6790327675708</v>
      </c>
      <c r="T41" s="219">
        <v>3.0772853059252689E-2</v>
      </c>
      <c r="U41" s="223">
        <v>1041</v>
      </c>
      <c r="V41" s="223">
        <v>764</v>
      </c>
      <c r="W41" s="224">
        <v>0.73390970220941398</v>
      </c>
      <c r="X41" s="217"/>
      <c r="Y41" s="218">
        <v>4.2078981723237598</v>
      </c>
      <c r="Z41" s="218">
        <v>0.95922679012205903</v>
      </c>
      <c r="AA41" s="223">
        <v>56061.59662960413</v>
      </c>
      <c r="AB41" s="223">
        <v>128792.02545842741</v>
      </c>
      <c r="AC41" s="219">
        <v>1.9448835469545938E-2</v>
      </c>
    </row>
    <row r="42" spans="1:29" ht="15" customHeight="1" x14ac:dyDescent="0.25">
      <c r="A42" s="88" t="s">
        <v>331</v>
      </c>
      <c r="B42" s="116" t="str">
        <f>VLOOKUP(A42,'0 Järjestäjätiedot'!A:H,2,FALSE)</f>
        <v>Lounais-Suomen koulutuskuntayhtymä</v>
      </c>
      <c r="C42" s="223">
        <v>564</v>
      </c>
      <c r="D42" s="223">
        <v>423</v>
      </c>
      <c r="E42" s="224">
        <v>0.75</v>
      </c>
      <c r="F42" s="217"/>
      <c r="G42" s="218">
        <v>3.9875886524822697</v>
      </c>
      <c r="H42" s="218">
        <v>1.0258881182984969</v>
      </c>
      <c r="I42" s="223">
        <v>20241</v>
      </c>
      <c r="J42" s="223">
        <v>76733.947265625</v>
      </c>
      <c r="K42" s="219">
        <v>1.2072814324373581E-2</v>
      </c>
      <c r="L42" s="223">
        <v>54</v>
      </c>
      <c r="M42" s="223">
        <v>35</v>
      </c>
      <c r="N42" s="224">
        <v>0.64814814814814814</v>
      </c>
      <c r="O42" s="217"/>
      <c r="P42" s="218">
        <v>4.25</v>
      </c>
      <c r="Q42" s="218">
        <v>0.97063362275867493</v>
      </c>
      <c r="R42" s="223">
        <v>1785</v>
      </c>
      <c r="S42" s="223">
        <v>2283.798386059671</v>
      </c>
      <c r="T42" s="219">
        <v>8.5803621250466634E-3</v>
      </c>
      <c r="U42" s="223">
        <v>618</v>
      </c>
      <c r="V42" s="223">
        <v>458</v>
      </c>
      <c r="W42" s="224">
        <v>0.74110032362459544</v>
      </c>
      <c r="X42" s="217"/>
      <c r="Y42" s="218">
        <v>4.0081699346405228</v>
      </c>
      <c r="Z42" s="218">
        <v>1.0240953597727038</v>
      </c>
      <c r="AA42" s="223">
        <v>37763.562475970779</v>
      </c>
      <c r="AB42" s="223">
        <v>79017.745651684672</v>
      </c>
      <c r="AC42" s="219">
        <v>1.1932440140481421E-2</v>
      </c>
    </row>
    <row r="43" spans="1:29" ht="15" customHeight="1" x14ac:dyDescent="0.25">
      <c r="A43" s="88" t="s">
        <v>301</v>
      </c>
      <c r="B43" s="116" t="str">
        <f>VLOOKUP(A43,'0 Järjestäjätiedot'!A:H,2,FALSE)</f>
        <v>Raision Seudun Koulutuskuntayhtymä</v>
      </c>
      <c r="C43" s="223">
        <v>603</v>
      </c>
      <c r="D43" s="223">
        <v>438</v>
      </c>
      <c r="E43" s="224">
        <v>0.72636815920398012</v>
      </c>
      <c r="F43" s="217"/>
      <c r="G43" s="218">
        <v>4.2201293759512941</v>
      </c>
      <c r="H43" s="218">
        <v>0.92799253805704895</v>
      </c>
      <c r="I43" s="223">
        <v>22181</v>
      </c>
      <c r="J43" s="223">
        <v>84428.047430756676</v>
      </c>
      <c r="K43" s="219">
        <v>1.3283353414265795E-2</v>
      </c>
      <c r="L43" s="223">
        <v>92</v>
      </c>
      <c r="M43" s="223">
        <v>71</v>
      </c>
      <c r="N43" s="224">
        <v>0.77173913043478259</v>
      </c>
      <c r="O43" s="217"/>
      <c r="P43" s="218">
        <v>3.8556338028169015</v>
      </c>
      <c r="Q43" s="218">
        <v>1.1844270012536366</v>
      </c>
      <c r="R43" s="223">
        <v>3285</v>
      </c>
      <c r="S43" s="223">
        <v>4133.2118199137522</v>
      </c>
      <c r="T43" s="219">
        <v>1.5528714956126838E-2</v>
      </c>
      <c r="U43" s="223">
        <v>695</v>
      </c>
      <c r="V43" s="223">
        <v>509</v>
      </c>
      <c r="W43" s="224">
        <v>0.73237410071942444</v>
      </c>
      <c r="X43" s="217"/>
      <c r="Y43" s="218">
        <v>4.1692861820563198</v>
      </c>
      <c r="Z43" s="218">
        <v>0.97605232514118545</v>
      </c>
      <c r="AA43" s="223">
        <v>38705.064516502563</v>
      </c>
      <c r="AB43" s="223">
        <v>88561.259250670424</v>
      </c>
      <c r="AC43" s="219">
        <v>1.3373602550400666E-2</v>
      </c>
    </row>
    <row r="44" spans="1:29" ht="15" customHeight="1" x14ac:dyDescent="0.25">
      <c r="A44" s="88" t="s">
        <v>262</v>
      </c>
      <c r="B44" s="116" t="str">
        <f>VLOOKUP(A44,'0 Järjestäjätiedot'!A:H,2,FALSE)</f>
        <v>Turun kaupunki</v>
      </c>
      <c r="C44" s="223">
        <v>1635</v>
      </c>
      <c r="D44" s="223">
        <v>758</v>
      </c>
      <c r="E44" s="224">
        <v>0.46360856269113149</v>
      </c>
      <c r="F44" s="217"/>
      <c r="G44" s="218">
        <v>4.1768640350877195</v>
      </c>
      <c r="H44" s="218">
        <v>0.97421348795324725</v>
      </c>
      <c r="I44" s="223">
        <v>37992.755263157895</v>
      </c>
      <c r="J44" s="223">
        <v>144378.1726973223</v>
      </c>
      <c r="K44" s="219">
        <v>2.2715511629205095E-2</v>
      </c>
      <c r="L44" s="223">
        <v>83</v>
      </c>
      <c r="M44" s="223">
        <v>60</v>
      </c>
      <c r="N44" s="224">
        <v>0.72289156626506024</v>
      </c>
      <c r="O44" s="217"/>
      <c r="P44" s="218">
        <v>3.9959016393442623</v>
      </c>
      <c r="Q44" s="218">
        <v>0.96452634608516208</v>
      </c>
      <c r="R44" s="223">
        <v>2877.0491803278687</v>
      </c>
      <c r="S44" s="223">
        <v>3652.2738197506592</v>
      </c>
      <c r="T44" s="219">
        <v>1.3721803178675714E-2</v>
      </c>
      <c r="U44" s="223">
        <v>1718</v>
      </c>
      <c r="V44" s="223">
        <v>818</v>
      </c>
      <c r="W44" s="224">
        <v>0.47613504074505236</v>
      </c>
      <c r="X44" s="217"/>
      <c r="Y44" s="218">
        <v>4.1634185952090945</v>
      </c>
      <c r="Z44" s="218">
        <v>0.97465319428942832</v>
      </c>
      <c r="AA44" s="223">
        <v>70558.839358436642</v>
      </c>
      <c r="AB44" s="223">
        <v>148030.44651707297</v>
      </c>
      <c r="AC44" s="219">
        <v>2.2354022219514564E-2</v>
      </c>
    </row>
    <row r="45" spans="1:29" ht="15" customHeight="1" x14ac:dyDescent="0.25">
      <c r="A45" s="88" t="s">
        <v>291</v>
      </c>
      <c r="B45" s="116" t="str">
        <f>VLOOKUP(A45,'0 Järjestäjätiedot'!A:H,2,FALSE)</f>
        <v>SASKY koulutuskuntayhtymä</v>
      </c>
      <c r="C45" s="223">
        <v>1466</v>
      </c>
      <c r="D45" s="223">
        <v>667</v>
      </c>
      <c r="E45" s="224">
        <v>0.45497953615279674</v>
      </c>
      <c r="F45" s="217"/>
      <c r="G45" s="218">
        <v>4.0182408795602198</v>
      </c>
      <c r="H45" s="218">
        <v>1.0361613237346896</v>
      </c>
      <c r="I45" s="223">
        <v>32162</v>
      </c>
      <c r="J45" s="223">
        <v>122037.38219680771</v>
      </c>
      <c r="K45" s="219">
        <v>1.9200558662706677E-2</v>
      </c>
      <c r="L45" s="223">
        <v>80</v>
      </c>
      <c r="M45" s="223">
        <v>51</v>
      </c>
      <c r="N45" s="224">
        <v>0.63749999999999996</v>
      </c>
      <c r="O45" s="217"/>
      <c r="P45" s="218">
        <v>3.7810457516339868</v>
      </c>
      <c r="Q45" s="218">
        <v>1.0760768513743113</v>
      </c>
      <c r="R45" s="223">
        <v>2314</v>
      </c>
      <c r="S45" s="223">
        <v>2962.270263671875</v>
      </c>
      <c r="T45" s="219">
        <v>1.1129420061643762E-2</v>
      </c>
      <c r="U45" s="223">
        <v>1546</v>
      </c>
      <c r="V45" s="223">
        <v>718</v>
      </c>
      <c r="W45" s="224">
        <v>0.4644243208279431</v>
      </c>
      <c r="X45" s="217"/>
      <c r="Y45" s="218">
        <v>4.0013927576601676</v>
      </c>
      <c r="Z45" s="218">
        <v>1.0408320678954073</v>
      </c>
      <c r="AA45" s="223">
        <v>59852.364739565957</v>
      </c>
      <c r="AB45" s="223">
        <v>124999.65246047958</v>
      </c>
      <c r="AC45" s="219">
        <v>1.8876150645204513E-2</v>
      </c>
    </row>
    <row r="46" spans="1:29" ht="15" customHeight="1" x14ac:dyDescent="0.25">
      <c r="A46" s="88" t="s">
        <v>348</v>
      </c>
      <c r="B46" s="116" t="str">
        <f>VLOOKUP(A46,'0 Järjestäjätiedot'!A:H,2,FALSE)</f>
        <v>Koulutuskuntayhtymä Tavastia</v>
      </c>
      <c r="C46" s="223">
        <v>845</v>
      </c>
      <c r="D46" s="223">
        <v>472</v>
      </c>
      <c r="E46" s="224">
        <v>0.55857988165680472</v>
      </c>
      <c r="F46" s="217"/>
      <c r="G46" s="218">
        <v>4.1420534458509142</v>
      </c>
      <c r="H46" s="218">
        <v>0.97265900718611298</v>
      </c>
      <c r="I46" s="223">
        <v>23460.590717299579</v>
      </c>
      <c r="J46" s="223">
        <v>90082.310559810037</v>
      </c>
      <c r="K46" s="219">
        <v>1.4172957967800772E-2</v>
      </c>
      <c r="L46" s="223">
        <v>265</v>
      </c>
      <c r="M46" s="223">
        <v>102</v>
      </c>
      <c r="N46" s="224">
        <v>0.38490566037735852</v>
      </c>
      <c r="O46" s="217"/>
      <c r="P46" s="218">
        <v>4.1781045751633989</v>
      </c>
      <c r="Q46" s="218">
        <v>1.0045538479884868</v>
      </c>
      <c r="R46" s="223">
        <v>5114</v>
      </c>
      <c r="S46" s="223">
        <v>6367.46707013172</v>
      </c>
      <c r="T46" s="219">
        <v>2.3922940665224091E-2</v>
      </c>
      <c r="U46" s="223">
        <v>1110</v>
      </c>
      <c r="V46" s="223">
        <v>574</v>
      </c>
      <c r="W46" s="224">
        <v>0.51711711711711716</v>
      </c>
      <c r="X46" s="217"/>
      <c r="Y46" s="218">
        <v>4.1484375</v>
      </c>
      <c r="Z46" s="218">
        <v>0.97847959974251331</v>
      </c>
      <c r="AA46" s="223">
        <v>40470.08203125</v>
      </c>
      <c r="AB46" s="223">
        <v>96449.77762994176</v>
      </c>
      <c r="AC46" s="219">
        <v>1.4564844752787338E-2</v>
      </c>
    </row>
    <row r="47" spans="1:29" ht="15" customHeight="1" x14ac:dyDescent="0.25">
      <c r="A47" s="88" t="s">
        <v>273</v>
      </c>
      <c r="B47" s="116" t="str">
        <f>VLOOKUP(A47,'0 Järjestäjätiedot'!A:H,2,FALSE)</f>
        <v>Tampereen Musiikkiopiston Säätiö sr</v>
      </c>
      <c r="C47" s="223">
        <v>28</v>
      </c>
      <c r="D47" s="223">
        <v>23</v>
      </c>
      <c r="E47" s="224">
        <v>0.8214285714285714</v>
      </c>
      <c r="F47" s="217"/>
      <c r="G47" s="218">
        <v>4.0942028985507246</v>
      </c>
      <c r="H47" s="218">
        <v>0.95087816893938237</v>
      </c>
      <c r="I47" s="223">
        <v>1130</v>
      </c>
      <c r="J47" s="223">
        <v>4126.9565217391309</v>
      </c>
      <c r="K47" s="219">
        <v>6.4930818219538044E-4</v>
      </c>
      <c r="L47" s="217"/>
      <c r="M47" s="217"/>
      <c r="N47" s="217"/>
      <c r="O47" s="217"/>
      <c r="P47" s="217"/>
      <c r="Q47" s="217"/>
      <c r="R47" s="217"/>
      <c r="S47" s="217"/>
      <c r="T47" s="217"/>
      <c r="U47" s="223">
        <v>28</v>
      </c>
      <c r="V47" s="223">
        <v>23</v>
      </c>
      <c r="W47" s="224">
        <v>0.8214285714285714</v>
      </c>
      <c r="X47" s="217"/>
      <c r="Y47" s="218">
        <v>4.0942028985507246</v>
      </c>
      <c r="Z47" s="218">
        <v>0.95087816893938237</v>
      </c>
      <c r="AA47" s="223">
        <v>1130</v>
      </c>
      <c r="AB47" s="223">
        <v>4126.9565217391309</v>
      </c>
      <c r="AC47" s="219">
        <v>6.2321015680572868E-4</v>
      </c>
    </row>
    <row r="48" spans="1:29" ht="15" customHeight="1" x14ac:dyDescent="0.25">
      <c r="A48" s="88" t="s">
        <v>256</v>
      </c>
      <c r="B48" s="116" t="str">
        <f>VLOOKUP(A48,'0 Järjestäjätiedot'!A:H,2,FALSE)</f>
        <v>Valkeakosken seudun koulutuskuntayhtymä</v>
      </c>
      <c r="C48" s="223">
        <v>359</v>
      </c>
      <c r="D48" s="223">
        <v>240</v>
      </c>
      <c r="E48" s="224">
        <v>0.66852367688022285</v>
      </c>
      <c r="F48" s="217"/>
      <c r="G48" s="218">
        <v>4.2232638888888889</v>
      </c>
      <c r="H48" s="218">
        <v>0.95223445544699381</v>
      </c>
      <c r="I48" s="223">
        <v>12163</v>
      </c>
      <c r="J48" s="223">
        <v>46617.676647449967</v>
      </c>
      <c r="K48" s="219">
        <v>7.3345184817629446E-3</v>
      </c>
      <c r="L48" s="223">
        <v>19</v>
      </c>
      <c r="M48" s="223">
        <v>9</v>
      </c>
      <c r="N48" s="224">
        <v>0.47368421052631576</v>
      </c>
      <c r="O48" s="217"/>
      <c r="P48" s="218">
        <v>3.9166666666666665</v>
      </c>
      <c r="Q48" s="218">
        <v>0.98248551021263431</v>
      </c>
      <c r="R48" s="223">
        <v>423</v>
      </c>
      <c r="S48" s="223">
        <v>536.69589681440448</v>
      </c>
      <c r="T48" s="219">
        <v>2.0163974078462928E-3</v>
      </c>
      <c r="U48" s="223">
        <v>378</v>
      </c>
      <c r="V48" s="223">
        <v>249</v>
      </c>
      <c r="W48" s="224">
        <v>0.65873015873015872</v>
      </c>
      <c r="X48" s="217"/>
      <c r="Y48" s="218">
        <v>4.2121820615796519</v>
      </c>
      <c r="Z48" s="218">
        <v>0.95506060226677425</v>
      </c>
      <c r="AA48" s="223">
        <v>23418.108288575993</v>
      </c>
      <c r="AB48" s="223">
        <v>47154.37254426437</v>
      </c>
      <c r="AC48" s="219">
        <v>7.1207641157806046E-3</v>
      </c>
    </row>
    <row r="49" spans="1:29" ht="15" customHeight="1" x14ac:dyDescent="0.25">
      <c r="A49" s="88" t="s">
        <v>282</v>
      </c>
      <c r="B49" s="116" t="str">
        <f>VLOOKUP(A49,'0 Järjestäjätiedot'!A:H,2,FALSE)</f>
        <v>Suomen Nuoriso-Opiston kannatusyhdistys ry</v>
      </c>
      <c r="C49" s="223">
        <v>25</v>
      </c>
      <c r="D49" s="223">
        <v>23</v>
      </c>
      <c r="E49" s="224">
        <v>0.92</v>
      </c>
      <c r="F49" s="217"/>
      <c r="G49" s="218">
        <v>4.2971014492753623</v>
      </c>
      <c r="H49" s="218">
        <v>0.85473464218353901</v>
      </c>
      <c r="I49" s="223">
        <v>1186</v>
      </c>
      <c r="J49" s="223">
        <v>3867.391304347826</v>
      </c>
      <c r="K49" s="219">
        <v>6.0846989892835096E-4</v>
      </c>
      <c r="L49" s="217"/>
      <c r="M49" s="217"/>
      <c r="N49" s="217"/>
      <c r="O49" s="217"/>
      <c r="P49" s="217"/>
      <c r="Q49" s="217"/>
      <c r="R49" s="217"/>
      <c r="S49" s="217"/>
      <c r="T49" s="217"/>
      <c r="U49" s="223">
        <v>25</v>
      </c>
      <c r="V49" s="223">
        <v>23</v>
      </c>
      <c r="W49" s="224">
        <v>0.92</v>
      </c>
      <c r="X49" s="217"/>
      <c r="Y49" s="218">
        <v>4.2971014492753623</v>
      </c>
      <c r="Z49" s="218">
        <v>0.85473464218353901</v>
      </c>
      <c r="AA49" s="223">
        <v>1186</v>
      </c>
      <c r="AB49" s="223">
        <v>3867.391304347826</v>
      </c>
      <c r="AC49" s="219">
        <v>5.8401331066023547E-4</v>
      </c>
    </row>
    <row r="50" spans="1:29" ht="15" customHeight="1" x14ac:dyDescent="0.25">
      <c r="A50" s="88" t="s">
        <v>377</v>
      </c>
      <c r="B50" s="116" t="str">
        <f>VLOOKUP(A50,'0 Järjestäjätiedot'!A:H,2,FALSE)</f>
        <v>Itä-Karjalan Kansanopistoseura ry</v>
      </c>
      <c r="C50" s="223">
        <v>30</v>
      </c>
      <c r="D50" s="223">
        <v>23</v>
      </c>
      <c r="E50" s="224">
        <v>0.76666666666666672</v>
      </c>
      <c r="F50" s="217"/>
      <c r="G50" s="218">
        <v>4.5615942028985508</v>
      </c>
      <c r="H50" s="218">
        <v>0.71209249356153437</v>
      </c>
      <c r="I50" s="223">
        <v>1259</v>
      </c>
      <c r="J50" s="223">
        <v>4757.315104166667</v>
      </c>
      <c r="K50" s="219">
        <v>7.484846535566051E-4</v>
      </c>
      <c r="L50" s="217"/>
      <c r="M50" s="217"/>
      <c r="N50" s="217"/>
      <c r="O50" s="217"/>
      <c r="P50" s="217"/>
      <c r="Q50" s="217"/>
      <c r="R50" s="217"/>
      <c r="S50" s="217"/>
      <c r="T50" s="217"/>
      <c r="U50" s="223">
        <v>30</v>
      </c>
      <c r="V50" s="223">
        <v>23</v>
      </c>
      <c r="W50" s="224">
        <v>0.76666666666666672</v>
      </c>
      <c r="X50" s="217"/>
      <c r="Y50" s="218">
        <v>4.5615942028985508</v>
      </c>
      <c r="Z50" s="218">
        <v>0.71209249356153437</v>
      </c>
      <c r="AA50" s="223">
        <v>1259</v>
      </c>
      <c r="AB50" s="223">
        <v>4757.315104166667</v>
      </c>
      <c r="AC50" s="219">
        <v>7.184003699638148E-4</v>
      </c>
    </row>
    <row r="51" spans="1:29" ht="15" customHeight="1" x14ac:dyDescent="0.25">
      <c r="A51" s="88" t="s">
        <v>376</v>
      </c>
      <c r="B51" s="116" t="str">
        <f>VLOOKUP(A51,'0 Järjestäjätiedot'!A:H,2,FALSE)</f>
        <v>Itä-Savon koulutuskuntayhtymä</v>
      </c>
      <c r="C51" s="223">
        <v>538</v>
      </c>
      <c r="D51" s="223">
        <v>190</v>
      </c>
      <c r="E51" s="224">
        <v>0.35315985130111527</v>
      </c>
      <c r="F51" s="217"/>
      <c r="G51" s="218">
        <v>4.0593368237347294</v>
      </c>
      <c r="H51" s="218">
        <v>1.0380900605486054</v>
      </c>
      <c r="I51" s="223">
        <v>9255.2879581151828</v>
      </c>
      <c r="J51" s="223">
        <v>34253.313304381147</v>
      </c>
      <c r="K51" s="219">
        <v>5.3891909155524744E-3</v>
      </c>
      <c r="L51" s="223">
        <v>137</v>
      </c>
      <c r="M51" s="223">
        <v>10</v>
      </c>
      <c r="N51" s="224">
        <v>7.2992700729927001E-2</v>
      </c>
      <c r="O51" s="217"/>
      <c r="P51" s="218">
        <v>4.2</v>
      </c>
      <c r="Q51" s="218">
        <v>0.97979589711327164</v>
      </c>
      <c r="R51" s="223">
        <v>504</v>
      </c>
      <c r="S51" s="223">
        <v>536.39117694070001</v>
      </c>
      <c r="T51" s="219">
        <v>2.0152525577233388E-3</v>
      </c>
      <c r="U51" s="223">
        <v>675</v>
      </c>
      <c r="V51" s="223">
        <v>200</v>
      </c>
      <c r="W51" s="224">
        <v>0.29629629629629628</v>
      </c>
      <c r="X51" s="217"/>
      <c r="Y51" s="218">
        <v>4.0663349917081257</v>
      </c>
      <c r="Z51" s="218">
        <v>1.035719120580374</v>
      </c>
      <c r="AA51" s="223">
        <v>17668.52899680701</v>
      </c>
      <c r="AB51" s="223">
        <v>34789.704481321845</v>
      </c>
      <c r="AC51" s="219">
        <v>5.2535802281466447E-3</v>
      </c>
    </row>
    <row r="52" spans="1:29" ht="15" customHeight="1" x14ac:dyDescent="0.25">
      <c r="A52" s="88" t="s">
        <v>354</v>
      </c>
      <c r="B52" s="116" t="str">
        <f>VLOOKUP(A52,'0 Järjestäjätiedot'!A:H,2,FALSE)</f>
        <v>Kiteen Evankelisen Kansanopiston kannatusyhdistys ry</v>
      </c>
      <c r="C52" s="223">
        <v>10</v>
      </c>
      <c r="D52" s="223">
        <v>9</v>
      </c>
      <c r="E52" s="224">
        <v>0.9</v>
      </c>
      <c r="F52" s="217"/>
      <c r="G52" s="218">
        <v>4.5370370370370372</v>
      </c>
      <c r="H52" s="218">
        <v>0.92722131608296454</v>
      </c>
      <c r="I52" s="223">
        <v>490</v>
      </c>
      <c r="J52" s="223">
        <v>1633.3333333333335</v>
      </c>
      <c r="K52" s="219">
        <v>2.5697791871547748E-4</v>
      </c>
      <c r="L52" s="223">
        <v>2</v>
      </c>
      <c r="M52" s="223">
        <v>1</v>
      </c>
      <c r="N52" s="224">
        <v>0.5</v>
      </c>
      <c r="O52" s="217"/>
      <c r="P52" s="218">
        <v>4.833333333333333</v>
      </c>
      <c r="Q52" s="218">
        <v>0.37267799624997022</v>
      </c>
      <c r="R52" s="223">
        <v>58</v>
      </c>
      <c r="S52" s="223">
        <v>73.859375</v>
      </c>
      <c r="T52" s="219">
        <v>2.7749392752791794E-4</v>
      </c>
      <c r="U52" s="223">
        <v>12</v>
      </c>
      <c r="V52" s="223">
        <v>10</v>
      </c>
      <c r="W52" s="224">
        <v>0.83333333333333337</v>
      </c>
      <c r="X52" s="217"/>
      <c r="Y52" s="218">
        <v>4.5666666666666664</v>
      </c>
      <c r="Z52" s="218">
        <v>0.89193921068397686</v>
      </c>
      <c r="AA52" s="223">
        <v>898.71999999999991</v>
      </c>
      <c r="AB52" s="223">
        <v>1707.1927083333335</v>
      </c>
      <c r="AC52" s="219">
        <v>2.5780253071570062E-4</v>
      </c>
    </row>
    <row r="53" spans="1:29" ht="15" customHeight="1" x14ac:dyDescent="0.25">
      <c r="A53" s="88" t="s">
        <v>341</v>
      </c>
      <c r="B53" s="116" t="str">
        <f>VLOOKUP(A53,'0 Järjestäjätiedot'!A:H,2,FALSE)</f>
        <v>Kuopion Konservatorion kannatusyhdistys r.y.</v>
      </c>
      <c r="C53" s="223">
        <v>17</v>
      </c>
      <c r="D53" s="223">
        <v>6</v>
      </c>
      <c r="E53" s="224">
        <v>0.35294117647058826</v>
      </c>
      <c r="F53" s="217"/>
      <c r="G53" s="218">
        <v>4.2222222222222223</v>
      </c>
      <c r="H53" s="218">
        <v>0.96064535921058736</v>
      </c>
      <c r="I53" s="223">
        <v>304</v>
      </c>
      <c r="J53" s="223">
        <v>1125.0103806228376</v>
      </c>
      <c r="K53" s="219">
        <v>1.7700173029332485E-4</v>
      </c>
      <c r="L53" s="217"/>
      <c r="M53" s="217"/>
      <c r="N53" s="217"/>
      <c r="O53" s="217"/>
      <c r="P53" s="217"/>
      <c r="Q53" s="217"/>
      <c r="R53" s="217"/>
      <c r="S53" s="217"/>
      <c r="T53" s="217"/>
      <c r="U53" s="223">
        <v>17</v>
      </c>
      <c r="V53" s="223">
        <v>6</v>
      </c>
      <c r="W53" s="224">
        <v>0.35294117647058826</v>
      </c>
      <c r="X53" s="217"/>
      <c r="Y53" s="218">
        <v>4.2222222222222223</v>
      </c>
      <c r="Z53" s="218">
        <v>0.96064535921058736</v>
      </c>
      <c r="AA53" s="223">
        <v>304</v>
      </c>
      <c r="AB53" s="223">
        <v>1125.0103806228376</v>
      </c>
      <c r="AC53" s="219">
        <v>1.6988739571711665E-4</v>
      </c>
    </row>
    <row r="54" spans="1:29" ht="15" customHeight="1" x14ac:dyDescent="0.25">
      <c r="A54" s="88" t="s">
        <v>340</v>
      </c>
      <c r="B54" s="116" t="str">
        <f>VLOOKUP(A54,'0 Järjestäjätiedot'!A:H,2,FALSE)</f>
        <v>Kuopion Talouskoulun Kannatusyhdistys ry</v>
      </c>
      <c r="C54" s="223">
        <v>48</v>
      </c>
      <c r="D54" s="223">
        <v>39</v>
      </c>
      <c r="E54" s="224">
        <v>0.8125</v>
      </c>
      <c r="F54" s="217"/>
      <c r="G54" s="218">
        <v>4.5320512820512819</v>
      </c>
      <c r="H54" s="218">
        <v>0.76866966715176921</v>
      </c>
      <c r="I54" s="223">
        <v>2121</v>
      </c>
      <c r="J54" s="223">
        <v>7831.3846153846162</v>
      </c>
      <c r="K54" s="219">
        <v>1.2321385219113972E-3</v>
      </c>
      <c r="L54" s="223">
        <v>3</v>
      </c>
      <c r="M54" s="223">
        <v>2</v>
      </c>
      <c r="N54" s="224">
        <v>0.66666666666666663</v>
      </c>
      <c r="O54" s="217"/>
      <c r="P54" s="218">
        <v>4.833333333333333</v>
      </c>
      <c r="Q54" s="218">
        <v>0.47140452079103462</v>
      </c>
      <c r="R54" s="223">
        <v>116</v>
      </c>
      <c r="S54" s="223">
        <v>148.22222222222223</v>
      </c>
      <c r="T54" s="219">
        <v>5.5687942920394716E-4</v>
      </c>
      <c r="U54" s="223">
        <v>51</v>
      </c>
      <c r="V54" s="223">
        <v>41</v>
      </c>
      <c r="W54" s="224">
        <v>0.80392156862745101</v>
      </c>
      <c r="X54" s="217"/>
      <c r="Y54" s="218">
        <v>4.5467479674796749</v>
      </c>
      <c r="Z54" s="218">
        <v>0.7596597397647491</v>
      </c>
      <c r="AA54" s="223">
        <v>4058.8042831647831</v>
      </c>
      <c r="AB54" s="223">
        <v>7979.6068376068388</v>
      </c>
      <c r="AC54" s="219">
        <v>1.2049974363232143E-3</v>
      </c>
    </row>
    <row r="55" spans="1:29" ht="15" customHeight="1" x14ac:dyDescent="0.25">
      <c r="A55" s="88" t="s">
        <v>307</v>
      </c>
      <c r="B55" s="116" t="str">
        <f>VLOOKUP(A55,'0 Järjestäjätiedot'!A:H,2,FALSE)</f>
        <v>Portaanpää ry</v>
      </c>
      <c r="C55" s="223">
        <v>32</v>
      </c>
      <c r="D55" s="223">
        <v>26</v>
      </c>
      <c r="E55" s="224">
        <v>0.8125</v>
      </c>
      <c r="F55" s="217"/>
      <c r="G55" s="218">
        <v>4.4743589743589745</v>
      </c>
      <c r="H55" s="218">
        <v>0.72012034205044195</v>
      </c>
      <c r="I55" s="223">
        <v>1396</v>
      </c>
      <c r="J55" s="223">
        <v>5154.461538461539</v>
      </c>
      <c r="K55" s="219">
        <v>8.1096906015479036E-4</v>
      </c>
      <c r="L55" s="217"/>
      <c r="M55" s="217"/>
      <c r="N55" s="217"/>
      <c r="O55" s="217"/>
      <c r="P55" s="217"/>
      <c r="Q55" s="217"/>
      <c r="R55" s="217"/>
      <c r="S55" s="217"/>
      <c r="T55" s="217"/>
      <c r="U55" s="223">
        <v>32</v>
      </c>
      <c r="V55" s="223">
        <v>26</v>
      </c>
      <c r="W55" s="224">
        <v>0.8125</v>
      </c>
      <c r="X55" s="217"/>
      <c r="Y55" s="218">
        <v>4.4743589743589745</v>
      </c>
      <c r="Z55" s="218">
        <v>0.72012034205044195</v>
      </c>
      <c r="AA55" s="223">
        <v>1396</v>
      </c>
      <c r="AB55" s="223">
        <v>5154.461538461539</v>
      </c>
      <c r="AC55" s="219">
        <v>7.7837330408317949E-4</v>
      </c>
    </row>
    <row r="56" spans="1:29" ht="15" customHeight="1" x14ac:dyDescent="0.25">
      <c r="A56" s="88" t="s">
        <v>369</v>
      </c>
      <c r="B56" s="116" t="str">
        <f>VLOOKUP(A56,'0 Järjestäjätiedot'!A:H,2,FALSE)</f>
        <v>Jyväskylän Koulutuskuntayhtymä</v>
      </c>
      <c r="C56" s="223">
        <v>3228</v>
      </c>
      <c r="D56" s="223">
        <v>1318</v>
      </c>
      <c r="E56" s="224">
        <v>0.40830235439900869</v>
      </c>
      <c r="F56" s="217"/>
      <c r="G56" s="218">
        <v>4.2327520849128124</v>
      </c>
      <c r="H56" s="218">
        <v>0.92914716968049471</v>
      </c>
      <c r="I56" s="223">
        <v>66945.206974981047</v>
      </c>
      <c r="J56" s="223">
        <v>251554.77614371289</v>
      </c>
      <c r="K56" s="219">
        <v>3.9577973152866847E-2</v>
      </c>
      <c r="L56" s="223">
        <v>932</v>
      </c>
      <c r="M56" s="223">
        <v>102</v>
      </c>
      <c r="N56" s="224">
        <v>0.10944206008583691</v>
      </c>
      <c r="O56" s="217"/>
      <c r="P56" s="218">
        <v>4.1462418300653594</v>
      </c>
      <c r="Q56" s="218">
        <v>1.0559598645951767</v>
      </c>
      <c r="R56" s="223">
        <v>5075</v>
      </c>
      <c r="S56" s="223">
        <v>5548.2156296913281</v>
      </c>
      <c r="T56" s="219">
        <v>2.0844965799599945E-2</v>
      </c>
      <c r="U56" s="223">
        <v>4160</v>
      </c>
      <c r="V56" s="223">
        <v>1420</v>
      </c>
      <c r="W56" s="224">
        <v>0.34134615384615385</v>
      </c>
      <c r="X56" s="217"/>
      <c r="Y56" s="218">
        <v>4.226542341074361</v>
      </c>
      <c r="Z56" s="218">
        <v>0.93908619620873401</v>
      </c>
      <c r="AA56" s="223">
        <v>124840.05630432424</v>
      </c>
      <c r="AB56" s="223">
        <v>257102.99177340421</v>
      </c>
      <c r="AC56" s="219">
        <v>3.8825026378228815E-2</v>
      </c>
    </row>
    <row r="57" spans="1:29" ht="15" customHeight="1" x14ac:dyDescent="0.25">
      <c r="A57" s="88" t="s">
        <v>363</v>
      </c>
      <c r="B57" s="116" t="str">
        <f>VLOOKUP(A57,'0 Järjestäjätiedot'!A:H,2,FALSE)</f>
        <v>Karstulan Evankelisen Kansanopiston kannatusyhdistys ry</v>
      </c>
      <c r="C57" s="223">
        <v>19</v>
      </c>
      <c r="D57" s="223">
        <v>16</v>
      </c>
      <c r="E57" s="224">
        <v>0.84210526315789469</v>
      </c>
      <c r="F57" s="217"/>
      <c r="G57" s="218">
        <v>4.4313725490196081</v>
      </c>
      <c r="H57" s="218">
        <v>0.79223936669948625</v>
      </c>
      <c r="I57" s="223">
        <v>850.82352941176464</v>
      </c>
      <c r="J57" s="223">
        <v>3031.0588235294113</v>
      </c>
      <c r="K57" s="219">
        <v>4.7688684978047254E-4</v>
      </c>
      <c r="L57" s="217"/>
      <c r="M57" s="217"/>
      <c r="N57" s="217"/>
      <c r="O57" s="217"/>
      <c r="P57" s="217"/>
      <c r="Q57" s="217"/>
      <c r="R57" s="217"/>
      <c r="S57" s="217"/>
      <c r="T57" s="217"/>
      <c r="U57" s="223">
        <v>19</v>
      </c>
      <c r="V57" s="223">
        <v>16</v>
      </c>
      <c r="W57" s="224">
        <v>0.84210526315789469</v>
      </c>
      <c r="X57" s="217"/>
      <c r="Y57" s="218">
        <v>4.4313725490196081</v>
      </c>
      <c r="Z57" s="218">
        <v>0.79223936669948625</v>
      </c>
      <c r="AA57" s="223">
        <v>850.82352941176464</v>
      </c>
      <c r="AB57" s="223">
        <v>3031.0588235294113</v>
      </c>
      <c r="AC57" s="219">
        <v>4.5771905634303081E-4</v>
      </c>
    </row>
    <row r="58" spans="1:29" ht="15" customHeight="1" x14ac:dyDescent="0.25">
      <c r="A58" s="88" t="s">
        <v>239</v>
      </c>
      <c r="B58" s="116" t="str">
        <f>VLOOKUP(A58,'0 Järjestäjätiedot'!A:H,2,FALSE)</f>
        <v>Äänekosken Ammatillisen Koulutuksen kuntayhtymä</v>
      </c>
      <c r="C58" s="223">
        <v>692</v>
      </c>
      <c r="D58" s="223">
        <v>504</v>
      </c>
      <c r="E58" s="224">
        <v>0.72832369942196529</v>
      </c>
      <c r="F58" s="217"/>
      <c r="G58" s="218">
        <v>4.130621693121693</v>
      </c>
      <c r="H58" s="218">
        <v>0.97444266244174282</v>
      </c>
      <c r="I58" s="223">
        <v>24982</v>
      </c>
      <c r="J58" s="223">
        <v>95060.395569514541</v>
      </c>
      <c r="K58" s="219">
        <v>1.4956177105545209E-2</v>
      </c>
      <c r="L58" s="223">
        <v>108</v>
      </c>
      <c r="M58" s="223">
        <v>54</v>
      </c>
      <c r="N58" s="224">
        <v>0.5</v>
      </c>
      <c r="O58" s="217"/>
      <c r="P58" s="218">
        <v>4.2654320987654319</v>
      </c>
      <c r="Q58" s="218">
        <v>0.95285930896086357</v>
      </c>
      <c r="R58" s="223">
        <v>2764</v>
      </c>
      <c r="S58" s="223">
        <v>3519.78125</v>
      </c>
      <c r="T58" s="219">
        <v>1.3224020960123539E-2</v>
      </c>
      <c r="U58" s="223">
        <v>800</v>
      </c>
      <c r="V58" s="223">
        <v>558</v>
      </c>
      <c r="W58" s="224">
        <v>0.69750000000000001</v>
      </c>
      <c r="X58" s="217"/>
      <c r="Y58" s="218">
        <v>4.1436678614097966</v>
      </c>
      <c r="Z58" s="218">
        <v>0.97319138974911257</v>
      </c>
      <c r="AA58" s="223">
        <v>45791.005202913628</v>
      </c>
      <c r="AB58" s="223">
        <v>98580.176819514541</v>
      </c>
      <c r="AC58" s="219">
        <v>1.4886555535539407E-2</v>
      </c>
    </row>
    <row r="59" spans="1:29" ht="15" customHeight="1" x14ac:dyDescent="0.25">
      <c r="A59" s="88" t="s">
        <v>279</v>
      </c>
      <c r="B59" s="116" t="str">
        <f>VLOOKUP(A59,'0 Järjestäjätiedot'!A:H,2,FALSE)</f>
        <v>Suomen yrittäjäopiston kannatus Oy</v>
      </c>
      <c r="C59" s="223">
        <v>460</v>
      </c>
      <c r="D59" s="223">
        <v>265</v>
      </c>
      <c r="E59" s="224">
        <v>0.57608695652173914</v>
      </c>
      <c r="F59" s="217"/>
      <c r="G59" s="218">
        <v>4.2583612040133776</v>
      </c>
      <c r="H59" s="218">
        <v>0.92643259816394818</v>
      </c>
      <c r="I59" s="223">
        <v>13541.588628762542</v>
      </c>
      <c r="J59" s="223">
        <v>52032.332379234242</v>
      </c>
      <c r="K59" s="219">
        <v>8.1864247841189168E-3</v>
      </c>
      <c r="L59" s="223">
        <v>87</v>
      </c>
      <c r="M59" s="223">
        <v>46</v>
      </c>
      <c r="N59" s="224">
        <v>0.52873563218390807</v>
      </c>
      <c r="O59" s="217"/>
      <c r="P59" s="218">
        <v>3.9782608695652173</v>
      </c>
      <c r="Q59" s="218">
        <v>1.0865941424919401</v>
      </c>
      <c r="R59" s="223">
        <v>2196</v>
      </c>
      <c r="S59" s="223">
        <v>2804.9120095124849</v>
      </c>
      <c r="T59" s="219">
        <v>1.0538216034049086E-2</v>
      </c>
      <c r="U59" s="223">
        <v>547</v>
      </c>
      <c r="V59" s="223">
        <v>311</v>
      </c>
      <c r="W59" s="224">
        <v>0.56855575868372943</v>
      </c>
      <c r="X59" s="217"/>
      <c r="Y59" s="218">
        <v>4.2210144927536231</v>
      </c>
      <c r="Z59" s="218">
        <v>0.95411285388795153</v>
      </c>
      <c r="AA59" s="223">
        <v>23887.565217391304</v>
      </c>
      <c r="AB59" s="223">
        <v>54837.244388746723</v>
      </c>
      <c r="AC59" s="219">
        <v>8.2809517120629242E-3</v>
      </c>
    </row>
    <row r="60" spans="1:29" ht="15" customHeight="1" x14ac:dyDescent="0.25">
      <c r="A60" s="88" t="s">
        <v>344</v>
      </c>
      <c r="B60" s="116" t="str">
        <f>VLOOKUP(A60,'0 Järjestäjätiedot'!A:H,2,FALSE)</f>
        <v>Keski-Pohjanmaan Koulutusyhtymä</v>
      </c>
      <c r="C60" s="223">
        <v>1047</v>
      </c>
      <c r="D60" s="223">
        <v>618</v>
      </c>
      <c r="E60" s="224">
        <v>0.5902578796561605</v>
      </c>
      <c r="F60" s="217"/>
      <c r="G60" s="218">
        <v>4.1157781367797526</v>
      </c>
      <c r="H60" s="218">
        <v>0.98729345074549557</v>
      </c>
      <c r="I60" s="223">
        <v>30522.610662358646</v>
      </c>
      <c r="J60" s="223">
        <v>117314.49519983596</v>
      </c>
      <c r="K60" s="219">
        <v>1.8457490700986151E-2</v>
      </c>
      <c r="L60" s="223">
        <v>89</v>
      </c>
      <c r="M60" s="223">
        <v>62</v>
      </c>
      <c r="N60" s="224">
        <v>0.6966292134831461</v>
      </c>
      <c r="O60" s="217"/>
      <c r="P60" s="218">
        <v>4.248655913978495</v>
      </c>
      <c r="Q60" s="218">
        <v>1.0297970986560929</v>
      </c>
      <c r="R60" s="223">
        <v>3161</v>
      </c>
      <c r="S60" s="223">
        <v>4026.9727307158191</v>
      </c>
      <c r="T60" s="219">
        <v>1.5129568576692632E-2</v>
      </c>
      <c r="U60" s="223">
        <v>1136</v>
      </c>
      <c r="V60" s="223">
        <v>680</v>
      </c>
      <c r="W60" s="224">
        <v>0.59859154929577463</v>
      </c>
      <c r="X60" s="217"/>
      <c r="Y60" s="218">
        <v>4.127875673029858</v>
      </c>
      <c r="Z60" s="218">
        <v>0.99197526150729276</v>
      </c>
      <c r="AA60" s="223">
        <v>56209.810389403159</v>
      </c>
      <c r="AB60" s="223">
        <v>121341.46793055178</v>
      </c>
      <c r="AC60" s="219">
        <v>1.8323729571100279E-2</v>
      </c>
    </row>
    <row r="61" spans="1:29" ht="15" customHeight="1" x14ac:dyDescent="0.25">
      <c r="A61" s="88" t="s">
        <v>391</v>
      </c>
      <c r="B61" s="116" t="str">
        <f>VLOOKUP(A61,'0 Järjestäjätiedot'!A:H,2,FALSE)</f>
        <v>Fria kristliga Folkhögskolan i Vasa</v>
      </c>
      <c r="C61" s="223">
        <v>7</v>
      </c>
      <c r="D61" s="223">
        <v>5</v>
      </c>
      <c r="E61" s="224">
        <v>0.7142857142857143</v>
      </c>
      <c r="F61" s="217"/>
      <c r="G61" s="218">
        <v>4.0166666666666666</v>
      </c>
      <c r="H61" s="218">
        <v>1.0876835732673151</v>
      </c>
      <c r="I61" s="223">
        <v>241</v>
      </c>
      <c r="J61" s="223">
        <v>918.96619897959192</v>
      </c>
      <c r="K61" s="219">
        <v>1.4458409460223399E-4</v>
      </c>
      <c r="L61" s="217"/>
      <c r="M61" s="217"/>
      <c r="N61" s="217"/>
      <c r="O61" s="217"/>
      <c r="P61" s="217"/>
      <c r="Q61" s="217"/>
      <c r="R61" s="217"/>
      <c r="S61" s="217"/>
      <c r="T61" s="217"/>
      <c r="U61" s="223">
        <v>7</v>
      </c>
      <c r="V61" s="223">
        <v>5</v>
      </c>
      <c r="W61" s="224">
        <v>0.7142857142857143</v>
      </c>
      <c r="X61" s="217"/>
      <c r="Y61" s="218">
        <v>4.0166666666666666</v>
      </c>
      <c r="Z61" s="218">
        <v>1.0876835732673151</v>
      </c>
      <c r="AA61" s="223">
        <v>241</v>
      </c>
      <c r="AB61" s="223">
        <v>918.96619897959192</v>
      </c>
      <c r="AC61" s="219">
        <v>1.3877274111041325E-4</v>
      </c>
    </row>
    <row r="62" spans="1:29" ht="15" customHeight="1" x14ac:dyDescent="0.25">
      <c r="A62" s="88" t="s">
        <v>257</v>
      </c>
      <c r="B62" s="116" t="str">
        <f>VLOOKUP(A62,'0 Järjestäjätiedot'!A:H,2,FALSE)</f>
        <v>Vaasan kaupunki</v>
      </c>
      <c r="C62" s="223">
        <v>509</v>
      </c>
      <c r="D62" s="223">
        <v>367</v>
      </c>
      <c r="E62" s="224">
        <v>0.7210216110019646</v>
      </c>
      <c r="F62" s="217"/>
      <c r="G62" s="218">
        <v>4.1759510869565215</v>
      </c>
      <c r="H62" s="218">
        <v>0.97944060369082075</v>
      </c>
      <c r="I62" s="223">
        <v>18390.888586956524</v>
      </c>
      <c r="J62" s="223">
        <v>70058.672091561937</v>
      </c>
      <c r="K62" s="219">
        <v>1.1022570454322261E-2</v>
      </c>
      <c r="L62" s="223">
        <v>30</v>
      </c>
      <c r="M62" s="223">
        <v>28</v>
      </c>
      <c r="N62" s="224">
        <v>0.93333333333333335</v>
      </c>
      <c r="O62" s="217"/>
      <c r="P62" s="218">
        <v>4.0505952380952381</v>
      </c>
      <c r="Q62" s="218">
        <v>1.1445261560497801</v>
      </c>
      <c r="R62" s="223">
        <v>1361</v>
      </c>
      <c r="S62" s="223">
        <v>1458.2142857142858</v>
      </c>
      <c r="T62" s="219">
        <v>5.4785950912822467E-3</v>
      </c>
      <c r="U62" s="223">
        <v>539</v>
      </c>
      <c r="V62" s="223">
        <v>395</v>
      </c>
      <c r="W62" s="224">
        <v>0.73283858998144713</v>
      </c>
      <c r="X62" s="217"/>
      <c r="Y62" s="218">
        <v>4.1670875420875424</v>
      </c>
      <c r="Z62" s="218">
        <v>0.99253659445195264</v>
      </c>
      <c r="AA62" s="223">
        <v>34306.49525558616</v>
      </c>
      <c r="AB62" s="223">
        <v>71516.886377276227</v>
      </c>
      <c r="AC62" s="219">
        <v>1.0799738194154185E-2</v>
      </c>
    </row>
    <row r="63" spans="1:29" ht="15" customHeight="1" x14ac:dyDescent="0.25">
      <c r="A63" s="88" t="s">
        <v>389</v>
      </c>
      <c r="B63" s="116" t="str">
        <f>VLOOKUP(A63,'0 Järjestäjätiedot'!A:H,2,FALSE)</f>
        <v>Haapaveden Opiston kannatusyhdistys ry</v>
      </c>
      <c r="C63" s="223">
        <v>64</v>
      </c>
      <c r="D63" s="223">
        <v>39</v>
      </c>
      <c r="E63" s="224">
        <v>0.609375</v>
      </c>
      <c r="F63" s="217"/>
      <c r="G63" s="218">
        <v>4.5299145299145298</v>
      </c>
      <c r="H63" s="218">
        <v>0.80141594322947296</v>
      </c>
      <c r="I63" s="223">
        <v>2120</v>
      </c>
      <c r="J63" s="223">
        <v>8148.3132934570313</v>
      </c>
      <c r="K63" s="219">
        <v>1.2820019946087216E-3</v>
      </c>
      <c r="L63" s="223">
        <v>9</v>
      </c>
      <c r="M63" s="223">
        <v>1</v>
      </c>
      <c r="N63" s="224">
        <v>0.1111111111111111</v>
      </c>
      <c r="O63" s="217"/>
      <c r="P63" s="218">
        <v>3.4166666666666665</v>
      </c>
      <c r="Q63" s="218">
        <v>1.1149240133549709</v>
      </c>
      <c r="R63" s="223">
        <v>41</v>
      </c>
      <c r="S63" s="223">
        <v>44.87538580246914</v>
      </c>
      <c r="T63" s="219">
        <v>1.6859941010410296E-4</v>
      </c>
      <c r="U63" s="223">
        <v>73</v>
      </c>
      <c r="V63" s="223">
        <v>40</v>
      </c>
      <c r="W63" s="224">
        <v>0.54794520547945202</v>
      </c>
      <c r="X63" s="217"/>
      <c r="Y63" s="218">
        <v>4.5020833333333332</v>
      </c>
      <c r="Z63" s="218">
        <v>0.82915358029874275</v>
      </c>
      <c r="AA63" s="223">
        <v>4111.3024999999998</v>
      </c>
      <c r="AB63" s="223">
        <v>8193.1886792594996</v>
      </c>
      <c r="AC63" s="219">
        <v>1.2372503501414387E-3</v>
      </c>
    </row>
    <row r="64" spans="1:29" ht="15" customHeight="1" x14ac:dyDescent="0.25">
      <c r="A64" s="88" t="s">
        <v>366</v>
      </c>
      <c r="B64" s="116" t="str">
        <f>VLOOKUP(A64,'0 Järjestäjätiedot'!A:H,2,FALSE)</f>
        <v>Kalajoen Kristillisen Opiston Kannatusyhdistys ry</v>
      </c>
      <c r="C64" s="223">
        <v>46</v>
      </c>
      <c r="D64" s="223">
        <v>37</v>
      </c>
      <c r="E64" s="224">
        <v>0.80434782608695654</v>
      </c>
      <c r="F64" s="217"/>
      <c r="G64" s="218">
        <v>4.5112612612612617</v>
      </c>
      <c r="H64" s="218">
        <v>0.84755038343644784</v>
      </c>
      <c r="I64" s="223">
        <v>2003</v>
      </c>
      <c r="J64" s="223">
        <v>7470.6486486486483</v>
      </c>
      <c r="K64" s="219">
        <v>1.1753826986842799E-3</v>
      </c>
      <c r="L64" s="223">
        <v>16</v>
      </c>
      <c r="M64" s="223">
        <v>10</v>
      </c>
      <c r="N64" s="224">
        <v>0.625</v>
      </c>
      <c r="O64" s="217"/>
      <c r="P64" s="218">
        <v>4.5750000000000002</v>
      </c>
      <c r="Q64" s="218">
        <v>0.78169154189275014</v>
      </c>
      <c r="R64" s="223">
        <v>549</v>
      </c>
      <c r="S64" s="223">
        <v>703.13818359375</v>
      </c>
      <c r="T64" s="219">
        <v>2.6417306694008166E-3</v>
      </c>
      <c r="U64" s="223">
        <v>62</v>
      </c>
      <c r="V64" s="223">
        <v>47</v>
      </c>
      <c r="W64" s="224">
        <v>0.75806451612903225</v>
      </c>
      <c r="X64" s="217"/>
      <c r="Y64" s="218">
        <v>4.5248226950354606</v>
      </c>
      <c r="Z64" s="218">
        <v>0.83438141425218637</v>
      </c>
      <c r="AA64" s="223">
        <v>3394.1946582163873</v>
      </c>
      <c r="AB64" s="223">
        <v>8173.7868322423983</v>
      </c>
      <c r="AC64" s="219">
        <v>1.2343204844987657E-3</v>
      </c>
    </row>
    <row r="65" spans="1:29" ht="15" customHeight="1" x14ac:dyDescent="0.25">
      <c r="A65" s="88" t="s">
        <v>371</v>
      </c>
      <c r="B65" s="116" t="str">
        <f>VLOOKUP(A65,'0 Järjestäjätiedot'!A:H,2,FALSE)</f>
        <v>Jokilaaksojen koulutuskuntayhtymä</v>
      </c>
      <c r="C65" s="223">
        <v>1005</v>
      </c>
      <c r="D65" s="223">
        <v>423</v>
      </c>
      <c r="E65" s="224">
        <v>0.42089552238805972</v>
      </c>
      <c r="F65" s="217"/>
      <c r="G65" s="218">
        <v>4.152876280535855</v>
      </c>
      <c r="H65" s="218">
        <v>0.94753714248452603</v>
      </c>
      <c r="I65" s="223">
        <v>21080</v>
      </c>
      <c r="J65" s="223">
        <v>79441.375863221227</v>
      </c>
      <c r="K65" s="219">
        <v>1.2498783324015035E-2</v>
      </c>
      <c r="L65" s="223">
        <v>85</v>
      </c>
      <c r="M65" s="223">
        <v>26</v>
      </c>
      <c r="N65" s="224">
        <v>0.30588235294117649</v>
      </c>
      <c r="O65" s="217"/>
      <c r="P65" s="218">
        <v>4.0448717948717947</v>
      </c>
      <c r="Q65" s="218">
        <v>1.0939398844282684</v>
      </c>
      <c r="R65" s="223">
        <v>1262</v>
      </c>
      <c r="S65" s="223">
        <v>1531.6487889273355</v>
      </c>
      <c r="T65" s="219">
        <v>5.7544927510261952E-3</v>
      </c>
      <c r="U65" s="223">
        <v>1090</v>
      </c>
      <c r="V65" s="223">
        <v>449</v>
      </c>
      <c r="W65" s="224">
        <v>0.41192660550458715</v>
      </c>
      <c r="X65" s="217"/>
      <c r="Y65" s="218">
        <v>4.1466221232368223</v>
      </c>
      <c r="Z65" s="218">
        <v>0.95695870127560434</v>
      </c>
      <c r="AA65" s="223">
        <v>39808.680611703312</v>
      </c>
      <c r="AB65" s="223">
        <v>80973.024652148568</v>
      </c>
      <c r="AC65" s="219">
        <v>1.2227706089143401E-2</v>
      </c>
    </row>
    <row r="66" spans="1:29" ht="15" customHeight="1" x14ac:dyDescent="0.25">
      <c r="A66" s="88" t="s">
        <v>303</v>
      </c>
      <c r="B66" s="116" t="str">
        <f>VLOOKUP(A66,'0 Järjestäjätiedot'!A:H,2,FALSE)</f>
        <v>Raahen Koulutuskuntayhtymä</v>
      </c>
      <c r="C66" s="223">
        <v>329</v>
      </c>
      <c r="D66" s="223">
        <v>226</v>
      </c>
      <c r="E66" s="224">
        <v>0.68693009118541037</v>
      </c>
      <c r="F66" s="217"/>
      <c r="G66" s="218">
        <v>4.1069321533923304</v>
      </c>
      <c r="H66" s="218">
        <v>0.95954098760879636</v>
      </c>
      <c r="I66" s="223">
        <v>11138</v>
      </c>
      <c r="J66" s="223">
        <v>42614.418533642522</v>
      </c>
      <c r="K66" s="219">
        <v>6.7046721930892192E-3</v>
      </c>
      <c r="L66" s="223">
        <v>17</v>
      </c>
      <c r="M66" s="223">
        <v>4</v>
      </c>
      <c r="N66" s="224">
        <v>0.23529411764705882</v>
      </c>
      <c r="O66" s="217"/>
      <c r="P66" s="218">
        <v>4.6875</v>
      </c>
      <c r="Q66" s="218">
        <v>0.61766529501556733</v>
      </c>
      <c r="R66" s="223">
        <v>225</v>
      </c>
      <c r="S66" s="223">
        <v>264.90051903114187</v>
      </c>
      <c r="T66" s="219">
        <v>9.9524651312220746E-4</v>
      </c>
      <c r="U66" s="223">
        <v>346</v>
      </c>
      <c r="V66" s="223">
        <v>230</v>
      </c>
      <c r="W66" s="224">
        <v>0.66473988439306353</v>
      </c>
      <c r="X66" s="217"/>
      <c r="Y66" s="218">
        <v>4.1170289855072459</v>
      </c>
      <c r="Z66" s="218">
        <v>0.95765407011113524</v>
      </c>
      <c r="AA66" s="223">
        <v>21949.277731568996</v>
      </c>
      <c r="AB66" s="223">
        <v>42879.319052673665</v>
      </c>
      <c r="AC66" s="219">
        <v>6.4751898910915644E-3</v>
      </c>
    </row>
    <row r="67" spans="1:29" ht="15" customHeight="1" x14ac:dyDescent="0.25">
      <c r="A67" s="88" t="s">
        <v>296</v>
      </c>
      <c r="B67" s="116" t="str">
        <f>VLOOKUP(A67,'0 Järjestäjätiedot'!A:H,2,FALSE)</f>
        <v>Rovalan Setlementti ry</v>
      </c>
      <c r="C67" s="223">
        <v>24</v>
      </c>
      <c r="D67" s="223">
        <v>14</v>
      </c>
      <c r="E67" s="224">
        <v>0.58333333333333337</v>
      </c>
      <c r="F67" s="217"/>
      <c r="G67" s="218">
        <v>4.2023809523809526</v>
      </c>
      <c r="H67" s="218">
        <v>0.8698626315300737</v>
      </c>
      <c r="I67" s="223">
        <v>706</v>
      </c>
      <c r="J67" s="223">
        <v>2713.2278645833335</v>
      </c>
      <c r="K67" s="219">
        <v>4.2688141814783531E-4</v>
      </c>
      <c r="L67" s="223">
        <v>8</v>
      </c>
      <c r="M67" s="223">
        <v>4</v>
      </c>
      <c r="N67" s="224">
        <v>0.5</v>
      </c>
      <c r="O67" s="217"/>
      <c r="P67" s="218">
        <v>4.395833333333333</v>
      </c>
      <c r="Q67" s="218">
        <v>0.78367678640850214</v>
      </c>
      <c r="R67" s="223">
        <v>211</v>
      </c>
      <c r="S67" s="223">
        <v>268.6953125</v>
      </c>
      <c r="T67" s="219">
        <v>1.0095037708343223E-3</v>
      </c>
      <c r="U67" s="223">
        <v>32</v>
      </c>
      <c r="V67" s="223">
        <v>18</v>
      </c>
      <c r="W67" s="224">
        <v>0.5625</v>
      </c>
      <c r="X67" s="217"/>
      <c r="Y67" s="218">
        <v>4.2453703703703702</v>
      </c>
      <c r="Z67" s="218">
        <v>0.85525437620100886</v>
      </c>
      <c r="AA67" s="223">
        <v>1200.0246913580247</v>
      </c>
      <c r="AB67" s="223">
        <v>2981.9231770833335</v>
      </c>
      <c r="AC67" s="219">
        <v>4.5029910079828311E-4</v>
      </c>
    </row>
    <row r="68" spans="1:29" ht="15" customHeight="1" x14ac:dyDescent="0.25">
      <c r="A68" s="88" t="s">
        <v>402</v>
      </c>
      <c r="B68" s="116" t="str">
        <f>VLOOKUP(A68,'0 Järjestäjätiedot'!A:H,2,FALSE)</f>
        <v>Ava-instituutin kannatusyhdistys ry</v>
      </c>
      <c r="C68" s="223">
        <v>108</v>
      </c>
      <c r="D68" s="223">
        <v>74</v>
      </c>
      <c r="E68" s="224">
        <v>0.68518518518518523</v>
      </c>
      <c r="F68" s="217"/>
      <c r="G68" s="218">
        <v>4.3693693693693696</v>
      </c>
      <c r="H68" s="218">
        <v>0.84685882682727953</v>
      </c>
      <c r="I68" s="223">
        <v>3880</v>
      </c>
      <c r="J68" s="223">
        <v>14847.761059670784</v>
      </c>
      <c r="K68" s="219">
        <v>2.3360490212442305E-3</v>
      </c>
      <c r="L68" s="217"/>
      <c r="M68" s="217"/>
      <c r="N68" s="217"/>
      <c r="O68" s="217"/>
      <c r="P68" s="217"/>
      <c r="Q68" s="217"/>
      <c r="R68" s="217"/>
      <c r="S68" s="217"/>
      <c r="T68" s="217"/>
      <c r="U68" s="223">
        <v>108</v>
      </c>
      <c r="V68" s="223">
        <v>74</v>
      </c>
      <c r="W68" s="224">
        <v>0.68518518518518523</v>
      </c>
      <c r="X68" s="217"/>
      <c r="Y68" s="218">
        <v>4.3693693693693696</v>
      </c>
      <c r="Z68" s="218">
        <v>0.84685882682727953</v>
      </c>
      <c r="AA68" s="223">
        <v>3880</v>
      </c>
      <c r="AB68" s="223">
        <v>14847.761059670784</v>
      </c>
      <c r="AC68" s="219">
        <v>2.2421548299500914E-3</v>
      </c>
    </row>
    <row r="69" spans="1:29" ht="15" customHeight="1" x14ac:dyDescent="0.25">
      <c r="A69" s="88" t="s">
        <v>274</v>
      </c>
      <c r="B69" s="116" t="str">
        <f>VLOOKUP(A69,'0 Järjestäjätiedot'!A:H,2,FALSE)</f>
        <v>Tampereen kaupunki</v>
      </c>
      <c r="C69" s="223">
        <v>3220</v>
      </c>
      <c r="D69" s="223">
        <v>1589</v>
      </c>
      <c r="E69" s="224">
        <v>0.4934782608695652</v>
      </c>
      <c r="F69" s="217"/>
      <c r="G69" s="218">
        <v>4.117474302496329</v>
      </c>
      <c r="H69" s="218">
        <v>1.0230421026636876</v>
      </c>
      <c r="I69" s="223">
        <v>78512</v>
      </c>
      <c r="J69" s="223">
        <v>299692.53207703208</v>
      </c>
      <c r="K69" s="219">
        <v>4.7151650906771737E-2</v>
      </c>
      <c r="L69" s="223">
        <v>347</v>
      </c>
      <c r="M69" s="223">
        <v>87</v>
      </c>
      <c r="N69" s="224">
        <v>0.25072046109510088</v>
      </c>
      <c r="O69" s="217"/>
      <c r="P69" s="218">
        <v>4.3074712643678161</v>
      </c>
      <c r="Q69" s="218">
        <v>0.98567407169461685</v>
      </c>
      <c r="R69" s="223">
        <v>4497</v>
      </c>
      <c r="S69" s="223">
        <v>5333.1743009762567</v>
      </c>
      <c r="T69" s="219">
        <v>2.0037043137297872E-2</v>
      </c>
      <c r="U69" s="223">
        <v>3567</v>
      </c>
      <c r="V69" s="223">
        <v>1676</v>
      </c>
      <c r="W69" s="224">
        <v>0.46986262966077935</v>
      </c>
      <c r="X69" s="217"/>
      <c r="Y69" s="218">
        <v>4.1273369132856006</v>
      </c>
      <c r="Z69" s="218">
        <v>1.0220055451812606</v>
      </c>
      <c r="AA69" s="223">
        <v>149676.93736792338</v>
      </c>
      <c r="AB69" s="223">
        <v>305025.70637800836</v>
      </c>
      <c r="AC69" s="219">
        <v>4.6061817540425459E-2</v>
      </c>
    </row>
    <row r="70" spans="1:29" ht="15" customHeight="1" x14ac:dyDescent="0.25">
      <c r="A70" s="88" t="s">
        <v>316</v>
      </c>
      <c r="B70" s="116" t="str">
        <f>VLOOKUP(A70,'0 Järjestäjätiedot'!A:H,2,FALSE)</f>
        <v>Pohjois-Karjalan Koulutuskuntayhtymä</v>
      </c>
      <c r="C70" s="223">
        <v>1938</v>
      </c>
      <c r="D70" s="223">
        <v>1017</v>
      </c>
      <c r="E70" s="224">
        <v>0.52476780185758509</v>
      </c>
      <c r="F70" s="217"/>
      <c r="G70" s="218">
        <v>4.1990876507005543</v>
      </c>
      <c r="H70" s="218">
        <v>0.95078596655303282</v>
      </c>
      <c r="I70" s="223">
        <v>51245.665689149559</v>
      </c>
      <c r="J70" s="223">
        <v>196295.73568473442</v>
      </c>
      <c r="K70" s="219">
        <v>3.0883879352440732E-2</v>
      </c>
      <c r="L70" s="223">
        <v>331</v>
      </c>
      <c r="M70" s="223">
        <v>70</v>
      </c>
      <c r="N70" s="224">
        <v>0.21148036253776434</v>
      </c>
      <c r="O70" s="217"/>
      <c r="P70" s="218">
        <v>3.9345238095238093</v>
      </c>
      <c r="Q70" s="218">
        <v>1.1969200601483327</v>
      </c>
      <c r="R70" s="223">
        <v>3305</v>
      </c>
      <c r="S70" s="223">
        <v>3844.7800654429957</v>
      </c>
      <c r="T70" s="219">
        <v>1.4445060235627805E-2</v>
      </c>
      <c r="U70" s="223">
        <v>2269</v>
      </c>
      <c r="V70" s="223">
        <v>1087</v>
      </c>
      <c r="W70" s="224">
        <v>0.47906566769501985</v>
      </c>
      <c r="X70" s="217"/>
      <c r="Y70" s="218">
        <v>4.1821439463250991</v>
      </c>
      <c r="Z70" s="218">
        <v>0.97058986539745085</v>
      </c>
      <c r="AA70" s="223">
        <v>95990.282037652898</v>
      </c>
      <c r="AB70" s="223">
        <v>200140.51575017741</v>
      </c>
      <c r="AC70" s="219">
        <v>3.0223144233970621E-2</v>
      </c>
    </row>
    <row r="71" spans="1:29" ht="15" customHeight="1" x14ac:dyDescent="0.25">
      <c r="A71" s="88" t="s">
        <v>364</v>
      </c>
      <c r="B71" s="116" t="str">
        <f>VLOOKUP(A71,'0 Järjestäjätiedot'!A:H,2,FALSE)</f>
        <v>Kansan Sivistystyön Liitto KSL ry</v>
      </c>
      <c r="C71" s="223">
        <v>15</v>
      </c>
      <c r="D71" s="223">
        <v>13</v>
      </c>
      <c r="E71" s="224">
        <v>0.8666666666666667</v>
      </c>
      <c r="F71" s="217"/>
      <c r="G71" s="218">
        <v>4.5576923076923075</v>
      </c>
      <c r="H71" s="218">
        <v>0.7182634383455061</v>
      </c>
      <c r="I71" s="223">
        <v>711</v>
      </c>
      <c r="J71" s="223">
        <v>2461.1538461538457</v>
      </c>
      <c r="K71" s="219">
        <v>3.8722175083053532E-4</v>
      </c>
      <c r="L71" s="223">
        <v>0</v>
      </c>
      <c r="M71" s="223">
        <v>0</v>
      </c>
      <c r="N71" s="224"/>
      <c r="O71" s="217"/>
      <c r="P71" s="218"/>
      <c r="Q71" s="218"/>
      <c r="R71" s="223">
        <v>0</v>
      </c>
      <c r="S71" s="223">
        <v>0</v>
      </c>
      <c r="T71" s="219">
        <v>0</v>
      </c>
      <c r="U71" s="223">
        <v>15</v>
      </c>
      <c r="V71" s="223">
        <v>13</v>
      </c>
      <c r="W71" s="224">
        <v>0.8666666666666667</v>
      </c>
      <c r="X71" s="217"/>
      <c r="Y71" s="218">
        <v>4.5892857142857144</v>
      </c>
      <c r="Z71" s="218">
        <v>0.70144711933579718</v>
      </c>
      <c r="AA71" s="223">
        <v>1329.5816326530612</v>
      </c>
      <c r="AB71" s="223">
        <v>2461.1538461538457</v>
      </c>
      <c r="AC71" s="219">
        <v>3.7165791941471646E-4</v>
      </c>
    </row>
    <row r="72" spans="1:29" ht="15" customHeight="1" x14ac:dyDescent="0.25">
      <c r="A72" s="88" t="s">
        <v>338</v>
      </c>
      <c r="B72" s="116" t="str">
        <f>VLOOKUP(A72,'0 Järjestäjätiedot'!A:H,2,FALSE)</f>
        <v>Keski-Uudenmaan koulutuskuntayhtymä</v>
      </c>
      <c r="C72" s="223">
        <v>2306</v>
      </c>
      <c r="D72" s="223">
        <v>805</v>
      </c>
      <c r="E72" s="224">
        <v>0.34908933217692972</v>
      </c>
      <c r="F72" s="217"/>
      <c r="G72" s="218">
        <v>4.1709109730848866</v>
      </c>
      <c r="H72" s="218">
        <v>0.96549293256877378</v>
      </c>
      <c r="I72" s="223">
        <v>40291</v>
      </c>
      <c r="J72" s="223">
        <v>148923.45287672826</v>
      </c>
      <c r="K72" s="219">
        <v>2.3430636102969866E-2</v>
      </c>
      <c r="L72" s="223">
        <v>324</v>
      </c>
      <c r="M72" s="223">
        <v>51</v>
      </c>
      <c r="N72" s="224">
        <v>0.15740740740740741</v>
      </c>
      <c r="O72" s="217"/>
      <c r="P72" s="218">
        <v>4.2761437908496731</v>
      </c>
      <c r="Q72" s="218">
        <v>0.8597116283378724</v>
      </c>
      <c r="R72" s="223">
        <v>2617</v>
      </c>
      <c r="S72" s="223">
        <v>2952.5316974236966</v>
      </c>
      <c r="T72" s="219">
        <v>1.1092831707129554E-2</v>
      </c>
      <c r="U72" s="223">
        <v>2630</v>
      </c>
      <c r="V72" s="223">
        <v>856</v>
      </c>
      <c r="W72" s="224">
        <v>0.32547528517110264</v>
      </c>
      <c r="X72" s="217"/>
      <c r="Y72" s="218">
        <v>4.1771806853582554</v>
      </c>
      <c r="Z72" s="218">
        <v>0.95984057041981286</v>
      </c>
      <c r="AA72" s="223">
        <v>79382.400002183596</v>
      </c>
      <c r="AB72" s="223">
        <v>151875.98457415195</v>
      </c>
      <c r="AC72" s="219">
        <v>2.2934735479499348E-2</v>
      </c>
    </row>
    <row r="73" spans="1:29" ht="15" customHeight="1" x14ac:dyDescent="0.25">
      <c r="A73" s="88" t="s">
        <v>365</v>
      </c>
      <c r="B73" s="116" t="str">
        <f>VLOOKUP(A73,'0 Järjestäjätiedot'!A:H,2,FALSE)</f>
        <v>Kanneljärven Kansanopiston kannatusyhdistys r.y.</v>
      </c>
      <c r="C73" s="223">
        <v>48</v>
      </c>
      <c r="D73" s="223">
        <v>11</v>
      </c>
      <c r="E73" s="224">
        <v>0.22916666666666666</v>
      </c>
      <c r="F73" s="217"/>
      <c r="G73" s="218">
        <v>4.2575757575757578</v>
      </c>
      <c r="H73" s="218">
        <v>0.99712626568320506</v>
      </c>
      <c r="I73" s="223">
        <v>562</v>
      </c>
      <c r="J73" s="223">
        <v>1979.0513509114583</v>
      </c>
      <c r="K73" s="219">
        <v>3.1137091664588609E-4</v>
      </c>
      <c r="L73" s="223">
        <v>1</v>
      </c>
      <c r="M73" s="223">
        <v>1</v>
      </c>
      <c r="N73" s="224">
        <v>1</v>
      </c>
      <c r="O73" s="217"/>
      <c r="P73" s="218">
        <v>3.25</v>
      </c>
      <c r="Q73" s="218">
        <v>1.0103629710818454</v>
      </c>
      <c r="R73" s="223">
        <v>39</v>
      </c>
      <c r="S73" s="223">
        <v>39</v>
      </c>
      <c r="T73" s="219">
        <v>1.4652524711438191E-4</v>
      </c>
      <c r="U73" s="223">
        <v>49</v>
      </c>
      <c r="V73" s="223">
        <v>12</v>
      </c>
      <c r="W73" s="224">
        <v>0.24489795918367346</v>
      </c>
      <c r="X73" s="217"/>
      <c r="Y73" s="218">
        <v>4.1736111111111107</v>
      </c>
      <c r="Z73" s="218">
        <v>1.0363521837509859</v>
      </c>
      <c r="AA73" s="223">
        <v>1018.3611111111111</v>
      </c>
      <c r="AB73" s="223">
        <v>2018.0513509114583</v>
      </c>
      <c r="AC73" s="219">
        <v>3.0474517776444871E-4</v>
      </c>
    </row>
    <row r="74" spans="1:29" ht="15" customHeight="1" x14ac:dyDescent="0.25">
      <c r="A74" s="88" t="s">
        <v>241</v>
      </c>
      <c r="B74" s="116" t="str">
        <f>VLOOKUP(A74,'0 Järjestäjätiedot'!A:H,2,FALSE)</f>
        <v>Ylä-Savon koulutuskuntayhtymä</v>
      </c>
      <c r="C74" s="223">
        <v>689</v>
      </c>
      <c r="D74" s="223">
        <v>147</v>
      </c>
      <c r="E74" s="224">
        <v>0.21335268505079827</v>
      </c>
      <c r="F74" s="217"/>
      <c r="G74" s="218">
        <v>4.0470521541950113</v>
      </c>
      <c r="H74" s="218">
        <v>1.096555799247219</v>
      </c>
      <c r="I74" s="223">
        <v>7139</v>
      </c>
      <c r="J74" s="223">
        <v>24939.157060739355</v>
      </c>
      <c r="K74" s="219">
        <v>3.9237628628493084E-3</v>
      </c>
      <c r="L74" s="223">
        <v>121</v>
      </c>
      <c r="M74" s="223">
        <v>13</v>
      </c>
      <c r="N74" s="224">
        <v>0.10743801652892562</v>
      </c>
      <c r="O74" s="217"/>
      <c r="P74" s="218">
        <v>3.9807692307692308</v>
      </c>
      <c r="Q74" s="218">
        <v>1.0829160173308534</v>
      </c>
      <c r="R74" s="223">
        <v>621</v>
      </c>
      <c r="S74" s="223">
        <v>677.94894687862836</v>
      </c>
      <c r="T74" s="219">
        <v>2.5470932557006662E-3</v>
      </c>
      <c r="U74" s="223">
        <v>810</v>
      </c>
      <c r="V74" s="223">
        <v>160</v>
      </c>
      <c r="W74" s="224">
        <v>0.19753086419753085</v>
      </c>
      <c r="X74" s="217"/>
      <c r="Y74" s="218">
        <v>4.041666666666667</v>
      </c>
      <c r="Z74" s="218">
        <v>1.0956035880838562</v>
      </c>
      <c r="AA74" s="223">
        <v>13202.912500000002</v>
      </c>
      <c r="AB74" s="223">
        <v>25617.106007617982</v>
      </c>
      <c r="AC74" s="219">
        <v>3.8684295722090306E-3</v>
      </c>
    </row>
    <row r="75" spans="1:29" ht="15" customHeight="1" x14ac:dyDescent="0.25">
      <c r="A75" s="88" t="s">
        <v>305</v>
      </c>
      <c r="B75" s="116" t="str">
        <f>VLOOKUP(A75,'0 Järjestäjätiedot'!A:H,2,FALSE)</f>
        <v>Pohjois-Savon Kansanopistoseura r.y.</v>
      </c>
      <c r="C75" s="223">
        <v>21</v>
      </c>
      <c r="D75" s="223">
        <v>14</v>
      </c>
      <c r="E75" s="224">
        <v>0.66666666666666663</v>
      </c>
      <c r="F75" s="217"/>
      <c r="G75" s="218">
        <v>4.3869047619047619</v>
      </c>
      <c r="H75" s="218">
        <v>0.78623269333738621</v>
      </c>
      <c r="I75" s="223">
        <v>737</v>
      </c>
      <c r="J75" s="223">
        <v>2825.166666666667</v>
      </c>
      <c r="K75" s="219">
        <v>4.4449313266796517E-4</v>
      </c>
      <c r="L75" s="217"/>
      <c r="M75" s="217"/>
      <c r="N75" s="217"/>
      <c r="O75" s="217"/>
      <c r="P75" s="217"/>
      <c r="Q75" s="217"/>
      <c r="R75" s="217"/>
      <c r="S75" s="217"/>
      <c r="T75" s="217"/>
      <c r="U75" s="223">
        <v>21</v>
      </c>
      <c r="V75" s="223">
        <v>14</v>
      </c>
      <c r="W75" s="224">
        <v>0.66666666666666663</v>
      </c>
      <c r="X75" s="217"/>
      <c r="Y75" s="218">
        <v>4.3869047619047619</v>
      </c>
      <c r="Z75" s="218">
        <v>0.78623269333738621</v>
      </c>
      <c r="AA75" s="223">
        <v>737</v>
      </c>
      <c r="AB75" s="223">
        <v>2825.166666666667</v>
      </c>
      <c r="AC75" s="219">
        <v>4.2662735894142406E-4</v>
      </c>
    </row>
    <row r="76" spans="1:29" ht="15" customHeight="1" x14ac:dyDescent="0.25">
      <c r="A76" s="88" t="s">
        <v>367</v>
      </c>
      <c r="B76" s="116" t="str">
        <f>VLOOKUP(A76,'0 Järjestäjätiedot'!A:H,2,FALSE)</f>
        <v>Kajaanin kaupunki</v>
      </c>
      <c r="C76" s="223">
        <v>1029</v>
      </c>
      <c r="D76" s="223">
        <v>683</v>
      </c>
      <c r="E76" s="224">
        <v>0.66375121477162291</v>
      </c>
      <c r="F76" s="217"/>
      <c r="G76" s="218">
        <v>4.2614022319262492</v>
      </c>
      <c r="H76" s="218">
        <v>0.91470799012860649</v>
      </c>
      <c r="I76" s="223">
        <v>34926.45269286754</v>
      </c>
      <c r="J76" s="223">
        <v>133915.86028143048</v>
      </c>
      <c r="K76" s="219">
        <v>2.1069440239662049E-2</v>
      </c>
      <c r="L76" s="223">
        <v>83</v>
      </c>
      <c r="M76" s="223">
        <v>39</v>
      </c>
      <c r="N76" s="224">
        <v>0.46987951807228917</v>
      </c>
      <c r="O76" s="217"/>
      <c r="P76" s="218">
        <v>4.1773504273504276</v>
      </c>
      <c r="Q76" s="218">
        <v>1.0318433369811841</v>
      </c>
      <c r="R76" s="223">
        <v>1955</v>
      </c>
      <c r="S76" s="223">
        <v>2478.9837739512268</v>
      </c>
      <c r="T76" s="219">
        <v>9.3136848736088858E-3</v>
      </c>
      <c r="U76" s="223">
        <v>1112</v>
      </c>
      <c r="V76" s="223">
        <v>722</v>
      </c>
      <c r="W76" s="224">
        <v>0.64928057553956831</v>
      </c>
      <c r="X76" s="217"/>
      <c r="Y76" s="218">
        <v>4.2568870523415976</v>
      </c>
      <c r="Z76" s="218">
        <v>0.92157381610893974</v>
      </c>
      <c r="AA76" s="223">
        <v>66244.480158459119</v>
      </c>
      <c r="AB76" s="223">
        <v>136394.84405538169</v>
      </c>
      <c r="AC76" s="219">
        <v>2.0596934254937721E-2</v>
      </c>
    </row>
    <row r="77" spans="1:29" ht="15" customHeight="1" x14ac:dyDescent="0.25">
      <c r="A77" s="88" t="s">
        <v>356</v>
      </c>
      <c r="B77" s="116" t="str">
        <f>VLOOKUP(A77,'0 Järjestäjätiedot'!A:H,2,FALSE)</f>
        <v>Kirkkopalvelut ry</v>
      </c>
      <c r="C77" s="223">
        <v>725</v>
      </c>
      <c r="D77" s="223">
        <v>293</v>
      </c>
      <c r="E77" s="224">
        <v>0.40413793103448276</v>
      </c>
      <c r="F77" s="217"/>
      <c r="G77" s="218">
        <v>4.2389078498293511</v>
      </c>
      <c r="H77" s="218">
        <v>1.0030269044400226</v>
      </c>
      <c r="I77" s="223">
        <v>14904</v>
      </c>
      <c r="J77" s="223">
        <v>55947.21913198573</v>
      </c>
      <c r="K77" s="219">
        <v>8.8023673043610817E-3</v>
      </c>
      <c r="L77" s="223">
        <v>78</v>
      </c>
      <c r="M77" s="223">
        <v>38</v>
      </c>
      <c r="N77" s="224">
        <v>0.48717948717948717</v>
      </c>
      <c r="O77" s="217"/>
      <c r="P77" s="218">
        <v>4.3092105263157894</v>
      </c>
      <c r="Q77" s="218">
        <v>0.99273823402380679</v>
      </c>
      <c r="R77" s="223">
        <v>1965</v>
      </c>
      <c r="S77" s="223">
        <v>2498.1160626232745</v>
      </c>
      <c r="T77" s="219">
        <v>9.3855659845200525E-3</v>
      </c>
      <c r="U77" s="223">
        <v>803</v>
      </c>
      <c r="V77" s="223">
        <v>331</v>
      </c>
      <c r="W77" s="224">
        <v>0.41220423412204232</v>
      </c>
      <c r="X77" s="217"/>
      <c r="Y77" s="218">
        <v>4.2469788519637461</v>
      </c>
      <c r="Z77" s="218">
        <v>1.0021017372495087</v>
      </c>
      <c r="AA77" s="223">
        <v>26971.061490858974</v>
      </c>
      <c r="AB77" s="223">
        <v>58445.335194609004</v>
      </c>
      <c r="AC77" s="219">
        <v>8.8258081516803602E-3</v>
      </c>
    </row>
    <row r="78" spans="1:29" ht="15" customHeight="1" x14ac:dyDescent="0.25">
      <c r="A78" s="88" t="s">
        <v>300</v>
      </c>
      <c r="B78" s="116" t="str">
        <f>VLOOKUP(A78,'0 Järjestäjätiedot'!A:H,2,FALSE)</f>
        <v>Rakennusteollisuus RT ry</v>
      </c>
      <c r="C78" s="223">
        <v>48</v>
      </c>
      <c r="D78" s="223">
        <v>29</v>
      </c>
      <c r="E78" s="224">
        <v>0.60416666666666663</v>
      </c>
      <c r="F78" s="217"/>
      <c r="G78" s="218">
        <v>4.4138888888888888</v>
      </c>
      <c r="H78" s="218">
        <v>0.73282284420428412</v>
      </c>
      <c r="I78" s="223">
        <v>1536.0333333333333</v>
      </c>
      <c r="J78" s="223">
        <v>5904.0656236436635</v>
      </c>
      <c r="K78" s="219">
        <v>9.2890683423890578E-4</v>
      </c>
      <c r="L78" s="217"/>
      <c r="M78" s="217"/>
      <c r="N78" s="217"/>
      <c r="O78" s="217"/>
      <c r="P78" s="217"/>
      <c r="Q78" s="217"/>
      <c r="R78" s="217"/>
      <c r="S78" s="217"/>
      <c r="T78" s="217"/>
      <c r="U78" s="223">
        <v>48</v>
      </c>
      <c r="V78" s="223">
        <v>29</v>
      </c>
      <c r="W78" s="224">
        <v>0.60416666666666663</v>
      </c>
      <c r="X78" s="217"/>
      <c r="Y78" s="218">
        <v>4.4138888888888888</v>
      </c>
      <c r="Z78" s="218">
        <v>0.73282284420428412</v>
      </c>
      <c r="AA78" s="223">
        <v>1536.0333333333333</v>
      </c>
      <c r="AB78" s="223">
        <v>5904.0656236436635</v>
      </c>
      <c r="AC78" s="219">
        <v>8.9157073589709668E-4</v>
      </c>
    </row>
    <row r="79" spans="1:29" ht="15" customHeight="1" x14ac:dyDescent="0.25">
      <c r="A79" s="88" t="s">
        <v>327</v>
      </c>
      <c r="B79" s="116" t="str">
        <f>VLOOKUP(A79,'0 Järjestäjätiedot'!A:H,2,FALSE)</f>
        <v>Maalariammattikoulun kannatusyhdistys r.y.</v>
      </c>
      <c r="C79" s="223">
        <v>108</v>
      </c>
      <c r="D79" s="223">
        <v>59</v>
      </c>
      <c r="E79" s="224">
        <v>0.54629629629629628</v>
      </c>
      <c r="F79" s="217"/>
      <c r="G79" s="218">
        <v>4.2612994350282483</v>
      </c>
      <c r="H79" s="218">
        <v>0.94828093387334644</v>
      </c>
      <c r="I79" s="223">
        <v>3017</v>
      </c>
      <c r="J79" s="223">
        <v>11576.200094843107</v>
      </c>
      <c r="K79" s="219">
        <v>1.8213231471469558E-3</v>
      </c>
      <c r="L79" s="223">
        <v>14</v>
      </c>
      <c r="M79" s="223">
        <v>1</v>
      </c>
      <c r="N79" s="224">
        <v>7.1428571428571425E-2</v>
      </c>
      <c r="O79" s="217"/>
      <c r="P79" s="218">
        <v>5</v>
      </c>
      <c r="Q79" s="218">
        <v>0</v>
      </c>
      <c r="R79" s="223">
        <v>60</v>
      </c>
      <c r="S79" s="223">
        <v>63.778698979591844</v>
      </c>
      <c r="T79" s="219">
        <v>2.3962024688765313E-4</v>
      </c>
      <c r="U79" s="223">
        <v>122</v>
      </c>
      <c r="V79" s="223">
        <v>60</v>
      </c>
      <c r="W79" s="224">
        <v>0.49180327868852458</v>
      </c>
      <c r="X79" s="217"/>
      <c r="Y79" s="218">
        <v>4.2736111111111112</v>
      </c>
      <c r="Z79" s="218">
        <v>0.94508862834767926</v>
      </c>
      <c r="AA79" s="223">
        <v>6154</v>
      </c>
      <c r="AB79" s="223">
        <v>11639.978793822698</v>
      </c>
      <c r="AC79" s="219">
        <v>1.7577488328509563E-3</v>
      </c>
    </row>
    <row r="80" spans="1:29" ht="15" customHeight="1" x14ac:dyDescent="0.25">
      <c r="A80" s="88" t="s">
        <v>283</v>
      </c>
      <c r="B80" s="116" t="str">
        <f>VLOOKUP(A80,'0 Järjestäjätiedot'!A:H,2,FALSE)</f>
        <v>Suomen Luterilainen Evankeliumiyhdistys ry</v>
      </c>
      <c r="C80" s="223">
        <v>0</v>
      </c>
      <c r="D80" s="223">
        <v>0</v>
      </c>
      <c r="E80" s="224"/>
      <c r="F80" s="217"/>
      <c r="G80" s="218"/>
      <c r="H80" s="218"/>
      <c r="I80" s="223">
        <v>0</v>
      </c>
      <c r="J80" s="223">
        <v>0</v>
      </c>
      <c r="K80" s="219">
        <v>0</v>
      </c>
      <c r="L80" s="217"/>
      <c r="M80" s="217"/>
      <c r="N80" s="217"/>
      <c r="O80" s="217"/>
      <c r="P80" s="217"/>
      <c r="Q80" s="217"/>
      <c r="R80" s="217"/>
      <c r="S80" s="217"/>
      <c r="T80" s="217"/>
      <c r="U80" s="223">
        <v>0</v>
      </c>
      <c r="V80" s="223">
        <v>0</v>
      </c>
      <c r="W80" s="224"/>
      <c r="X80" s="217"/>
      <c r="Y80" s="218"/>
      <c r="Z80" s="218"/>
      <c r="AA80" s="223">
        <v>0</v>
      </c>
      <c r="AB80" s="223">
        <v>0</v>
      </c>
      <c r="AC80" s="219">
        <v>0</v>
      </c>
    </row>
    <row r="81" spans="1:29" ht="15" customHeight="1" x14ac:dyDescent="0.25">
      <c r="A81" s="88" t="s">
        <v>372</v>
      </c>
      <c r="B81" s="116" t="str">
        <f>VLOOKUP(A81,'0 Järjestäjätiedot'!A:H,2,FALSE)</f>
        <v>Joensuun kaupunki</v>
      </c>
      <c r="C81" s="223">
        <v>26</v>
      </c>
      <c r="D81" s="223">
        <v>15</v>
      </c>
      <c r="E81" s="224">
        <v>0.57692307692307687</v>
      </c>
      <c r="F81" s="217"/>
      <c r="G81" s="218">
        <v>4.2222222222222223</v>
      </c>
      <c r="H81" s="218">
        <v>1.0517475169954869</v>
      </c>
      <c r="I81" s="223">
        <v>760</v>
      </c>
      <c r="J81" s="223">
        <v>2920.3014053254442</v>
      </c>
      <c r="K81" s="219">
        <v>4.5946100642596933E-4</v>
      </c>
      <c r="L81" s="217"/>
      <c r="M81" s="217"/>
      <c r="N81" s="217"/>
      <c r="O81" s="217"/>
      <c r="P81" s="217"/>
      <c r="Q81" s="217"/>
      <c r="R81" s="217"/>
      <c r="S81" s="217"/>
      <c r="T81" s="217"/>
      <c r="U81" s="223">
        <v>26</v>
      </c>
      <c r="V81" s="223">
        <v>15</v>
      </c>
      <c r="W81" s="224">
        <v>0.57692307692307687</v>
      </c>
      <c r="X81" s="217"/>
      <c r="Y81" s="218">
        <v>4.2222222222222223</v>
      </c>
      <c r="Z81" s="218">
        <v>1.0517475169954869</v>
      </c>
      <c r="AA81" s="223">
        <v>760</v>
      </c>
      <c r="AB81" s="223">
        <v>2920.3014053254442</v>
      </c>
      <c r="AC81" s="219">
        <v>4.4099362015229425E-4</v>
      </c>
    </row>
    <row r="82" spans="1:29" ht="15" customHeight="1" x14ac:dyDescent="0.25">
      <c r="A82" s="88" t="s">
        <v>263</v>
      </c>
      <c r="B82" s="116" t="str">
        <f>VLOOKUP(A82,'0 Järjestäjätiedot'!A:H,2,FALSE)</f>
        <v>Turun Ammattiopistosäätiö sr</v>
      </c>
      <c r="C82" s="223">
        <v>102</v>
      </c>
      <c r="D82" s="223">
        <v>68</v>
      </c>
      <c r="E82" s="224">
        <v>0.66666666666666663</v>
      </c>
      <c r="F82" s="217"/>
      <c r="G82" s="218">
        <v>3.9178921568627452</v>
      </c>
      <c r="H82" s="218">
        <v>1.0070211693051347</v>
      </c>
      <c r="I82" s="223">
        <v>3197</v>
      </c>
      <c r="J82" s="223">
        <v>12255.166666666668</v>
      </c>
      <c r="K82" s="219">
        <v>1.9281472797007934E-3</v>
      </c>
      <c r="L82" s="223">
        <v>6</v>
      </c>
      <c r="M82" s="223">
        <v>1</v>
      </c>
      <c r="N82" s="224">
        <v>0.16666666666666666</v>
      </c>
      <c r="O82" s="217"/>
      <c r="P82" s="218">
        <v>5</v>
      </c>
      <c r="Q82" s="218">
        <v>0</v>
      </c>
      <c r="R82" s="223">
        <v>60</v>
      </c>
      <c r="S82" s="223">
        <v>68.072916666666671</v>
      </c>
      <c r="T82" s="219">
        <v>2.557538701635913E-4</v>
      </c>
      <c r="U82" s="223">
        <v>108</v>
      </c>
      <c r="V82" s="223">
        <v>69</v>
      </c>
      <c r="W82" s="224">
        <v>0.63888888888888884</v>
      </c>
      <c r="X82" s="217"/>
      <c r="Y82" s="218">
        <v>3.9335748792270531</v>
      </c>
      <c r="Z82" s="218">
        <v>1.0080273331098142</v>
      </c>
      <c r="AA82" s="223">
        <v>6327.9248057130853</v>
      </c>
      <c r="AB82" s="223">
        <v>12323.239583333334</v>
      </c>
      <c r="AC82" s="219">
        <v>1.8609277884631874E-3</v>
      </c>
    </row>
    <row r="83" spans="1:29" ht="15" customHeight="1" x14ac:dyDescent="0.25">
      <c r="A83" s="88" t="s">
        <v>306</v>
      </c>
      <c r="B83" s="116" t="str">
        <f>VLOOKUP(A83,'0 Järjestäjätiedot'!A:H,2,FALSE)</f>
        <v>Pohjois-Satakunnan Kansanopiston kannatusyhdistys r.y.</v>
      </c>
      <c r="C83" s="217"/>
      <c r="D83" s="217"/>
      <c r="E83" s="217"/>
      <c r="F83" s="217"/>
      <c r="G83" s="217"/>
      <c r="H83" s="217"/>
      <c r="I83" s="217"/>
      <c r="J83" s="217"/>
      <c r="K83" s="217"/>
      <c r="L83" s="223">
        <v>9</v>
      </c>
      <c r="M83" s="223">
        <v>3</v>
      </c>
      <c r="N83" s="224">
        <v>0.33333333333333331</v>
      </c>
      <c r="O83" s="217"/>
      <c r="P83" s="218">
        <v>3.3611111111111112</v>
      </c>
      <c r="Q83" s="218">
        <v>1.2942775285801935</v>
      </c>
      <c r="R83" s="223">
        <v>121</v>
      </c>
      <c r="S83" s="223">
        <v>148.30902777777777</v>
      </c>
      <c r="T83" s="219">
        <v>5.5720556267775938E-4</v>
      </c>
      <c r="U83" s="223">
        <v>9</v>
      </c>
      <c r="V83" s="223">
        <v>3</v>
      </c>
      <c r="W83" s="224">
        <v>0.33333333333333331</v>
      </c>
      <c r="X83" s="217"/>
      <c r="Y83" s="218">
        <v>3.3611111111111112</v>
      </c>
      <c r="Z83" s="218">
        <v>1.2942775285801935</v>
      </c>
      <c r="AA83" s="223">
        <v>121</v>
      </c>
      <c r="AB83" s="223">
        <v>148.30902777777777</v>
      </c>
      <c r="AC83" s="219">
        <v>2.2396090671230121E-5</v>
      </c>
    </row>
    <row r="84" spans="1:29" ht="15" customHeight="1" x14ac:dyDescent="0.25">
      <c r="A84" s="88" t="s">
        <v>314</v>
      </c>
      <c r="B84" s="116" t="str">
        <f>VLOOKUP(A84,'0 Järjestäjätiedot'!A:H,2,FALSE)</f>
        <v>Paasikiviopistoyhdistys r.y.</v>
      </c>
      <c r="C84" s="223">
        <v>13</v>
      </c>
      <c r="D84" s="223">
        <v>11</v>
      </c>
      <c r="E84" s="224">
        <v>0.84615384615384615</v>
      </c>
      <c r="F84" s="217"/>
      <c r="G84" s="218">
        <v>4.3409090909090908</v>
      </c>
      <c r="H84" s="218">
        <v>0.73679841261124335</v>
      </c>
      <c r="I84" s="223">
        <v>573</v>
      </c>
      <c r="J84" s="223">
        <v>2031.5454545454547</v>
      </c>
      <c r="K84" s="219">
        <v>3.1962999348059975E-4</v>
      </c>
      <c r="L84" s="217"/>
      <c r="M84" s="217"/>
      <c r="N84" s="217"/>
      <c r="O84" s="217"/>
      <c r="P84" s="217"/>
      <c r="Q84" s="217"/>
      <c r="R84" s="217"/>
      <c r="S84" s="217"/>
      <c r="T84" s="217"/>
      <c r="U84" s="223">
        <v>13</v>
      </c>
      <c r="V84" s="223">
        <v>11</v>
      </c>
      <c r="W84" s="224">
        <v>0.84615384615384615</v>
      </c>
      <c r="X84" s="217"/>
      <c r="Y84" s="218">
        <v>4.3409090909090908</v>
      </c>
      <c r="Z84" s="218">
        <v>0.73679841261124335</v>
      </c>
      <c r="AA84" s="223">
        <v>573</v>
      </c>
      <c r="AB84" s="223">
        <v>2031.5454545454547</v>
      </c>
      <c r="AC84" s="219">
        <v>3.0678291729414745E-4</v>
      </c>
    </row>
    <row r="85" spans="1:29" ht="15" customHeight="1" x14ac:dyDescent="0.25">
      <c r="A85" s="88" t="s">
        <v>398</v>
      </c>
      <c r="B85" s="116" t="str">
        <f>VLOOKUP(A85,'0 Järjestäjätiedot'!A:H,2,FALSE)</f>
        <v>Espoon seudun koulutuskuntayhtymä Omnia</v>
      </c>
      <c r="C85" s="223">
        <v>2826</v>
      </c>
      <c r="D85" s="223">
        <v>699</v>
      </c>
      <c r="E85" s="224">
        <v>0.24734607218683652</v>
      </c>
      <c r="F85" s="217"/>
      <c r="G85" s="218">
        <v>4.1515259895088219</v>
      </c>
      <c r="H85" s="218">
        <v>1.0342495861280743</v>
      </c>
      <c r="I85" s="223">
        <v>34823</v>
      </c>
      <c r="J85" s="223">
        <v>123700.69879747066</v>
      </c>
      <c r="K85" s="219">
        <v>1.9462253951402556E-2</v>
      </c>
      <c r="L85" s="223">
        <v>889</v>
      </c>
      <c r="M85" s="223">
        <v>68</v>
      </c>
      <c r="N85" s="224">
        <v>7.6490438695163102E-2</v>
      </c>
      <c r="O85" s="217"/>
      <c r="P85" s="218">
        <v>4.1482843137254903</v>
      </c>
      <c r="Q85" s="218">
        <v>0.93610687211901678</v>
      </c>
      <c r="R85" s="223">
        <v>3385</v>
      </c>
      <c r="S85" s="223">
        <v>3612.2650369280332</v>
      </c>
      <c r="T85" s="219">
        <v>1.3571487876372357E-2</v>
      </c>
      <c r="U85" s="223">
        <v>3715</v>
      </c>
      <c r="V85" s="223">
        <v>767</v>
      </c>
      <c r="W85" s="224">
        <v>0.20646029609690444</v>
      </c>
      <c r="X85" s="217"/>
      <c r="Y85" s="218">
        <v>4.1512385919165578</v>
      </c>
      <c r="Z85" s="218">
        <v>1.0259283052172374</v>
      </c>
      <c r="AA85" s="223">
        <v>64067.629345440764</v>
      </c>
      <c r="AB85" s="223">
        <v>127312.96383439869</v>
      </c>
      <c r="AC85" s="219">
        <v>1.9225482928325602E-2</v>
      </c>
    </row>
    <row r="86" spans="1:29" ht="15" customHeight="1" x14ac:dyDescent="0.25">
      <c r="A86" s="88" t="s">
        <v>362</v>
      </c>
      <c r="B86" s="116" t="str">
        <f>VLOOKUP(A86,'0 Järjestäjätiedot'!A:H,2,FALSE)</f>
        <v>Kauppiaitten Kauppaoppilaitos Oy</v>
      </c>
      <c r="C86" s="223">
        <v>322</v>
      </c>
      <c r="D86" s="223">
        <v>258</v>
      </c>
      <c r="E86" s="224">
        <v>0.80124223602484468</v>
      </c>
      <c r="F86" s="217"/>
      <c r="G86" s="218">
        <v>4.4247416020671837</v>
      </c>
      <c r="H86" s="218">
        <v>0.81698395854977768</v>
      </c>
      <c r="I86" s="223">
        <v>13699</v>
      </c>
      <c r="J86" s="223">
        <v>51291.604651162794</v>
      </c>
      <c r="K86" s="219">
        <v>8.0698835576528075E-3</v>
      </c>
      <c r="L86" s="217"/>
      <c r="M86" s="217"/>
      <c r="N86" s="217"/>
      <c r="O86" s="217"/>
      <c r="P86" s="217"/>
      <c r="Q86" s="217"/>
      <c r="R86" s="217"/>
      <c r="S86" s="217"/>
      <c r="T86" s="217"/>
      <c r="U86" s="223">
        <v>322</v>
      </c>
      <c r="V86" s="223">
        <v>258</v>
      </c>
      <c r="W86" s="224">
        <v>0.80124223602484468</v>
      </c>
      <c r="X86" s="217"/>
      <c r="Y86" s="218">
        <v>4.4247416020671837</v>
      </c>
      <c r="Z86" s="218">
        <v>0.81698395854977768</v>
      </c>
      <c r="AA86" s="223">
        <v>13699</v>
      </c>
      <c r="AB86" s="223">
        <v>51291.604651162794</v>
      </c>
      <c r="AC86" s="219">
        <v>7.7455259848480595E-3</v>
      </c>
    </row>
    <row r="87" spans="1:29" ht="15" customHeight="1" x14ac:dyDescent="0.25">
      <c r="A87" s="88" t="s">
        <v>351</v>
      </c>
      <c r="B87" s="116" t="str">
        <f>VLOOKUP(A87,'0 Järjestäjätiedot'!A:H,2,FALSE)</f>
        <v>Korpisaaren Säätiö sr</v>
      </c>
      <c r="C87" s="223">
        <v>17</v>
      </c>
      <c r="D87" s="223">
        <v>12</v>
      </c>
      <c r="E87" s="224">
        <v>0.70588235294117652</v>
      </c>
      <c r="F87" s="217"/>
      <c r="G87" s="218">
        <v>4.395833333333333</v>
      </c>
      <c r="H87" s="218">
        <v>0.86777773331910657</v>
      </c>
      <c r="I87" s="223">
        <v>633</v>
      </c>
      <c r="J87" s="223">
        <v>2416.46107266436</v>
      </c>
      <c r="K87" s="219">
        <v>3.8019008394505553E-4</v>
      </c>
      <c r="L87" s="217"/>
      <c r="M87" s="217"/>
      <c r="N87" s="217"/>
      <c r="O87" s="217"/>
      <c r="P87" s="217"/>
      <c r="Q87" s="217"/>
      <c r="R87" s="217"/>
      <c r="S87" s="217"/>
      <c r="T87" s="217"/>
      <c r="U87" s="223">
        <v>17</v>
      </c>
      <c r="V87" s="223">
        <v>12</v>
      </c>
      <c r="W87" s="224">
        <v>0.70588235294117652</v>
      </c>
      <c r="X87" s="217"/>
      <c r="Y87" s="218">
        <v>4.395833333333333</v>
      </c>
      <c r="Z87" s="218">
        <v>0.86777773331910657</v>
      </c>
      <c r="AA87" s="223">
        <v>633</v>
      </c>
      <c r="AB87" s="223">
        <v>2416.46107266436</v>
      </c>
      <c r="AC87" s="219">
        <v>3.6490888044913802E-4</v>
      </c>
    </row>
    <row r="88" spans="1:29" ht="15" customHeight="1" x14ac:dyDescent="0.25">
      <c r="A88" s="88" t="s">
        <v>333</v>
      </c>
      <c r="B88" s="116" t="str">
        <f>VLOOKUP(A88,'0 Järjestäjätiedot'!A:H,2,FALSE)</f>
        <v>Lounais-Hämeen koulutuskuntayhtymä</v>
      </c>
      <c r="C88" s="223">
        <v>512</v>
      </c>
      <c r="D88" s="223">
        <v>322</v>
      </c>
      <c r="E88" s="224">
        <v>0.62890625</v>
      </c>
      <c r="F88" s="217"/>
      <c r="G88" s="218">
        <v>4.1392339544513455</v>
      </c>
      <c r="H88" s="218">
        <v>0.9685921957901833</v>
      </c>
      <c r="I88" s="223">
        <v>15994</v>
      </c>
      <c r="J88" s="223">
        <v>61445.615326881409</v>
      </c>
      <c r="K88" s="219">
        <v>9.667448780139077E-3</v>
      </c>
      <c r="L88" s="223">
        <v>161</v>
      </c>
      <c r="M88" s="223">
        <v>59</v>
      </c>
      <c r="N88" s="224">
        <v>0.36645962732919257</v>
      </c>
      <c r="O88" s="217"/>
      <c r="P88" s="218">
        <v>3.9571078431372548</v>
      </c>
      <c r="Q88" s="218">
        <v>1.1351658201999619</v>
      </c>
      <c r="R88" s="223">
        <v>2801.6323529411766</v>
      </c>
      <c r="S88" s="223">
        <v>3470.213228610206</v>
      </c>
      <c r="T88" s="219">
        <v>1.3037791047736089E-2</v>
      </c>
      <c r="U88" s="223">
        <v>673</v>
      </c>
      <c r="V88" s="223">
        <v>381</v>
      </c>
      <c r="W88" s="224">
        <v>0.56612184249628528</v>
      </c>
      <c r="X88" s="217"/>
      <c r="Y88" s="218">
        <v>4.1074786324786325</v>
      </c>
      <c r="Z88" s="218">
        <v>1.0020212743045005</v>
      </c>
      <c r="AA88" s="223">
        <v>27222.093464825775</v>
      </c>
      <c r="AB88" s="223">
        <v>64915.828555491615</v>
      </c>
      <c r="AC88" s="219">
        <v>9.80291492777665E-3</v>
      </c>
    </row>
    <row r="89" spans="1:29" ht="15" customHeight="1" x14ac:dyDescent="0.25">
      <c r="A89" s="88" t="s">
        <v>280</v>
      </c>
      <c r="B89" s="116" t="str">
        <f>VLOOKUP(A89,'0 Järjestäjätiedot'!A:H,2,FALSE)</f>
        <v>Suomen ympäristöopisto SYKLI Oy</v>
      </c>
      <c r="C89" s="223">
        <v>138</v>
      </c>
      <c r="D89" s="223">
        <v>102</v>
      </c>
      <c r="E89" s="224">
        <v>0.73913043478260865</v>
      </c>
      <c r="F89" s="217"/>
      <c r="G89" s="218">
        <v>4.3006535947712417</v>
      </c>
      <c r="H89" s="218">
        <v>0.94857972484262143</v>
      </c>
      <c r="I89" s="223">
        <v>5264</v>
      </c>
      <c r="J89" s="223">
        <v>19994.679584120986</v>
      </c>
      <c r="K89" s="219">
        <v>3.145831313210363E-3</v>
      </c>
      <c r="L89" s="223">
        <v>26</v>
      </c>
      <c r="M89" s="223">
        <v>23</v>
      </c>
      <c r="N89" s="224">
        <v>0.88461538461538458</v>
      </c>
      <c r="O89" s="217"/>
      <c r="P89" s="218">
        <v>3.818840579710145</v>
      </c>
      <c r="Q89" s="218">
        <v>1.1840455536574157</v>
      </c>
      <c r="R89" s="223">
        <v>1054</v>
      </c>
      <c r="S89" s="223">
        <v>1191.4782608695652</v>
      </c>
      <c r="T89" s="219">
        <v>4.4764524770596675E-3</v>
      </c>
      <c r="U89" s="223">
        <v>164</v>
      </c>
      <c r="V89" s="223">
        <v>125</v>
      </c>
      <c r="W89" s="224">
        <v>0.76219512195121952</v>
      </c>
      <c r="X89" s="217"/>
      <c r="Y89" s="218">
        <v>4.2119999999999997</v>
      </c>
      <c r="Z89" s="218">
        <v>1.0134377139222726</v>
      </c>
      <c r="AA89" s="223">
        <v>8841.5608319999992</v>
      </c>
      <c r="AB89" s="223">
        <v>21186.15784499055</v>
      </c>
      <c r="AC89" s="219">
        <v>3.1993137517047194E-3</v>
      </c>
    </row>
    <row r="90" spans="1:29" ht="15" customHeight="1" x14ac:dyDescent="0.25">
      <c r="A90" s="88" t="s">
        <v>390</v>
      </c>
      <c r="B90" s="116" t="str">
        <f>VLOOKUP(A90,'0 Järjestäjätiedot'!A:H,2,FALSE)</f>
        <v>Fysikaalinen hoitolaitos Arcus Lumio &amp; Pirttimaa</v>
      </c>
      <c r="C90" s="223">
        <v>54</v>
      </c>
      <c r="D90" s="223">
        <v>41</v>
      </c>
      <c r="E90" s="224">
        <v>0.7592592592592593</v>
      </c>
      <c r="F90" s="217"/>
      <c r="G90" s="218">
        <v>4.1547619047619051</v>
      </c>
      <c r="H90" s="218">
        <v>0.99992913581112708</v>
      </c>
      <c r="I90" s="223">
        <v>2044.1428571428571</v>
      </c>
      <c r="J90" s="223">
        <v>7735.6585418503828</v>
      </c>
      <c r="K90" s="219">
        <v>1.2170776114152958E-3</v>
      </c>
      <c r="L90" s="217"/>
      <c r="M90" s="217"/>
      <c r="N90" s="217"/>
      <c r="O90" s="217"/>
      <c r="P90" s="217"/>
      <c r="Q90" s="217"/>
      <c r="R90" s="217"/>
      <c r="S90" s="217"/>
      <c r="T90" s="217"/>
      <c r="U90" s="223">
        <v>54</v>
      </c>
      <c r="V90" s="223">
        <v>41</v>
      </c>
      <c r="W90" s="224">
        <v>0.7592592592592593</v>
      </c>
      <c r="X90" s="217"/>
      <c r="Y90" s="218">
        <v>4.1547619047619051</v>
      </c>
      <c r="Z90" s="218">
        <v>0.99992913581112708</v>
      </c>
      <c r="AA90" s="223">
        <v>2044.1428571428571</v>
      </c>
      <c r="AB90" s="223">
        <v>7735.6585418503828</v>
      </c>
      <c r="AC90" s="219">
        <v>1.1681588956577061E-3</v>
      </c>
    </row>
    <row r="91" spans="1:29" ht="15" customHeight="1" x14ac:dyDescent="0.25">
      <c r="A91" s="88" t="s">
        <v>358</v>
      </c>
      <c r="B91" s="116" t="str">
        <f>VLOOKUP(A91,'0 Järjestäjätiedot'!A:H,2,FALSE)</f>
        <v>Kiinteistöalan Koulutussäätiö sr</v>
      </c>
      <c r="C91" s="223">
        <v>49</v>
      </c>
      <c r="D91" s="223">
        <v>29</v>
      </c>
      <c r="E91" s="224">
        <v>0.59183673469387754</v>
      </c>
      <c r="F91" s="217"/>
      <c r="G91" s="218">
        <v>4.3793859649122808</v>
      </c>
      <c r="H91" s="218">
        <v>0.96809433450711246</v>
      </c>
      <c r="I91" s="223">
        <v>1524.0263157894738</v>
      </c>
      <c r="J91" s="223">
        <v>5857.7381213830868</v>
      </c>
      <c r="K91" s="219">
        <v>9.2161796988571624E-4</v>
      </c>
      <c r="L91" s="223">
        <v>8</v>
      </c>
      <c r="M91" s="223">
        <v>1</v>
      </c>
      <c r="N91" s="224">
        <v>0.125</v>
      </c>
      <c r="O91" s="217"/>
      <c r="P91" s="218">
        <v>4.916666666666667</v>
      </c>
      <c r="Q91" s="218">
        <v>0.27638539919627758</v>
      </c>
      <c r="R91" s="223">
        <v>59</v>
      </c>
      <c r="S91" s="223">
        <v>65.19384765625</v>
      </c>
      <c r="T91" s="219">
        <v>2.4493704200434356E-4</v>
      </c>
      <c r="U91" s="223">
        <v>57</v>
      </c>
      <c r="V91" s="223">
        <v>30</v>
      </c>
      <c r="W91" s="224">
        <v>0.52631578947368418</v>
      </c>
      <c r="X91" s="217"/>
      <c r="Y91" s="218">
        <v>4.3931623931623935</v>
      </c>
      <c r="Z91" s="218">
        <v>0.96038867627950164</v>
      </c>
      <c r="AA91" s="223">
        <v>2981.9434582511508</v>
      </c>
      <c r="AB91" s="223">
        <v>5922.9319690393368</v>
      </c>
      <c r="AC91" s="219">
        <v>8.944197356407223E-4</v>
      </c>
    </row>
    <row r="92" spans="1:29" ht="15" customHeight="1" x14ac:dyDescent="0.25">
      <c r="A92" s="88" t="s">
        <v>319</v>
      </c>
      <c r="B92" s="116" t="str">
        <f>VLOOKUP(A92,'0 Järjestäjätiedot'!A:H,2,FALSE)</f>
        <v>Optima samkommun</v>
      </c>
      <c r="C92" s="223">
        <v>511</v>
      </c>
      <c r="D92" s="223">
        <v>420</v>
      </c>
      <c r="E92" s="224">
        <v>0.82191780821917804</v>
      </c>
      <c r="F92" s="217"/>
      <c r="G92" s="218">
        <v>4.1267857142857141</v>
      </c>
      <c r="H92" s="218">
        <v>0.92774516810316987</v>
      </c>
      <c r="I92" s="223">
        <v>20799</v>
      </c>
      <c r="J92" s="223">
        <v>75916.350000000006</v>
      </c>
      <c r="K92" s="219">
        <v>1.1944178950699432E-2</v>
      </c>
      <c r="L92" s="223">
        <v>26</v>
      </c>
      <c r="M92" s="223">
        <v>5</v>
      </c>
      <c r="N92" s="224">
        <v>0.19230769230769232</v>
      </c>
      <c r="O92" s="217"/>
      <c r="P92" s="218">
        <v>3.3166666666666669</v>
      </c>
      <c r="Q92" s="218">
        <v>1.1617754611895625</v>
      </c>
      <c r="R92" s="223">
        <v>199</v>
      </c>
      <c r="S92" s="223">
        <v>229.12781989644969</v>
      </c>
      <c r="T92" s="219">
        <v>8.6084642131043279E-4</v>
      </c>
      <c r="U92" s="223">
        <v>537</v>
      </c>
      <c r="V92" s="223">
        <v>425</v>
      </c>
      <c r="W92" s="224">
        <v>0.79143389199255121</v>
      </c>
      <c r="X92" s="217"/>
      <c r="Y92" s="218">
        <v>4.1172549019607843</v>
      </c>
      <c r="Z92" s="218">
        <v>0.93493017130749756</v>
      </c>
      <c r="AA92" s="223">
        <v>41019.484013840833</v>
      </c>
      <c r="AB92" s="223">
        <v>76145.477819896449</v>
      </c>
      <c r="AC92" s="219">
        <v>1.1498700052257166E-2</v>
      </c>
    </row>
    <row r="93" spans="1:29" ht="15" customHeight="1" x14ac:dyDescent="0.25">
      <c r="A93" s="88" t="s">
        <v>311</v>
      </c>
      <c r="B93" s="116" t="str">
        <f>VLOOKUP(A93,'0 Järjestäjätiedot'!A:H,2,FALSE)</f>
        <v>Peimarin koulutuskuntayhtymä</v>
      </c>
      <c r="C93" s="223">
        <v>209</v>
      </c>
      <c r="D93" s="223">
        <v>117</v>
      </c>
      <c r="E93" s="224">
        <v>0.55980861244019142</v>
      </c>
      <c r="F93" s="217"/>
      <c r="G93" s="218">
        <v>4.2088541666666668</v>
      </c>
      <c r="H93" s="218">
        <v>0.88248273093545748</v>
      </c>
      <c r="I93" s="223">
        <v>5909.2312499999998</v>
      </c>
      <c r="J93" s="223">
        <v>22691.235438941381</v>
      </c>
      <c r="K93" s="219">
        <v>3.5700896670502282E-3</v>
      </c>
      <c r="L93" s="223">
        <v>34</v>
      </c>
      <c r="M93" s="223">
        <v>27</v>
      </c>
      <c r="N93" s="224">
        <v>0.79411764705882348</v>
      </c>
      <c r="O93" s="217"/>
      <c r="P93" s="218">
        <v>4.0136986301369859</v>
      </c>
      <c r="Q93" s="218">
        <v>1.13567895350399</v>
      </c>
      <c r="R93" s="223">
        <v>1300.4383561643835</v>
      </c>
      <c r="S93" s="223">
        <v>1627.9033023060149</v>
      </c>
      <c r="T93" s="219">
        <v>6.1161265038130047E-3</v>
      </c>
      <c r="U93" s="223">
        <v>243</v>
      </c>
      <c r="V93" s="223">
        <v>144</v>
      </c>
      <c r="W93" s="224">
        <v>0.59259259259259256</v>
      </c>
      <c r="X93" s="217"/>
      <c r="Y93" s="218">
        <v>4.1477110157367667</v>
      </c>
      <c r="Z93" s="218">
        <v>0.97317294249361841</v>
      </c>
      <c r="AA93" s="223">
        <v>8839.8580559597704</v>
      </c>
      <c r="AB93" s="223">
        <v>24319.138741247396</v>
      </c>
      <c r="AC93" s="219">
        <v>3.6724240220311877E-3</v>
      </c>
    </row>
    <row r="94" spans="1:29" ht="15" customHeight="1" x14ac:dyDescent="0.25">
      <c r="A94" s="88" t="s">
        <v>304</v>
      </c>
      <c r="B94" s="116" t="str">
        <f>VLOOKUP(A94,'0 Järjestäjätiedot'!A:H,2,FALSE)</f>
        <v>Pohjois-Suomen Koulutuskeskussäätiö sr</v>
      </c>
      <c r="C94" s="223">
        <v>188</v>
      </c>
      <c r="D94" s="223">
        <v>69</v>
      </c>
      <c r="E94" s="224">
        <v>0.36702127659574468</v>
      </c>
      <c r="F94" s="217"/>
      <c r="G94" s="218">
        <v>4.4738095238095239</v>
      </c>
      <c r="H94" s="218">
        <v>0.84050991433758315</v>
      </c>
      <c r="I94" s="223">
        <v>3704.3142857142857</v>
      </c>
      <c r="J94" s="223">
        <v>13767.207741842421</v>
      </c>
      <c r="K94" s="219">
        <v>2.1660418726666981E-3</v>
      </c>
      <c r="L94" s="223">
        <v>31</v>
      </c>
      <c r="M94" s="223">
        <v>17</v>
      </c>
      <c r="N94" s="224">
        <v>0.54838709677419351</v>
      </c>
      <c r="O94" s="217"/>
      <c r="P94" s="218">
        <v>3.9950980392156863</v>
      </c>
      <c r="Q94" s="218">
        <v>1.0170003423159037</v>
      </c>
      <c r="R94" s="223">
        <v>815</v>
      </c>
      <c r="S94" s="223">
        <v>1042.5226001560875</v>
      </c>
      <c r="T94" s="219">
        <v>3.9168174771845813E-3</v>
      </c>
      <c r="U94" s="223">
        <v>219</v>
      </c>
      <c r="V94" s="223">
        <v>86</v>
      </c>
      <c r="W94" s="224">
        <v>0.39269406392694062</v>
      </c>
      <c r="X94" s="217"/>
      <c r="Y94" s="218">
        <v>4.3802681992337167</v>
      </c>
      <c r="Z94" s="218">
        <v>0.89807879495003151</v>
      </c>
      <c r="AA94" s="223">
        <v>6185.5428722420402</v>
      </c>
      <c r="AB94" s="223">
        <v>14809.730341998509</v>
      </c>
      <c r="AC94" s="219">
        <v>2.2364118255353066E-3</v>
      </c>
    </row>
    <row r="95" spans="1:29" ht="15" customHeight="1" x14ac:dyDescent="0.25">
      <c r="A95" s="88" t="s">
        <v>342</v>
      </c>
      <c r="B95" s="116" t="str">
        <f>VLOOKUP(A95,'0 Järjestäjätiedot'!A:H,2,FALSE)</f>
        <v>KSAK Oy</v>
      </c>
      <c r="C95" s="223">
        <v>48</v>
      </c>
      <c r="D95" s="223">
        <v>35</v>
      </c>
      <c r="E95" s="224">
        <v>0.72916666666666663</v>
      </c>
      <c r="F95" s="217"/>
      <c r="G95" s="218">
        <v>4.3986486486486482</v>
      </c>
      <c r="H95" s="218">
        <v>0.78619735560330961</v>
      </c>
      <c r="I95" s="223">
        <v>1847.4324324324325</v>
      </c>
      <c r="J95" s="223">
        <v>7028.8279105521542</v>
      </c>
      <c r="K95" s="219">
        <v>1.1058695310997657E-3</v>
      </c>
      <c r="L95" s="223">
        <v>42</v>
      </c>
      <c r="M95" s="223">
        <v>4</v>
      </c>
      <c r="N95" s="224">
        <v>9.5238095238095233E-2</v>
      </c>
      <c r="O95" s="217"/>
      <c r="P95" s="218">
        <v>4.125</v>
      </c>
      <c r="Q95" s="218">
        <v>1.0129371484286021</v>
      </c>
      <c r="R95" s="223">
        <v>198</v>
      </c>
      <c r="S95" s="223">
        <v>214.27551020408163</v>
      </c>
      <c r="T95" s="219">
        <v>8.0504543803111073E-4</v>
      </c>
      <c r="U95" s="223">
        <v>90</v>
      </c>
      <c r="V95" s="223">
        <v>39</v>
      </c>
      <c r="W95" s="224">
        <v>0.43333333333333335</v>
      </c>
      <c r="X95" s="217"/>
      <c r="Y95" s="218">
        <v>4.3719512195121952</v>
      </c>
      <c r="Z95" s="218">
        <v>0.81516735628867787</v>
      </c>
      <c r="AA95" s="223">
        <v>3426.7566924449729</v>
      </c>
      <c r="AB95" s="223">
        <v>7243.1034207562361</v>
      </c>
      <c r="AC95" s="219">
        <v>1.0937783315215009E-3</v>
      </c>
    </row>
    <row r="96" spans="1:29" ht="15" customHeight="1" x14ac:dyDescent="0.25">
      <c r="A96" s="88" t="s">
        <v>328</v>
      </c>
      <c r="B96" s="116" t="str">
        <f>VLOOKUP(A96,'0 Järjestäjätiedot'!A:H,2,FALSE)</f>
        <v>TYA-oppilaitos Oy</v>
      </c>
      <c r="C96" s="223">
        <v>28</v>
      </c>
      <c r="D96" s="223">
        <v>10</v>
      </c>
      <c r="E96" s="224">
        <v>0.35714285714285715</v>
      </c>
      <c r="F96" s="217"/>
      <c r="G96" s="218">
        <v>4.208333333333333</v>
      </c>
      <c r="H96" s="218">
        <v>0.83783506288087228</v>
      </c>
      <c r="I96" s="223">
        <v>505</v>
      </c>
      <c r="J96" s="223">
        <v>1871.2858737244899</v>
      </c>
      <c r="K96" s="219">
        <v>2.9441580560289377E-4</v>
      </c>
      <c r="L96" s="217"/>
      <c r="M96" s="217"/>
      <c r="N96" s="217"/>
      <c r="O96" s="217"/>
      <c r="P96" s="217"/>
      <c r="Q96" s="217"/>
      <c r="R96" s="217"/>
      <c r="S96" s="217"/>
      <c r="T96" s="217"/>
      <c r="U96" s="223">
        <v>28</v>
      </c>
      <c r="V96" s="223">
        <v>10</v>
      </c>
      <c r="W96" s="224">
        <v>0.35714285714285715</v>
      </c>
      <c r="X96" s="217"/>
      <c r="Y96" s="218">
        <v>4.208333333333333</v>
      </c>
      <c r="Z96" s="218">
        <v>0.83783506288087228</v>
      </c>
      <c r="AA96" s="223">
        <v>505</v>
      </c>
      <c r="AB96" s="223">
        <v>1871.2858737244899</v>
      </c>
      <c r="AC96" s="219">
        <v>2.8258217808913017E-4</v>
      </c>
    </row>
    <row r="97" spans="1:29" ht="15" customHeight="1" x14ac:dyDescent="0.25">
      <c r="A97" s="88" t="s">
        <v>313</v>
      </c>
      <c r="B97" s="116" t="str">
        <f>VLOOKUP(A97,'0 Järjestäjätiedot'!A:H,2,FALSE)</f>
        <v>Palkansaajien koulutussäätiö sr</v>
      </c>
      <c r="C97" s="223">
        <v>39</v>
      </c>
      <c r="D97" s="223">
        <v>13</v>
      </c>
      <c r="E97" s="224">
        <v>0.33333333333333331</v>
      </c>
      <c r="F97" s="217"/>
      <c r="G97" s="218">
        <v>4.166666666666667</v>
      </c>
      <c r="H97" s="218">
        <v>1.1026386379099737</v>
      </c>
      <c r="I97" s="223">
        <v>650</v>
      </c>
      <c r="J97" s="223">
        <v>2390.1041666666665</v>
      </c>
      <c r="K97" s="219">
        <v>3.7604326179379016E-4</v>
      </c>
      <c r="L97" s="223">
        <v>16</v>
      </c>
      <c r="M97" s="223">
        <v>13</v>
      </c>
      <c r="N97" s="224">
        <v>0.8125</v>
      </c>
      <c r="O97" s="217"/>
      <c r="P97" s="218">
        <v>3.7051282051282053</v>
      </c>
      <c r="Q97" s="218">
        <v>1.1724287125994255</v>
      </c>
      <c r="R97" s="223">
        <v>578</v>
      </c>
      <c r="S97" s="223">
        <v>711.38461538461547</v>
      </c>
      <c r="T97" s="219">
        <v>2.672712988784623E-3</v>
      </c>
      <c r="U97" s="223">
        <v>55</v>
      </c>
      <c r="V97" s="223">
        <v>26</v>
      </c>
      <c r="W97" s="224">
        <v>0.47272727272727272</v>
      </c>
      <c r="X97" s="217"/>
      <c r="Y97" s="218">
        <v>3.9358974358974357</v>
      </c>
      <c r="Z97" s="218">
        <v>1.1612299358178735</v>
      </c>
      <c r="AA97" s="223">
        <v>2172.6153846153848</v>
      </c>
      <c r="AB97" s="223">
        <v>3101.4887820512822</v>
      </c>
      <c r="AC97" s="219">
        <v>4.6835465796932067E-4</v>
      </c>
    </row>
    <row r="98" spans="1:29" ht="15" customHeight="1" x14ac:dyDescent="0.25">
      <c r="A98" s="88" t="s">
        <v>308</v>
      </c>
      <c r="B98" s="116" t="str">
        <f>VLOOKUP(A98,'0 Järjestäjätiedot'!A:H,2,FALSE)</f>
        <v>Pop &amp; Jazz Konservatorion Säätiö sr</v>
      </c>
      <c r="C98" s="223">
        <v>40</v>
      </c>
      <c r="D98" s="223">
        <v>23</v>
      </c>
      <c r="E98" s="224">
        <v>0.57499999999999996</v>
      </c>
      <c r="F98" s="217"/>
      <c r="G98" s="218">
        <v>4.2173913043478262</v>
      </c>
      <c r="H98" s="218">
        <v>0.85752534449199991</v>
      </c>
      <c r="I98" s="223">
        <v>1164</v>
      </c>
      <c r="J98" s="223">
        <v>4472.419921875</v>
      </c>
      <c r="K98" s="219">
        <v>7.0366112029290352E-4</v>
      </c>
      <c r="L98" s="217"/>
      <c r="M98" s="217"/>
      <c r="N98" s="217"/>
      <c r="O98" s="217"/>
      <c r="P98" s="217"/>
      <c r="Q98" s="217"/>
      <c r="R98" s="217"/>
      <c r="S98" s="217"/>
      <c r="T98" s="217"/>
      <c r="U98" s="223">
        <v>40</v>
      </c>
      <c r="V98" s="223">
        <v>23</v>
      </c>
      <c r="W98" s="224">
        <v>0.57499999999999996</v>
      </c>
      <c r="X98" s="217"/>
      <c r="Y98" s="218">
        <v>4.2173913043478262</v>
      </c>
      <c r="Z98" s="218">
        <v>0.85752534449199991</v>
      </c>
      <c r="AA98" s="223">
        <v>1164</v>
      </c>
      <c r="AB98" s="223">
        <v>4472.419921875</v>
      </c>
      <c r="AC98" s="219">
        <v>6.7537845531704603E-4</v>
      </c>
    </row>
    <row r="99" spans="1:29" ht="15" customHeight="1" x14ac:dyDescent="0.25">
      <c r="A99" s="88" t="s">
        <v>261</v>
      </c>
      <c r="B99" s="116" t="str">
        <f>VLOOKUP(A99,'0 Järjestäjätiedot'!A:H,2,FALSE)</f>
        <v>Turun kristillisen opiston säätiö sr</v>
      </c>
      <c r="C99" s="223">
        <v>113</v>
      </c>
      <c r="D99" s="223">
        <v>107</v>
      </c>
      <c r="E99" s="224">
        <v>0.94690265486725667</v>
      </c>
      <c r="F99" s="217"/>
      <c r="G99" s="218">
        <v>4.4657320872274147</v>
      </c>
      <c r="H99" s="218">
        <v>0.83976901764062273</v>
      </c>
      <c r="I99" s="223">
        <v>5734</v>
      </c>
      <c r="J99" s="223">
        <v>18166.598130841121</v>
      </c>
      <c r="K99" s="219">
        <v>2.8582130068187965E-3</v>
      </c>
      <c r="L99" s="217"/>
      <c r="M99" s="217"/>
      <c r="N99" s="217"/>
      <c r="O99" s="217"/>
      <c r="P99" s="217"/>
      <c r="Q99" s="217"/>
      <c r="R99" s="217"/>
      <c r="S99" s="217"/>
      <c r="T99" s="217"/>
      <c r="U99" s="223">
        <v>113</v>
      </c>
      <c r="V99" s="223">
        <v>107</v>
      </c>
      <c r="W99" s="224">
        <v>0.94690265486725667</v>
      </c>
      <c r="X99" s="217"/>
      <c r="Y99" s="218">
        <v>4.4657320872274147</v>
      </c>
      <c r="Z99" s="218">
        <v>0.83976901764062273</v>
      </c>
      <c r="AA99" s="223">
        <v>5734</v>
      </c>
      <c r="AB99" s="223">
        <v>18166.598130841121</v>
      </c>
      <c r="AC99" s="219">
        <v>2.7433311715571794E-3</v>
      </c>
    </row>
    <row r="100" spans="1:29" ht="15" customHeight="1" x14ac:dyDescent="0.25">
      <c r="A100" s="88" t="s">
        <v>383</v>
      </c>
      <c r="B100" s="116" t="str">
        <f>VLOOKUP(A100,'0 Järjestäjätiedot'!A:H,2,FALSE)</f>
        <v>Hevosopisto Oy</v>
      </c>
      <c r="C100" s="223">
        <v>94</v>
      </c>
      <c r="D100" s="223">
        <v>23</v>
      </c>
      <c r="E100" s="224">
        <v>0.24468085106382978</v>
      </c>
      <c r="F100" s="217"/>
      <c r="G100" s="218">
        <v>3.7862318840579712</v>
      </c>
      <c r="H100" s="218">
        <v>1.1007041243759328</v>
      </c>
      <c r="I100" s="223">
        <v>1045</v>
      </c>
      <c r="J100" s="223">
        <v>3707.500725016976</v>
      </c>
      <c r="K100" s="219">
        <v>5.8331376731693039E-4</v>
      </c>
      <c r="L100" s="223">
        <v>36</v>
      </c>
      <c r="M100" s="223">
        <v>8</v>
      </c>
      <c r="N100" s="224">
        <v>0.22222222222222221</v>
      </c>
      <c r="O100" s="217"/>
      <c r="P100" s="218">
        <v>3.3229166666666665</v>
      </c>
      <c r="Q100" s="218">
        <v>1.2869116104284535</v>
      </c>
      <c r="R100" s="223">
        <v>319</v>
      </c>
      <c r="S100" s="223">
        <v>373.15123456790121</v>
      </c>
      <c r="T100" s="219">
        <v>1.401950688617908E-3</v>
      </c>
      <c r="U100" s="223">
        <v>130</v>
      </c>
      <c r="V100" s="223">
        <v>31</v>
      </c>
      <c r="W100" s="224">
        <v>0.23846153846153847</v>
      </c>
      <c r="X100" s="217"/>
      <c r="Y100" s="218">
        <v>3.6666666666666665</v>
      </c>
      <c r="Z100" s="218">
        <v>1.169351748852673</v>
      </c>
      <c r="AA100" s="223">
        <v>1901.9354838709678</v>
      </c>
      <c r="AB100" s="223">
        <v>4080.6519595848772</v>
      </c>
      <c r="AC100" s="219">
        <v>6.1621772223827836E-4</v>
      </c>
    </row>
    <row r="101" spans="1:29" ht="15" customHeight="1" x14ac:dyDescent="0.25">
      <c r="A101" s="88" t="s">
        <v>373</v>
      </c>
      <c r="B101" s="116" t="str">
        <f>VLOOKUP(A101,'0 Järjestäjätiedot'!A:H,2,FALSE)</f>
        <v>Jyväskylän Talouskouluyhdistys r.y.</v>
      </c>
      <c r="C101" s="223">
        <v>41</v>
      </c>
      <c r="D101" s="223">
        <v>41</v>
      </c>
      <c r="E101" s="224">
        <v>1</v>
      </c>
      <c r="F101" s="217"/>
      <c r="G101" s="218">
        <v>4.7824858757062145</v>
      </c>
      <c r="H101" s="218">
        <v>0.50771286323612308</v>
      </c>
      <c r="I101" s="223">
        <v>2352.9830508474579</v>
      </c>
      <c r="J101" s="223">
        <v>7058.9491525423737</v>
      </c>
      <c r="K101" s="219">
        <v>1.1106086091053403E-3</v>
      </c>
      <c r="L101" s="223">
        <v>11</v>
      </c>
      <c r="M101" s="223">
        <v>7</v>
      </c>
      <c r="N101" s="224">
        <v>0.63636363636363635</v>
      </c>
      <c r="O101" s="217"/>
      <c r="P101" s="218">
        <v>4.9880952380952381</v>
      </c>
      <c r="Q101" s="218">
        <v>0.10845754260884836</v>
      </c>
      <c r="R101" s="223">
        <v>419</v>
      </c>
      <c r="S101" s="223">
        <v>536.41089876033061</v>
      </c>
      <c r="T101" s="219">
        <v>2.0153266537360289E-3</v>
      </c>
      <c r="U101" s="223">
        <v>52</v>
      </c>
      <c r="V101" s="223">
        <v>48</v>
      </c>
      <c r="W101" s="224">
        <v>0.92307692307692313</v>
      </c>
      <c r="X101" s="217"/>
      <c r="Y101" s="218">
        <v>4.8042929292929291</v>
      </c>
      <c r="Z101" s="218">
        <v>0.48547774559206752</v>
      </c>
      <c r="AA101" s="223">
        <v>4311.6345270890715</v>
      </c>
      <c r="AB101" s="223">
        <v>7595.3600513027041</v>
      </c>
      <c r="AC101" s="219">
        <v>1.1469724732097711E-3</v>
      </c>
    </row>
    <row r="102" spans="1:29" ht="15" customHeight="1" x14ac:dyDescent="0.25">
      <c r="A102" s="88" t="s">
        <v>295</v>
      </c>
      <c r="B102" s="116" t="str">
        <f>VLOOKUP(A102,'0 Järjestäjätiedot'!A:H,2,FALSE)</f>
        <v>Rovaniemen Koulutuskuntayhtymä</v>
      </c>
      <c r="C102" s="223">
        <v>1048</v>
      </c>
      <c r="D102" s="223">
        <v>687</v>
      </c>
      <c r="E102" s="224">
        <v>0.65553435114503822</v>
      </c>
      <c r="F102" s="217"/>
      <c r="G102" s="218">
        <v>4.211305191654537</v>
      </c>
      <c r="H102" s="218">
        <v>0.95163910004110597</v>
      </c>
      <c r="I102" s="223">
        <v>34718</v>
      </c>
      <c r="J102" s="223">
        <v>133196.36123576673</v>
      </c>
      <c r="K102" s="219">
        <v>2.0956238994393205E-2</v>
      </c>
      <c r="L102" s="223">
        <v>55</v>
      </c>
      <c r="M102" s="223">
        <v>24</v>
      </c>
      <c r="N102" s="224">
        <v>0.43636363636363634</v>
      </c>
      <c r="O102" s="217"/>
      <c r="P102" s="218">
        <v>4.166666666666667</v>
      </c>
      <c r="Q102" s="218">
        <v>1.1960583412006094</v>
      </c>
      <c r="R102" s="223">
        <v>1200</v>
      </c>
      <c r="S102" s="223">
        <v>1512.3966942148761</v>
      </c>
      <c r="T102" s="219">
        <v>5.6821615219181795E-3</v>
      </c>
      <c r="U102" s="223">
        <v>1103</v>
      </c>
      <c r="V102" s="223">
        <v>711</v>
      </c>
      <c r="W102" s="224">
        <v>0.64460562103354491</v>
      </c>
      <c r="X102" s="217"/>
      <c r="Y102" s="218">
        <v>4.2097984060009379</v>
      </c>
      <c r="Z102" s="218">
        <v>0.96093777775251554</v>
      </c>
      <c r="AA102" s="223">
        <v>67150.014776834199</v>
      </c>
      <c r="AB102" s="223">
        <v>134708.7579299816</v>
      </c>
      <c r="AC102" s="219">
        <v>2.0342319021396139E-2</v>
      </c>
    </row>
    <row r="103" spans="1:29" ht="15" customHeight="1" x14ac:dyDescent="0.25">
      <c r="A103" s="88" t="s">
        <v>278</v>
      </c>
      <c r="B103" s="116" t="str">
        <f>VLOOKUP(A103,'0 Järjestäjätiedot'!A:H,2,FALSE)</f>
        <v>Suupohjan Koulutuskuntayhtymä</v>
      </c>
      <c r="C103" s="223">
        <v>169</v>
      </c>
      <c r="D103" s="223">
        <v>122</v>
      </c>
      <c r="E103" s="224">
        <v>0.72189349112426038</v>
      </c>
      <c r="F103" s="217"/>
      <c r="G103" s="218">
        <v>3.8975409836065573</v>
      </c>
      <c r="H103" s="218">
        <v>1.0885115255322375</v>
      </c>
      <c r="I103" s="223">
        <v>5706</v>
      </c>
      <c r="J103" s="223">
        <v>21733.73465564931</v>
      </c>
      <c r="K103" s="219">
        <v>3.4194427945244106E-3</v>
      </c>
      <c r="L103" s="217"/>
      <c r="M103" s="217"/>
      <c r="N103" s="217"/>
      <c r="O103" s="217"/>
      <c r="P103" s="217"/>
      <c r="Q103" s="217"/>
      <c r="R103" s="217"/>
      <c r="S103" s="217"/>
      <c r="T103" s="217"/>
      <c r="U103" s="223">
        <v>169</v>
      </c>
      <c r="V103" s="223">
        <v>122</v>
      </c>
      <c r="W103" s="224">
        <v>0.72189349112426038</v>
      </c>
      <c r="X103" s="217"/>
      <c r="Y103" s="218">
        <v>3.8975409836065573</v>
      </c>
      <c r="Z103" s="218">
        <v>1.0885115255322375</v>
      </c>
      <c r="AA103" s="223">
        <v>5706</v>
      </c>
      <c r="AB103" s="223">
        <v>21733.73465564931</v>
      </c>
      <c r="AC103" s="219">
        <v>3.2820031205498313E-3</v>
      </c>
    </row>
    <row r="104" spans="1:29" ht="15" customHeight="1" x14ac:dyDescent="0.25">
      <c r="A104" s="88" t="s">
        <v>276</v>
      </c>
      <c r="B104" s="116" t="str">
        <f>VLOOKUP(A104,'0 Järjestäjätiedot'!A:H,2,FALSE)</f>
        <v>Svenska Österbottens förbund för Utbildning och Kultur</v>
      </c>
      <c r="C104" s="223">
        <v>672</v>
      </c>
      <c r="D104" s="223">
        <v>241</v>
      </c>
      <c r="E104" s="224">
        <v>0.35863095238095238</v>
      </c>
      <c r="F104" s="217"/>
      <c r="G104" s="218">
        <v>4.227366255144033</v>
      </c>
      <c r="H104" s="218">
        <v>0.9192828683585067</v>
      </c>
      <c r="I104" s="223">
        <v>12225.543209876543</v>
      </c>
      <c r="J104" s="223">
        <v>45322.600154726446</v>
      </c>
      <c r="K104" s="219">
        <v>7.1307596684910485E-3</v>
      </c>
      <c r="L104" s="223">
        <v>96</v>
      </c>
      <c r="M104" s="223">
        <v>28</v>
      </c>
      <c r="N104" s="224">
        <v>0.29166666666666669</v>
      </c>
      <c r="O104" s="217"/>
      <c r="P104" s="218">
        <v>4.3125</v>
      </c>
      <c r="Q104" s="218">
        <v>0.75235246141052436</v>
      </c>
      <c r="R104" s="223">
        <v>1449</v>
      </c>
      <c r="S104" s="223">
        <v>1748.9096679687498</v>
      </c>
      <c r="T104" s="219">
        <v>6.5707543917910942E-3</v>
      </c>
      <c r="U104" s="223">
        <v>768</v>
      </c>
      <c r="V104" s="223">
        <v>269</v>
      </c>
      <c r="W104" s="224">
        <v>0.35026041666666669</v>
      </c>
      <c r="X104" s="217"/>
      <c r="Y104" s="218">
        <v>4.2361623616236166</v>
      </c>
      <c r="Z104" s="218">
        <v>0.90383685800570412</v>
      </c>
      <c r="AA104" s="223">
        <v>22264.519056113069</v>
      </c>
      <c r="AB104" s="223">
        <v>47071.509822695196</v>
      </c>
      <c r="AC104" s="219">
        <v>7.1082510472686277E-3</v>
      </c>
    </row>
    <row r="105" spans="1:29" ht="15" customHeight="1" x14ac:dyDescent="0.25">
      <c r="A105" s="88" t="s">
        <v>317</v>
      </c>
      <c r="B105" s="116" t="str">
        <f>VLOOKUP(A105,'0 Järjestäjätiedot'!A:H,2,FALSE)</f>
        <v>Oulun seudun koulutuskuntayhtymä (OSEKK)</v>
      </c>
      <c r="C105" s="223">
        <v>2835</v>
      </c>
      <c r="D105" s="223">
        <v>1926</v>
      </c>
      <c r="E105" s="224">
        <v>0.67936507936507939</v>
      </c>
      <c r="F105" s="217"/>
      <c r="G105" s="218">
        <v>4.2062132225683628</v>
      </c>
      <c r="H105" s="218">
        <v>0.95550879029981706</v>
      </c>
      <c r="I105" s="223">
        <v>97214</v>
      </c>
      <c r="J105" s="223">
        <v>372231.15684051393</v>
      </c>
      <c r="K105" s="219">
        <v>5.8564400795467181E-2</v>
      </c>
      <c r="L105" s="223">
        <v>235</v>
      </c>
      <c r="M105" s="223">
        <v>153</v>
      </c>
      <c r="N105" s="224">
        <v>0.65106382978723409</v>
      </c>
      <c r="O105" s="217"/>
      <c r="P105" s="218">
        <v>4.2009803921568629</v>
      </c>
      <c r="Q105" s="218">
        <v>1.038170796690683</v>
      </c>
      <c r="R105" s="223">
        <v>7713</v>
      </c>
      <c r="S105" s="223">
        <v>9866.568936736081</v>
      </c>
      <c r="T105" s="219">
        <v>3.7069267990418937E-2</v>
      </c>
      <c r="U105" s="223">
        <v>3070</v>
      </c>
      <c r="V105" s="223">
        <v>2079</v>
      </c>
      <c r="W105" s="224">
        <v>0.67719869706840385</v>
      </c>
      <c r="X105" s="217"/>
      <c r="Y105" s="218">
        <v>4.2058281224947889</v>
      </c>
      <c r="Z105" s="218">
        <v>0.96183531238425823</v>
      </c>
      <c r="AA105" s="223">
        <v>181239.51181574559</v>
      </c>
      <c r="AB105" s="223">
        <v>382097.72577725002</v>
      </c>
      <c r="AC105" s="219">
        <v>5.77004342891414E-2</v>
      </c>
    </row>
    <row r="106" spans="1:29" ht="15" customHeight="1" x14ac:dyDescent="0.25">
      <c r="A106" s="88" t="s">
        <v>349</v>
      </c>
      <c r="B106" s="116" t="str">
        <f>VLOOKUP(A106,'0 Järjestäjätiedot'!A:H,2,FALSE)</f>
        <v>Koulutuskeskus Salpaus -kuntayhtymä</v>
      </c>
      <c r="C106" s="223">
        <v>1686</v>
      </c>
      <c r="D106" s="223">
        <v>225</v>
      </c>
      <c r="E106" s="224">
        <v>0.13345195729537365</v>
      </c>
      <c r="F106" s="217"/>
      <c r="G106" s="218">
        <v>3.7196296296296296</v>
      </c>
      <c r="H106" s="218">
        <v>1.2022755630438702</v>
      </c>
      <c r="I106" s="223">
        <v>10043</v>
      </c>
      <c r="J106" s="223">
        <v>33479.272392680403</v>
      </c>
      <c r="K106" s="219">
        <v>5.2674084119874818E-3</v>
      </c>
      <c r="L106" s="223">
        <v>132</v>
      </c>
      <c r="M106" s="223">
        <v>8</v>
      </c>
      <c r="N106" s="224">
        <v>6.0606060606060608E-2</v>
      </c>
      <c r="O106" s="217"/>
      <c r="P106" s="218">
        <v>3.6666666666666665</v>
      </c>
      <c r="Q106" s="218">
        <v>1.1242281302693378</v>
      </c>
      <c r="R106" s="223">
        <v>352</v>
      </c>
      <c r="S106" s="223">
        <v>370.98989898989896</v>
      </c>
      <c r="T106" s="219">
        <v>1.3938304263188339E-3</v>
      </c>
      <c r="U106" s="223">
        <v>1818</v>
      </c>
      <c r="V106" s="223">
        <v>233</v>
      </c>
      <c r="W106" s="224">
        <v>0.12816281628162815</v>
      </c>
      <c r="X106" s="217"/>
      <c r="Y106" s="218">
        <v>3.7178111587982832</v>
      </c>
      <c r="Z106" s="218">
        <v>1.1997187623902248</v>
      </c>
      <c r="AA106" s="223">
        <v>19411.378179741754</v>
      </c>
      <c r="AB106" s="223">
        <v>33850.262291670304</v>
      </c>
      <c r="AC106" s="219">
        <v>5.1117154153630271E-3</v>
      </c>
    </row>
    <row r="107" spans="1:29" ht="15" customHeight="1" x14ac:dyDescent="0.25">
      <c r="A107" s="88" t="s">
        <v>288</v>
      </c>
      <c r="B107" s="116" t="str">
        <f>VLOOKUP(A107,'0 Järjestäjätiedot'!A:H,2,FALSE)</f>
        <v>Seinäjoen koulutuskuntayhtymä</v>
      </c>
      <c r="C107" s="223">
        <v>2033</v>
      </c>
      <c r="D107" s="223">
        <v>1239</v>
      </c>
      <c r="E107" s="224">
        <v>0.60944417117560257</v>
      </c>
      <c r="F107" s="217"/>
      <c r="G107" s="218">
        <v>4.1320112179487181</v>
      </c>
      <c r="H107" s="218">
        <v>0.9808534918751789</v>
      </c>
      <c r="I107" s="223">
        <v>61434.742788461539</v>
      </c>
      <c r="J107" s="223">
        <v>236126.94999097683</v>
      </c>
      <c r="K107" s="219">
        <v>3.715066050692746E-2</v>
      </c>
      <c r="L107" s="223">
        <v>297</v>
      </c>
      <c r="M107" s="223">
        <v>48</v>
      </c>
      <c r="N107" s="224">
        <v>0.16161616161616163</v>
      </c>
      <c r="O107" s="217"/>
      <c r="P107" s="218">
        <v>4.3469387755102042</v>
      </c>
      <c r="Q107" s="218">
        <v>0.9251075409042756</v>
      </c>
      <c r="R107" s="223">
        <v>2503.8367346938776</v>
      </c>
      <c r="S107" s="223">
        <v>2832.1124416708835</v>
      </c>
      <c r="T107" s="219">
        <v>1.0640409624911326E-2</v>
      </c>
      <c r="U107" s="223">
        <v>2330</v>
      </c>
      <c r="V107" s="223">
        <v>1287</v>
      </c>
      <c r="W107" s="224">
        <v>0.55236051502145922</v>
      </c>
      <c r="X107" s="217"/>
      <c r="Y107" s="218">
        <v>4.1401310717039319</v>
      </c>
      <c r="Z107" s="218">
        <v>0.97966257692348979</v>
      </c>
      <c r="AA107" s="223">
        <v>118640.05565063558</v>
      </c>
      <c r="AB107" s="223">
        <v>238959.06243264771</v>
      </c>
      <c r="AC107" s="219">
        <v>3.6085118412161887E-2</v>
      </c>
    </row>
    <row r="108" spans="1:29" ht="15" customHeight="1" x14ac:dyDescent="0.25">
      <c r="A108" s="88" t="s">
        <v>397</v>
      </c>
      <c r="B108" s="116" t="str">
        <f>VLOOKUP(A108,'0 Järjestäjätiedot'!A:H,2,FALSE)</f>
        <v>Etelä-Karjalan Koulutuskuntayhtymä</v>
      </c>
      <c r="C108" s="223">
        <v>1185</v>
      </c>
      <c r="D108" s="223">
        <v>811</v>
      </c>
      <c r="E108" s="224">
        <v>0.68438818565400839</v>
      </c>
      <c r="F108" s="217"/>
      <c r="G108" s="218">
        <v>4.1110768598438145</v>
      </c>
      <c r="H108" s="218">
        <v>0.95409030934370198</v>
      </c>
      <c r="I108" s="223">
        <v>40009</v>
      </c>
      <c r="J108" s="223">
        <v>153116.8154826283</v>
      </c>
      <c r="K108" s="219">
        <v>2.409039218146997E-2</v>
      </c>
      <c r="L108" s="223">
        <v>312</v>
      </c>
      <c r="M108" s="223">
        <v>267</v>
      </c>
      <c r="N108" s="224">
        <v>0.85576923076923073</v>
      </c>
      <c r="O108" s="217"/>
      <c r="P108" s="218">
        <v>3.8966916354556802</v>
      </c>
      <c r="Q108" s="218">
        <v>1.0842771646724647</v>
      </c>
      <c r="R108" s="223">
        <v>12485</v>
      </c>
      <c r="S108" s="223">
        <v>14589.213483146066</v>
      </c>
      <c r="T108" s="219">
        <v>5.4812515662114092E-2</v>
      </c>
      <c r="U108" s="223">
        <v>1497</v>
      </c>
      <c r="V108" s="223">
        <v>1078</v>
      </c>
      <c r="W108" s="224">
        <v>0.72010688042752169</v>
      </c>
      <c r="X108" s="217"/>
      <c r="Y108" s="218">
        <v>4.0579777365491649</v>
      </c>
      <c r="Z108" s="218">
        <v>0.99225964992153848</v>
      </c>
      <c r="AA108" s="223">
        <v>65862.107971540783</v>
      </c>
      <c r="AB108" s="223">
        <v>167706.02896577437</v>
      </c>
      <c r="AC108" s="219">
        <v>2.5325224547067055E-2</v>
      </c>
    </row>
    <row r="109" spans="1:29" ht="15" customHeight="1" x14ac:dyDescent="0.25">
      <c r="A109" s="88" t="s">
        <v>251</v>
      </c>
      <c r="B109" s="116" t="str">
        <f>VLOOKUP(A109,'0 Järjestäjätiedot'!A:H,2,FALSE)</f>
        <v>Valtakunnallinen valmennus- ja liikuntakeskus Oy</v>
      </c>
      <c r="C109" s="223">
        <v>76</v>
      </c>
      <c r="D109" s="223">
        <v>33</v>
      </c>
      <c r="E109" s="224">
        <v>0.43421052631578949</v>
      </c>
      <c r="F109" s="217"/>
      <c r="G109" s="218">
        <v>3.8787878787878789</v>
      </c>
      <c r="H109" s="218">
        <v>1.0803359678773252</v>
      </c>
      <c r="I109" s="223">
        <v>1536</v>
      </c>
      <c r="J109" s="223">
        <v>5805.0498614958451</v>
      </c>
      <c r="K109" s="219">
        <v>9.1332834578373859E-4</v>
      </c>
      <c r="L109" s="217"/>
      <c r="M109" s="217"/>
      <c r="N109" s="217"/>
      <c r="O109" s="217"/>
      <c r="P109" s="217"/>
      <c r="Q109" s="217"/>
      <c r="R109" s="217"/>
      <c r="S109" s="217"/>
      <c r="T109" s="217"/>
      <c r="U109" s="223">
        <v>76</v>
      </c>
      <c r="V109" s="223">
        <v>33</v>
      </c>
      <c r="W109" s="224">
        <v>0.43421052631578949</v>
      </c>
      <c r="X109" s="217"/>
      <c r="Y109" s="218">
        <v>3.8787878787878789</v>
      </c>
      <c r="Z109" s="218">
        <v>1.0803359678773252</v>
      </c>
      <c r="AA109" s="223">
        <v>1536</v>
      </c>
      <c r="AB109" s="223">
        <v>5805.0498614958451</v>
      </c>
      <c r="AC109" s="219">
        <v>8.7661840278446769E-4</v>
      </c>
    </row>
    <row r="110" spans="1:29" ht="15" customHeight="1" x14ac:dyDescent="0.25">
      <c r="A110" s="88" t="s">
        <v>388</v>
      </c>
      <c r="B110" s="116" t="str">
        <f>VLOOKUP(A110,'0 Järjestäjätiedot'!A:H,2,FALSE)</f>
        <v>Harjun Oppimiskeskus Oy</v>
      </c>
      <c r="C110" s="223">
        <v>51</v>
      </c>
      <c r="D110" s="223">
        <v>44</v>
      </c>
      <c r="E110" s="224">
        <v>0.86274509803921573</v>
      </c>
      <c r="F110" s="217"/>
      <c r="G110" s="218">
        <v>3.8863636363636362</v>
      </c>
      <c r="H110" s="218">
        <v>1.1589423553050902</v>
      </c>
      <c r="I110" s="223">
        <v>2052</v>
      </c>
      <c r="J110" s="223">
        <v>7135.3636363636351</v>
      </c>
      <c r="K110" s="219">
        <v>1.1226311611535682E-3</v>
      </c>
      <c r="L110" s="223">
        <v>21</v>
      </c>
      <c r="M110" s="223">
        <v>11</v>
      </c>
      <c r="N110" s="224">
        <v>0.52380952380952384</v>
      </c>
      <c r="O110" s="217"/>
      <c r="P110" s="218">
        <v>4.25</v>
      </c>
      <c r="Q110" s="218">
        <v>0.89082018727721113</v>
      </c>
      <c r="R110" s="223">
        <v>561</v>
      </c>
      <c r="S110" s="223">
        <v>716.23703231292518</v>
      </c>
      <c r="T110" s="219">
        <v>2.6909437987723819E-3</v>
      </c>
      <c r="U110" s="223">
        <v>72</v>
      </c>
      <c r="V110" s="223">
        <v>55</v>
      </c>
      <c r="W110" s="224">
        <v>0.76388888888888884</v>
      </c>
      <c r="X110" s="217"/>
      <c r="Y110" s="218">
        <v>3.959090909090909</v>
      </c>
      <c r="Z110" s="218">
        <v>1.1199942197804411</v>
      </c>
      <c r="AA110" s="223">
        <v>3553.68</v>
      </c>
      <c r="AB110" s="223">
        <v>7851.6006686765604</v>
      </c>
      <c r="AC110" s="219">
        <v>1.1856672727533007E-3</v>
      </c>
    </row>
    <row r="111" spans="1:29" ht="15" customHeight="1" x14ac:dyDescent="0.25">
      <c r="A111" s="88" t="s">
        <v>267</v>
      </c>
      <c r="B111" s="116" t="str">
        <f>VLOOKUP(A111,'0 Järjestäjätiedot'!A:H,2,FALSE)</f>
        <v>Traffica Oy</v>
      </c>
      <c r="C111" s="223">
        <v>11</v>
      </c>
      <c r="D111" s="223">
        <v>11</v>
      </c>
      <c r="E111" s="224">
        <v>1</v>
      </c>
      <c r="F111" s="217"/>
      <c r="G111" s="218">
        <v>4.3106060606060606</v>
      </c>
      <c r="H111" s="218">
        <v>0.86280528859289907</v>
      </c>
      <c r="I111" s="223">
        <v>569</v>
      </c>
      <c r="J111" s="223">
        <v>1707</v>
      </c>
      <c r="K111" s="219">
        <v>2.6856814729427759E-4</v>
      </c>
      <c r="L111" s="223">
        <v>19</v>
      </c>
      <c r="M111" s="223">
        <v>17</v>
      </c>
      <c r="N111" s="224">
        <v>0.89473684210526316</v>
      </c>
      <c r="O111" s="217"/>
      <c r="P111" s="218">
        <v>4.4068627450980395</v>
      </c>
      <c r="Q111" s="218">
        <v>0.82613674554371308</v>
      </c>
      <c r="R111" s="223">
        <v>899</v>
      </c>
      <c r="S111" s="223">
        <v>1004.7647058823529</v>
      </c>
      <c r="T111" s="219">
        <v>3.7749588928518208E-3</v>
      </c>
      <c r="U111" s="223">
        <v>30</v>
      </c>
      <c r="V111" s="223">
        <v>28</v>
      </c>
      <c r="W111" s="224">
        <v>0.93333333333333335</v>
      </c>
      <c r="X111" s="217"/>
      <c r="Y111" s="218">
        <v>4.3690476190476186</v>
      </c>
      <c r="Z111" s="218">
        <v>0.8420462873936212</v>
      </c>
      <c r="AA111" s="223">
        <v>1599.0714285714284</v>
      </c>
      <c r="AB111" s="223">
        <v>2711.7647058823532</v>
      </c>
      <c r="AC111" s="219">
        <v>4.0950257136729013E-4</v>
      </c>
    </row>
    <row r="112" spans="1:29" ht="15" customHeight="1" x14ac:dyDescent="0.25">
      <c r="A112" s="88" t="s">
        <v>374</v>
      </c>
      <c r="B112" s="116" t="str">
        <f>VLOOKUP(A112,'0 Järjestäjätiedot'!A:H,2,FALSE)</f>
        <v>Jyväskylän kristillisen opiston säätiö sr</v>
      </c>
      <c r="C112" s="223">
        <v>95</v>
      </c>
      <c r="D112" s="223">
        <v>34</v>
      </c>
      <c r="E112" s="224">
        <v>0.35789473684210527</v>
      </c>
      <c r="F112" s="217"/>
      <c r="G112" s="218">
        <v>4.4705882352941178</v>
      </c>
      <c r="H112" s="218">
        <v>0.84547100636668049</v>
      </c>
      <c r="I112" s="223">
        <v>1824</v>
      </c>
      <c r="J112" s="223">
        <v>6760.4210526315792</v>
      </c>
      <c r="K112" s="219">
        <v>1.0636401622932004E-3</v>
      </c>
      <c r="L112" s="217"/>
      <c r="M112" s="217"/>
      <c r="N112" s="217"/>
      <c r="O112" s="217"/>
      <c r="P112" s="217"/>
      <c r="Q112" s="217"/>
      <c r="R112" s="217"/>
      <c r="S112" s="217"/>
      <c r="T112" s="217"/>
      <c r="U112" s="223">
        <v>95</v>
      </c>
      <c r="V112" s="223">
        <v>34</v>
      </c>
      <c r="W112" s="224">
        <v>0.35789473684210527</v>
      </c>
      <c r="X112" s="217"/>
      <c r="Y112" s="218">
        <v>4.4705882352941178</v>
      </c>
      <c r="Z112" s="218">
        <v>0.84547100636668049</v>
      </c>
      <c r="AA112" s="223">
        <v>1824</v>
      </c>
      <c r="AB112" s="223">
        <v>6760.4210526315792</v>
      </c>
      <c r="AC112" s="219">
        <v>1.0208886481090952E-3</v>
      </c>
    </row>
    <row r="113" spans="1:29" ht="15" customHeight="1" x14ac:dyDescent="0.25">
      <c r="A113" s="88" t="s">
        <v>370</v>
      </c>
      <c r="B113" s="116" t="str">
        <f>VLOOKUP(A113,'0 Järjestäjätiedot'!A:H,2,FALSE)</f>
        <v>Jollas-Opisto Oy</v>
      </c>
      <c r="C113" s="223">
        <v>24</v>
      </c>
      <c r="D113" s="223">
        <v>11</v>
      </c>
      <c r="E113" s="224">
        <v>0.45833333333333331</v>
      </c>
      <c r="F113" s="217"/>
      <c r="G113" s="218">
        <v>4.4090909090909092</v>
      </c>
      <c r="H113" s="218">
        <v>0.83443453412208313</v>
      </c>
      <c r="I113" s="223">
        <v>582</v>
      </c>
      <c r="J113" s="223">
        <v>2209.6865234375</v>
      </c>
      <c r="K113" s="219">
        <v>3.4765753702445379E-4</v>
      </c>
      <c r="L113" s="217"/>
      <c r="M113" s="217"/>
      <c r="N113" s="217"/>
      <c r="O113" s="217"/>
      <c r="P113" s="217"/>
      <c r="Q113" s="217"/>
      <c r="R113" s="217"/>
      <c r="S113" s="217"/>
      <c r="T113" s="217"/>
      <c r="U113" s="223">
        <v>24</v>
      </c>
      <c r="V113" s="223">
        <v>11</v>
      </c>
      <c r="W113" s="224">
        <v>0.45833333333333331</v>
      </c>
      <c r="X113" s="217"/>
      <c r="Y113" s="218">
        <v>4.4090909090909092</v>
      </c>
      <c r="Z113" s="218">
        <v>0.83443453412208313</v>
      </c>
      <c r="AA113" s="223">
        <v>582</v>
      </c>
      <c r="AB113" s="223">
        <v>2209.6865234375</v>
      </c>
      <c r="AC113" s="219">
        <v>3.3368393330750906E-4</v>
      </c>
    </row>
    <row r="114" spans="1:29" ht="15" customHeight="1" x14ac:dyDescent="0.25">
      <c r="A114" s="88" t="s">
        <v>277</v>
      </c>
      <c r="B114" s="116" t="str">
        <f>VLOOKUP(A114,'0 Järjestäjätiedot'!A:H,2,FALSE)</f>
        <v>Svenska Framtidsskolan i Helsingforsregionen Ab</v>
      </c>
      <c r="C114" s="223">
        <v>288</v>
      </c>
      <c r="D114" s="223">
        <v>239</v>
      </c>
      <c r="E114" s="224">
        <v>0.82986111111111116</v>
      </c>
      <c r="F114" s="217"/>
      <c r="G114" s="218">
        <v>3.9414225941422596</v>
      </c>
      <c r="H114" s="218">
        <v>0.98739598711013177</v>
      </c>
      <c r="I114" s="223">
        <v>11304</v>
      </c>
      <c r="J114" s="223">
        <v>40864.669456066949</v>
      </c>
      <c r="K114" s="219">
        <v>6.4293781872343022E-3</v>
      </c>
      <c r="L114" s="223">
        <v>56</v>
      </c>
      <c r="M114" s="223">
        <v>14</v>
      </c>
      <c r="N114" s="224">
        <v>0.25</v>
      </c>
      <c r="O114" s="217"/>
      <c r="P114" s="218">
        <v>4.2559523809523814</v>
      </c>
      <c r="Q114" s="218">
        <v>0.86600494753840418</v>
      </c>
      <c r="R114" s="223">
        <v>715</v>
      </c>
      <c r="S114" s="223">
        <v>847.666015625</v>
      </c>
      <c r="T114" s="219">
        <v>3.1847300617927343E-3</v>
      </c>
      <c r="U114" s="223">
        <v>344</v>
      </c>
      <c r="V114" s="223">
        <v>253</v>
      </c>
      <c r="W114" s="224">
        <v>0.73546511627906974</v>
      </c>
      <c r="X114" s="217"/>
      <c r="Y114" s="218">
        <v>3.9588274044795786</v>
      </c>
      <c r="Z114" s="218">
        <v>0.98370341379448101</v>
      </c>
      <c r="AA114" s="223">
        <v>21614.634317049167</v>
      </c>
      <c r="AB114" s="223">
        <v>41712.335471691949</v>
      </c>
      <c r="AC114" s="219">
        <v>6.2989641381275257E-3</v>
      </c>
    </row>
    <row r="115" spans="1:29" ht="15" customHeight="1" x14ac:dyDescent="0.25">
      <c r="A115" s="88" t="s">
        <v>368</v>
      </c>
      <c r="B115" s="116" t="str">
        <f>VLOOKUP(A115,'0 Järjestäjätiedot'!A:H,2,FALSE)</f>
        <v>Järviseudun Koulutuskuntayhtymä</v>
      </c>
      <c r="C115" s="223">
        <v>279</v>
      </c>
      <c r="D115" s="223">
        <v>259</v>
      </c>
      <c r="E115" s="224">
        <v>0.92831541218637992</v>
      </c>
      <c r="F115" s="217"/>
      <c r="G115" s="218">
        <v>4.1743589743589746</v>
      </c>
      <c r="H115" s="218">
        <v>0.99181727760865701</v>
      </c>
      <c r="I115" s="223">
        <v>12973.907692307692</v>
      </c>
      <c r="J115" s="223">
        <v>41927.261538461535</v>
      </c>
      <c r="K115" s="219">
        <v>6.5965594332204076E-3</v>
      </c>
      <c r="L115" s="217"/>
      <c r="M115" s="217"/>
      <c r="N115" s="217"/>
      <c r="O115" s="217"/>
      <c r="P115" s="217"/>
      <c r="Q115" s="217"/>
      <c r="R115" s="217"/>
      <c r="S115" s="217"/>
      <c r="T115" s="217"/>
      <c r="U115" s="223">
        <v>279</v>
      </c>
      <c r="V115" s="223">
        <v>259</v>
      </c>
      <c r="W115" s="224">
        <v>0.92831541218637992</v>
      </c>
      <c r="X115" s="217"/>
      <c r="Y115" s="218">
        <v>4.1743589743589746</v>
      </c>
      <c r="Z115" s="218">
        <v>0.99181727760865701</v>
      </c>
      <c r="AA115" s="223">
        <v>12973.907692307692</v>
      </c>
      <c r="AB115" s="223">
        <v>41927.261538461535</v>
      </c>
      <c r="AC115" s="219">
        <v>6.3314200428765946E-3</v>
      </c>
    </row>
    <row r="116" spans="1:29" ht="15" customHeight="1" x14ac:dyDescent="0.25">
      <c r="A116" s="88" t="s">
        <v>289</v>
      </c>
      <c r="B116" s="116" t="str">
        <f>VLOOKUP(A116,'0 Järjestäjätiedot'!A:H,2,FALSE)</f>
        <v>Savon Koulutuskuntayhtymä</v>
      </c>
      <c r="C116" s="223">
        <v>2326</v>
      </c>
      <c r="D116" s="223">
        <v>1374</v>
      </c>
      <c r="E116" s="224">
        <v>0.59071367153912291</v>
      </c>
      <c r="F116" s="217"/>
      <c r="G116" s="218">
        <v>4.2126394953905875</v>
      </c>
      <c r="H116" s="218">
        <v>0.94314625709547395</v>
      </c>
      <c r="I116" s="223">
        <v>69458</v>
      </c>
      <c r="J116" s="223">
        <v>266965.14896980306</v>
      </c>
      <c r="K116" s="219">
        <v>4.2002539807241251E-2</v>
      </c>
      <c r="L116" s="223">
        <v>889</v>
      </c>
      <c r="M116" s="223">
        <v>301</v>
      </c>
      <c r="N116" s="224">
        <v>0.33858267716535434</v>
      </c>
      <c r="O116" s="217"/>
      <c r="P116" s="218">
        <v>4.1686046511627906</v>
      </c>
      <c r="Q116" s="218">
        <v>1.0351411017927319</v>
      </c>
      <c r="R116" s="223">
        <v>15057</v>
      </c>
      <c r="S116" s="223">
        <v>18487.890176467852</v>
      </c>
      <c r="T116" s="219">
        <v>6.9460068634115524E-2</v>
      </c>
      <c r="U116" s="223">
        <v>3215</v>
      </c>
      <c r="V116" s="223">
        <v>1675</v>
      </c>
      <c r="W116" s="224">
        <v>0.52099533437014001</v>
      </c>
      <c r="X116" s="217"/>
      <c r="Y116" s="218">
        <v>4.2047263681592044</v>
      </c>
      <c r="Z116" s="218">
        <v>0.96047643119279835</v>
      </c>
      <c r="AA116" s="223">
        <v>119196.95872042772</v>
      </c>
      <c r="AB116" s="223">
        <v>285453.03914627089</v>
      </c>
      <c r="AC116" s="219">
        <v>4.3106156401195146E-2</v>
      </c>
    </row>
    <row r="117" spans="1:29" ht="15" customHeight="1" x14ac:dyDescent="0.25">
      <c r="A117" s="88" t="s">
        <v>353</v>
      </c>
      <c r="B117" s="116" t="str">
        <f>VLOOKUP(A117,'0 Järjestäjätiedot'!A:H,2,FALSE)</f>
        <v>KONE Hissit Oy</v>
      </c>
      <c r="C117" s="223">
        <v>21</v>
      </c>
      <c r="D117" s="223">
        <v>16</v>
      </c>
      <c r="E117" s="224">
        <v>0.76190476190476186</v>
      </c>
      <c r="F117" s="217"/>
      <c r="G117" s="218">
        <v>4.322916666666667</v>
      </c>
      <c r="H117" s="218">
        <v>1.0051408656114931</v>
      </c>
      <c r="I117" s="223">
        <v>830</v>
      </c>
      <c r="J117" s="223">
        <v>3139.3197278911566</v>
      </c>
      <c r="K117" s="219">
        <v>4.9391990807504604E-4</v>
      </c>
      <c r="L117" s="217"/>
      <c r="M117" s="217"/>
      <c r="N117" s="217"/>
      <c r="O117" s="217"/>
      <c r="P117" s="217"/>
      <c r="Q117" s="217"/>
      <c r="R117" s="217"/>
      <c r="S117" s="217"/>
      <c r="T117" s="217"/>
      <c r="U117" s="223">
        <v>21</v>
      </c>
      <c r="V117" s="223">
        <v>16</v>
      </c>
      <c r="W117" s="224">
        <v>0.76190476190476186</v>
      </c>
      <c r="X117" s="217"/>
      <c r="Y117" s="218">
        <v>4.322916666666667</v>
      </c>
      <c r="Z117" s="218">
        <v>1.0051408656114931</v>
      </c>
      <c r="AA117" s="223">
        <v>830</v>
      </c>
      <c r="AB117" s="223">
        <v>3139.3197278911566</v>
      </c>
      <c r="AC117" s="219">
        <v>4.7406749491460588E-4</v>
      </c>
    </row>
    <row r="118" spans="1:29" ht="15" customHeight="1" x14ac:dyDescent="0.25">
      <c r="A118" s="88" t="s">
        <v>345</v>
      </c>
      <c r="B118" s="116" t="str">
        <f>VLOOKUP(A118,'0 Järjestäjätiedot'!A:H,2,FALSE)</f>
        <v>Keski-Pohjanmaan Konservatorion Kannatusyhdistys Ry</v>
      </c>
      <c r="C118" s="223">
        <v>14</v>
      </c>
      <c r="D118" s="223">
        <v>12</v>
      </c>
      <c r="E118" s="224">
        <v>0.8571428571428571</v>
      </c>
      <c r="F118" s="217"/>
      <c r="G118" s="218">
        <v>4.2638888888888893</v>
      </c>
      <c r="H118" s="218">
        <v>0.92034195872384938</v>
      </c>
      <c r="I118" s="223">
        <v>614</v>
      </c>
      <c r="J118" s="223">
        <v>2149</v>
      </c>
      <c r="K118" s="219">
        <v>3.3810951876707819E-4</v>
      </c>
      <c r="L118" s="217"/>
      <c r="M118" s="217"/>
      <c r="N118" s="217"/>
      <c r="O118" s="217"/>
      <c r="P118" s="217"/>
      <c r="Q118" s="217"/>
      <c r="R118" s="217"/>
      <c r="S118" s="217"/>
      <c r="T118" s="217"/>
      <c r="U118" s="223">
        <v>14</v>
      </c>
      <c r="V118" s="223">
        <v>12</v>
      </c>
      <c r="W118" s="224">
        <v>0.8571428571428571</v>
      </c>
      <c r="X118" s="217"/>
      <c r="Y118" s="218">
        <v>4.2638888888888893</v>
      </c>
      <c r="Z118" s="218">
        <v>0.92034195872384938</v>
      </c>
      <c r="AA118" s="223">
        <v>614</v>
      </c>
      <c r="AB118" s="223">
        <v>2149</v>
      </c>
      <c r="AC118" s="219">
        <v>3.2451968415967916E-4</v>
      </c>
    </row>
    <row r="119" spans="1:29" ht="15" customHeight="1" x14ac:dyDescent="0.25">
      <c r="A119" s="88" t="s">
        <v>350</v>
      </c>
      <c r="B119" s="116" t="str">
        <f>VLOOKUP(A119,'0 Järjestäjätiedot'!A:H,2,FALSE)</f>
        <v>Kotkan-Haminan seudun koulutuskuntayhtymä</v>
      </c>
      <c r="C119" s="223">
        <v>682</v>
      </c>
      <c r="D119" s="223">
        <v>227</v>
      </c>
      <c r="E119" s="224">
        <v>0.33284457478005863</v>
      </c>
      <c r="F119" s="217"/>
      <c r="G119" s="218">
        <v>3.856828193832599</v>
      </c>
      <c r="H119" s="218">
        <v>1.1142784083718476</v>
      </c>
      <c r="I119" s="223">
        <v>10506</v>
      </c>
      <c r="J119" s="223">
        <v>38625.01299613114</v>
      </c>
      <c r="K119" s="219">
        <v>6.0770053776147233E-3</v>
      </c>
      <c r="L119" s="223">
        <v>348</v>
      </c>
      <c r="M119" s="223">
        <v>10</v>
      </c>
      <c r="N119" s="224">
        <v>2.8735632183908046E-2</v>
      </c>
      <c r="O119" s="217"/>
      <c r="P119" s="218">
        <v>4.0750000000000002</v>
      </c>
      <c r="Q119" s="218">
        <v>1.1192445368789317</v>
      </c>
      <c r="R119" s="223">
        <v>489</v>
      </c>
      <c r="S119" s="223">
        <v>501.85803421026554</v>
      </c>
      <c r="T119" s="219">
        <v>1.8855095507435149E-3</v>
      </c>
      <c r="U119" s="223">
        <v>1030</v>
      </c>
      <c r="V119" s="223">
        <v>237</v>
      </c>
      <c r="W119" s="224">
        <v>0.23009708737864076</v>
      </c>
      <c r="X119" s="217"/>
      <c r="Y119" s="218">
        <v>3.8660337552742616</v>
      </c>
      <c r="Z119" s="218">
        <v>1.1153510829517923</v>
      </c>
      <c r="AA119" s="223">
        <v>20212.603215296695</v>
      </c>
      <c r="AB119" s="223">
        <v>39126.871030341405</v>
      </c>
      <c r="AC119" s="219">
        <v>5.9085341223466233E-3</v>
      </c>
    </row>
    <row r="120" spans="1:29" ht="15" customHeight="1" x14ac:dyDescent="0.25">
      <c r="A120" s="88" t="s">
        <v>401</v>
      </c>
      <c r="B120" s="116" t="str">
        <f>VLOOKUP(A120,'0 Järjestäjätiedot'!A:H,2,FALSE)</f>
        <v>Axxell Utbildning Ab</v>
      </c>
      <c r="C120" s="223">
        <v>542</v>
      </c>
      <c r="D120" s="223">
        <v>217</v>
      </c>
      <c r="E120" s="224">
        <v>0.40036900369003692</v>
      </c>
      <c r="F120" s="217"/>
      <c r="G120" s="218">
        <v>4.1185015290519882</v>
      </c>
      <c r="H120" s="218">
        <v>1.0210447155535056</v>
      </c>
      <c r="I120" s="223">
        <v>10724.577981651377</v>
      </c>
      <c r="J120" s="223">
        <v>40220.874079414367</v>
      </c>
      <c r="K120" s="219">
        <v>6.3280876590888976E-3</v>
      </c>
      <c r="L120" s="223">
        <v>97</v>
      </c>
      <c r="M120" s="223">
        <v>28</v>
      </c>
      <c r="N120" s="224">
        <v>0.28865979381443296</v>
      </c>
      <c r="O120" s="217"/>
      <c r="P120" s="218">
        <v>4.0119047619047619</v>
      </c>
      <c r="Q120" s="218">
        <v>0.99694829138306429</v>
      </c>
      <c r="R120" s="223">
        <v>1348</v>
      </c>
      <c r="S120" s="223">
        <v>1625.0427250504836</v>
      </c>
      <c r="T120" s="219">
        <v>6.1053791502423248E-3</v>
      </c>
      <c r="U120" s="223">
        <v>639</v>
      </c>
      <c r="V120" s="223">
        <v>245</v>
      </c>
      <c r="W120" s="224">
        <v>0.38341158059467917</v>
      </c>
      <c r="X120" s="217"/>
      <c r="Y120" s="218">
        <v>4.1063685636856366</v>
      </c>
      <c r="Z120" s="218">
        <v>1.018893381683974</v>
      </c>
      <c r="AA120" s="223">
        <v>19265.879436843152</v>
      </c>
      <c r="AB120" s="223">
        <v>41845.916804464854</v>
      </c>
      <c r="AC120" s="219">
        <v>6.3191362050987179E-3</v>
      </c>
    </row>
    <row r="121" spans="1:29" ht="15" customHeight="1" x14ac:dyDescent="0.25">
      <c r="A121" s="88" t="s">
        <v>359</v>
      </c>
      <c r="B121" s="116" t="str">
        <f>VLOOKUP(A121,'0 Järjestäjätiedot'!A:H,2,FALSE)</f>
        <v>Kemi-Tornionlaakson koulutuskuntayhtymä Lappia</v>
      </c>
      <c r="C121" s="223">
        <v>1047</v>
      </c>
      <c r="D121" s="223">
        <v>671</v>
      </c>
      <c r="E121" s="224">
        <v>0.64087870105062084</v>
      </c>
      <c r="F121" s="217"/>
      <c r="G121" s="218">
        <v>4.2431693989071038</v>
      </c>
      <c r="H121" s="218">
        <v>0.93676589519043796</v>
      </c>
      <c r="I121" s="223">
        <v>34166</v>
      </c>
      <c r="J121" s="223">
        <v>131191.74910287408</v>
      </c>
      <c r="K121" s="219">
        <v>2.0640846512510014E-2</v>
      </c>
      <c r="L121" s="223">
        <v>87</v>
      </c>
      <c r="M121" s="223">
        <v>36</v>
      </c>
      <c r="N121" s="224">
        <v>0.41379310344827586</v>
      </c>
      <c r="O121" s="217"/>
      <c r="P121" s="218">
        <v>4.1319444444444446</v>
      </c>
      <c r="Q121" s="218">
        <v>1.0644499173484907</v>
      </c>
      <c r="R121" s="223">
        <v>1785</v>
      </c>
      <c r="S121" s="223">
        <v>2238.6786563614746</v>
      </c>
      <c r="T121" s="219">
        <v>8.4108447008476288E-3</v>
      </c>
      <c r="U121" s="223">
        <v>1134</v>
      </c>
      <c r="V121" s="223">
        <v>707</v>
      </c>
      <c r="W121" s="224">
        <v>0.62345679012345678</v>
      </c>
      <c r="X121" s="217"/>
      <c r="Y121" s="218">
        <v>4.2375058934464871</v>
      </c>
      <c r="Z121" s="218">
        <v>0.9440017356124879</v>
      </c>
      <c r="AA121" s="223">
        <v>64952.442385600451</v>
      </c>
      <c r="AB121" s="223">
        <v>133430.42775923555</v>
      </c>
      <c r="AC121" s="219">
        <v>2.0149278861664965E-2</v>
      </c>
    </row>
    <row r="122" spans="1:29" ht="15" customHeight="1" x14ac:dyDescent="0.25">
      <c r="A122" s="88" t="s">
        <v>385</v>
      </c>
      <c r="B122" s="116" t="str">
        <f>VLOOKUP(A122,'0 Järjestäjätiedot'!A:H,2,FALSE)</f>
        <v>Helsinki Business College Oy</v>
      </c>
      <c r="C122" s="223">
        <v>670</v>
      </c>
      <c r="D122" s="223">
        <v>215</v>
      </c>
      <c r="E122" s="224">
        <v>0.32089552238805968</v>
      </c>
      <c r="F122" s="217"/>
      <c r="G122" s="218">
        <v>3.9891472868217055</v>
      </c>
      <c r="H122" s="218">
        <v>1.0943293093129316</v>
      </c>
      <c r="I122" s="223">
        <v>10292</v>
      </c>
      <c r="J122" s="223">
        <v>37680.797595511249</v>
      </c>
      <c r="K122" s="219">
        <v>5.9284487397757027E-3</v>
      </c>
      <c r="L122" s="223">
        <v>13</v>
      </c>
      <c r="M122" s="223">
        <v>3</v>
      </c>
      <c r="N122" s="224">
        <v>0.23076923076923078</v>
      </c>
      <c r="O122" s="217"/>
      <c r="P122" s="218">
        <v>4.4722222222222223</v>
      </c>
      <c r="Q122" s="218">
        <v>0.72595190807622123</v>
      </c>
      <c r="R122" s="223">
        <v>161</v>
      </c>
      <c r="S122" s="223">
        <v>189.13332100591714</v>
      </c>
      <c r="T122" s="219">
        <v>7.1058478456296733E-4</v>
      </c>
      <c r="U122" s="223">
        <v>683</v>
      </c>
      <c r="V122" s="223">
        <v>218</v>
      </c>
      <c r="W122" s="224">
        <v>0.31918008784773061</v>
      </c>
      <c r="X122" s="217"/>
      <c r="Y122" s="218">
        <v>3.995795107033639</v>
      </c>
      <c r="Z122" s="218">
        <v>1.0915567233740227</v>
      </c>
      <c r="AA122" s="223">
        <v>20338.52377745981</v>
      </c>
      <c r="AB122" s="223">
        <v>37869.930916517165</v>
      </c>
      <c r="AC122" s="219">
        <v>5.7187240670902835E-3</v>
      </c>
    </row>
    <row r="123" spans="1:29" ht="15" customHeight="1" x14ac:dyDescent="0.25">
      <c r="A123" s="88" t="s">
        <v>399</v>
      </c>
      <c r="B123" s="116" t="str">
        <f>VLOOKUP(A123,'0 Järjestäjätiedot'!A:H,2,FALSE)</f>
        <v>Cimson Koulutuspalvelut Oy</v>
      </c>
      <c r="C123" s="223">
        <v>22</v>
      </c>
      <c r="D123" s="223">
        <v>22</v>
      </c>
      <c r="E123" s="224">
        <v>1</v>
      </c>
      <c r="F123" s="217"/>
      <c r="G123" s="218">
        <v>4.0871212121212119</v>
      </c>
      <c r="H123" s="218">
        <v>1.0462708166011612</v>
      </c>
      <c r="I123" s="223">
        <v>1079</v>
      </c>
      <c r="J123" s="223">
        <v>3237</v>
      </c>
      <c r="K123" s="219">
        <v>5.0928827931551049E-4</v>
      </c>
      <c r="L123" s="223">
        <v>1</v>
      </c>
      <c r="M123" s="223">
        <v>1</v>
      </c>
      <c r="N123" s="224">
        <v>1</v>
      </c>
      <c r="O123" s="217"/>
      <c r="P123" s="218">
        <v>4.5</v>
      </c>
      <c r="Q123" s="218">
        <v>0.7637626158259726</v>
      </c>
      <c r="R123" s="223">
        <v>54</v>
      </c>
      <c r="S123" s="223">
        <v>54</v>
      </c>
      <c r="T123" s="219">
        <v>2.0288111138914416E-4</v>
      </c>
      <c r="U123" s="223">
        <v>23</v>
      </c>
      <c r="V123" s="223">
        <v>23</v>
      </c>
      <c r="W123" s="224">
        <v>1</v>
      </c>
      <c r="X123" s="217"/>
      <c r="Y123" s="218">
        <v>4.1050724637681162</v>
      </c>
      <c r="Z123" s="218">
        <v>1.0390088967389188</v>
      </c>
      <c r="AA123" s="223">
        <v>2077.5236294896031</v>
      </c>
      <c r="AB123" s="223">
        <v>3291</v>
      </c>
      <c r="AC123" s="219">
        <v>4.9697267592810801E-4</v>
      </c>
    </row>
    <row r="124" spans="1:29" ht="15" customHeight="1" x14ac:dyDescent="0.25">
      <c r="A124" s="88" t="s">
        <v>329</v>
      </c>
      <c r="B124" s="116" t="str">
        <f>VLOOKUP(A124,'0 Järjestäjätiedot'!A:H,2,FALSE)</f>
        <v>Länsirannikon Koulutus Oy</v>
      </c>
      <c r="C124" s="223">
        <v>1549</v>
      </c>
      <c r="D124" s="223">
        <v>996</v>
      </c>
      <c r="E124" s="224">
        <v>0.64299548095545511</v>
      </c>
      <c r="F124" s="217"/>
      <c r="G124" s="218">
        <v>4.0607429718875503</v>
      </c>
      <c r="H124" s="218">
        <v>1.0111452462613606</v>
      </c>
      <c r="I124" s="223">
        <v>48534</v>
      </c>
      <c r="J124" s="223">
        <v>186342.28006677495</v>
      </c>
      <c r="K124" s="219">
        <v>2.9317868143014139E-2</v>
      </c>
      <c r="L124" s="223">
        <v>203</v>
      </c>
      <c r="M124" s="223">
        <v>44</v>
      </c>
      <c r="N124" s="224">
        <v>0.21674876847290642</v>
      </c>
      <c r="O124" s="217"/>
      <c r="P124" s="218">
        <v>4.0473484848484844</v>
      </c>
      <c r="Q124" s="218">
        <v>1.0185925820735606</v>
      </c>
      <c r="R124" s="223">
        <v>2137</v>
      </c>
      <c r="S124" s="223">
        <v>2492.8079849062096</v>
      </c>
      <c r="T124" s="219">
        <v>9.3656232306945312E-3</v>
      </c>
      <c r="U124" s="223">
        <v>1752</v>
      </c>
      <c r="V124" s="223">
        <v>1040</v>
      </c>
      <c r="W124" s="224">
        <v>0.59360730593607303</v>
      </c>
      <c r="X124" s="217"/>
      <c r="Y124" s="218">
        <v>4.0601762820512821</v>
      </c>
      <c r="Z124" s="218">
        <v>1.0114650302339543</v>
      </c>
      <c r="AA124" s="223">
        <v>96306.756767751489</v>
      </c>
      <c r="AB124" s="223">
        <v>188835.08805168117</v>
      </c>
      <c r="AC124" s="219">
        <v>2.8515915836573653E-2</v>
      </c>
    </row>
    <row r="125" spans="1:29" ht="15" customHeight="1" x14ac:dyDescent="0.25">
      <c r="A125" s="88" t="s">
        <v>395</v>
      </c>
      <c r="B125" s="116" t="str">
        <f>VLOOKUP(A125,'0 Järjestäjätiedot'!A:H,2,FALSE)</f>
        <v>Etelä-Savon Koulutus Oy</v>
      </c>
      <c r="C125" s="223">
        <v>1002</v>
      </c>
      <c r="D125" s="223">
        <v>365</v>
      </c>
      <c r="E125" s="224">
        <v>0.36427145708582837</v>
      </c>
      <c r="F125" s="217"/>
      <c r="G125" s="218">
        <v>4.0926940639269409</v>
      </c>
      <c r="H125" s="218">
        <v>1.0138725220056035</v>
      </c>
      <c r="I125" s="223">
        <v>17926</v>
      </c>
      <c r="J125" s="223">
        <v>66568.42734609374</v>
      </c>
      <c r="K125" s="219">
        <v>1.0473438313201007E-2</v>
      </c>
      <c r="L125" s="223">
        <v>90</v>
      </c>
      <c r="M125" s="223">
        <v>35</v>
      </c>
      <c r="N125" s="224">
        <v>0.3888888888888889</v>
      </c>
      <c r="O125" s="217"/>
      <c r="P125" s="218">
        <v>4.1333333333333337</v>
      </c>
      <c r="Q125" s="218">
        <v>1.1260268682125236</v>
      </c>
      <c r="R125" s="223">
        <v>1736</v>
      </c>
      <c r="S125" s="223">
        <v>2163.8047839506171</v>
      </c>
      <c r="T125" s="219">
        <v>8.1295392480934849E-3</v>
      </c>
      <c r="U125" s="223">
        <v>1092</v>
      </c>
      <c r="V125" s="223">
        <v>400</v>
      </c>
      <c r="W125" s="224">
        <v>0.36630036630036628</v>
      </c>
      <c r="X125" s="217"/>
      <c r="Y125" s="218">
        <v>4.0962500000000004</v>
      </c>
      <c r="Z125" s="218">
        <v>1.0242408265800229</v>
      </c>
      <c r="AA125" s="223">
        <v>33044.448750000003</v>
      </c>
      <c r="AB125" s="223">
        <v>68732.232130044358</v>
      </c>
      <c r="AC125" s="219">
        <v>1.0379228600480106E-2</v>
      </c>
    </row>
    <row r="126" spans="1:29" ht="15" customHeight="1" x14ac:dyDescent="0.25">
      <c r="A126" s="88" t="s">
        <v>380</v>
      </c>
      <c r="B126" s="116" t="str">
        <f>VLOOKUP(A126,'0 Järjestäjätiedot'!A:H,2,FALSE)</f>
        <v>Hyria koulutus Oy</v>
      </c>
      <c r="C126" s="223">
        <v>1406</v>
      </c>
      <c r="D126" s="223">
        <v>908</v>
      </c>
      <c r="E126" s="224">
        <v>0.64580369843527741</v>
      </c>
      <c r="F126" s="217"/>
      <c r="G126" s="218">
        <v>4.1949291166848415</v>
      </c>
      <c r="H126" s="218">
        <v>1.0075540312246591</v>
      </c>
      <c r="I126" s="223">
        <v>45707.947655398035</v>
      </c>
      <c r="J126" s="223">
        <v>175465.17152372183</v>
      </c>
      <c r="K126" s="219">
        <v>2.7606535460338959E-2</v>
      </c>
      <c r="L126" s="223">
        <v>596</v>
      </c>
      <c r="M126" s="223">
        <v>200</v>
      </c>
      <c r="N126" s="224">
        <v>0.33557046979865773</v>
      </c>
      <c r="O126" s="217"/>
      <c r="P126" s="218">
        <v>3.849502487562189</v>
      </c>
      <c r="Q126" s="218">
        <v>1.2558931403628242</v>
      </c>
      <c r="R126" s="223">
        <v>9238.8059701492548</v>
      </c>
      <c r="S126" s="223">
        <v>11332.528889716545</v>
      </c>
      <c r="T126" s="219">
        <v>4.257696399991253E-2</v>
      </c>
      <c r="U126" s="223">
        <v>2002</v>
      </c>
      <c r="V126" s="223">
        <v>1108</v>
      </c>
      <c r="W126" s="224">
        <v>0.55344655344655347</v>
      </c>
      <c r="X126" s="217"/>
      <c r="Y126" s="218">
        <v>4.1328264758497317</v>
      </c>
      <c r="Z126" s="218">
        <v>1.0648089356649639</v>
      </c>
      <c r="AA126" s="223">
        <v>77437.131947222384</v>
      </c>
      <c r="AB126" s="223">
        <v>186797.70041343838</v>
      </c>
      <c r="AC126" s="219">
        <v>2.8208250693310094E-2</v>
      </c>
    </row>
    <row r="127" spans="1:29" ht="15" customHeight="1" x14ac:dyDescent="0.25">
      <c r="A127" s="88" t="s">
        <v>392</v>
      </c>
      <c r="B127" s="116" t="str">
        <f>VLOOKUP(A127,'0 Järjestäjätiedot'!A:H,2,FALSE)</f>
        <v>Folkhälsan Utbildning Ab</v>
      </c>
      <c r="C127" s="223">
        <v>47</v>
      </c>
      <c r="D127" s="223">
        <v>46</v>
      </c>
      <c r="E127" s="224">
        <v>0.97872340425531912</v>
      </c>
      <c r="F127" s="217"/>
      <c r="G127" s="218">
        <v>4.2989130434782608</v>
      </c>
      <c r="H127" s="218">
        <v>0.95333068671666266</v>
      </c>
      <c r="I127" s="223">
        <v>2373</v>
      </c>
      <c r="J127" s="223">
        <v>7273.7608695652179</v>
      </c>
      <c r="K127" s="219">
        <v>1.1444056711193578E-3</v>
      </c>
      <c r="L127" s="223">
        <v>2</v>
      </c>
      <c r="M127" s="223">
        <v>2</v>
      </c>
      <c r="N127" s="224">
        <v>1</v>
      </c>
      <c r="O127" s="217"/>
      <c r="P127" s="218">
        <v>4.208333333333333</v>
      </c>
      <c r="Q127" s="218">
        <v>0.95652002360408384</v>
      </c>
      <c r="R127" s="223">
        <v>101</v>
      </c>
      <c r="S127" s="223">
        <v>101</v>
      </c>
      <c r="T127" s="219">
        <v>3.7946281945006597E-4</v>
      </c>
      <c r="U127" s="223">
        <v>49</v>
      </c>
      <c r="V127" s="223">
        <v>48</v>
      </c>
      <c r="W127" s="224">
        <v>0.97959183673469385</v>
      </c>
      <c r="X127" s="217"/>
      <c r="Y127" s="218">
        <v>4.2951388888888893</v>
      </c>
      <c r="Z127" s="218">
        <v>0.95363557716939507</v>
      </c>
      <c r="AA127" s="223">
        <v>4552.8472222222217</v>
      </c>
      <c r="AB127" s="223">
        <v>7374.7608695652179</v>
      </c>
      <c r="AC127" s="219">
        <v>1.1136598734967265E-3</v>
      </c>
    </row>
    <row r="128" spans="1:29" ht="15" customHeight="1" x14ac:dyDescent="0.25">
      <c r="A128" s="88" t="s">
        <v>323</v>
      </c>
      <c r="B128" s="116" t="str">
        <f>VLOOKUP(A128,'0 Järjestäjätiedot'!A:H,2,FALSE)</f>
        <v>Management Institute of Finland MIF Oy</v>
      </c>
      <c r="C128" s="223">
        <v>81</v>
      </c>
      <c r="D128" s="223">
        <v>56</v>
      </c>
      <c r="E128" s="224">
        <v>0.69135802469135799</v>
      </c>
      <c r="F128" s="217"/>
      <c r="G128" s="218">
        <v>4.1964285714285712</v>
      </c>
      <c r="H128" s="218">
        <v>0.8220106633202805</v>
      </c>
      <c r="I128" s="223">
        <v>2820</v>
      </c>
      <c r="J128" s="223">
        <v>10784.211248285323</v>
      </c>
      <c r="K128" s="219">
        <v>1.6967168336157572E-3</v>
      </c>
      <c r="L128" s="217"/>
      <c r="M128" s="217"/>
      <c r="N128" s="217"/>
      <c r="O128" s="217"/>
      <c r="P128" s="217"/>
      <c r="Q128" s="217"/>
      <c r="R128" s="217"/>
      <c r="S128" s="217"/>
      <c r="T128" s="217"/>
      <c r="U128" s="223">
        <v>81</v>
      </c>
      <c r="V128" s="223">
        <v>56</v>
      </c>
      <c r="W128" s="224">
        <v>0.69135802469135799</v>
      </c>
      <c r="X128" s="217"/>
      <c r="Y128" s="218">
        <v>4.1964285714285712</v>
      </c>
      <c r="Z128" s="218">
        <v>0.8220106633202805</v>
      </c>
      <c r="AA128" s="223">
        <v>2820</v>
      </c>
      <c r="AB128" s="223">
        <v>10784.211248285323</v>
      </c>
      <c r="AC128" s="219">
        <v>1.6285196966983771E-3</v>
      </c>
    </row>
    <row r="129" spans="1:29" ht="15" customHeight="1" x14ac:dyDescent="0.25">
      <c r="A129" s="88" t="s">
        <v>379</v>
      </c>
      <c r="B129" s="116" t="str">
        <f>VLOOKUP(A129,'0 Järjestäjätiedot'!A:H,2,FALSE)</f>
        <v>Hämeen ammatti-instituutti Oy</v>
      </c>
      <c r="C129" s="223">
        <v>247</v>
      </c>
      <c r="D129" s="223">
        <v>172</v>
      </c>
      <c r="E129" s="224">
        <v>0.69635627530364375</v>
      </c>
      <c r="F129" s="217"/>
      <c r="G129" s="218">
        <v>4.1812015503875966</v>
      </c>
      <c r="H129" s="218">
        <v>0.94986499962730442</v>
      </c>
      <c r="I129" s="223">
        <v>8630</v>
      </c>
      <c r="J129" s="223">
        <v>32983.768337458408</v>
      </c>
      <c r="K129" s="219">
        <v>5.1894490645429748E-3</v>
      </c>
      <c r="L129" s="223">
        <v>23</v>
      </c>
      <c r="M129" s="223">
        <v>9</v>
      </c>
      <c r="N129" s="224">
        <v>0.39130434782608697</v>
      </c>
      <c r="O129" s="217"/>
      <c r="P129" s="218">
        <v>4.0648148148148149</v>
      </c>
      <c r="Q129" s="218">
        <v>1.0909828065670717</v>
      </c>
      <c r="R129" s="223">
        <v>439</v>
      </c>
      <c r="S129" s="223">
        <v>547.53113185255199</v>
      </c>
      <c r="T129" s="219">
        <v>2.0571060101926258E-3</v>
      </c>
      <c r="U129" s="223">
        <v>270</v>
      </c>
      <c r="V129" s="223">
        <v>181</v>
      </c>
      <c r="W129" s="224">
        <v>0.67037037037037039</v>
      </c>
      <c r="X129" s="217"/>
      <c r="Y129" s="218">
        <v>4.1754143646408837</v>
      </c>
      <c r="Z129" s="218">
        <v>0.95770768921883076</v>
      </c>
      <c r="AA129" s="223">
        <v>16423.911663258143</v>
      </c>
      <c r="AB129" s="223">
        <v>33531.299469310958</v>
      </c>
      <c r="AC129" s="219">
        <v>5.0635489591644529E-3</v>
      </c>
    </row>
    <row r="130" spans="1:29" ht="15" customHeight="1" x14ac:dyDescent="0.25">
      <c r="A130" s="88" t="s">
        <v>310</v>
      </c>
      <c r="B130" s="116" t="str">
        <f>VLOOKUP(A130,'0 Järjestäjätiedot'!A:H,2,FALSE)</f>
        <v>Perho Liiketalousopisto Oy</v>
      </c>
      <c r="C130" s="223">
        <v>665</v>
      </c>
      <c r="D130" s="223">
        <v>572</v>
      </c>
      <c r="E130" s="224">
        <v>0.86015037593984967</v>
      </c>
      <c r="F130" s="217"/>
      <c r="G130" s="218">
        <v>4.2644230769230766</v>
      </c>
      <c r="H130" s="218">
        <v>0.91071964578588716</v>
      </c>
      <c r="I130" s="223">
        <v>29271</v>
      </c>
      <c r="J130" s="223">
        <v>102090.28846153845</v>
      </c>
      <c r="K130" s="219">
        <v>1.6062214193821759E-2</v>
      </c>
      <c r="L130" s="223">
        <v>80</v>
      </c>
      <c r="M130" s="223">
        <v>67</v>
      </c>
      <c r="N130" s="224">
        <v>0.83750000000000002</v>
      </c>
      <c r="O130" s="217"/>
      <c r="P130" s="218">
        <v>4.3544776119402986</v>
      </c>
      <c r="Q130" s="218">
        <v>0.92368898663248089</v>
      </c>
      <c r="R130" s="223">
        <v>3501</v>
      </c>
      <c r="S130" s="223">
        <v>4180.2985074626858</v>
      </c>
      <c r="T130" s="219">
        <v>1.5705622354303894E-2</v>
      </c>
      <c r="U130" s="223">
        <v>745</v>
      </c>
      <c r="V130" s="223">
        <v>639</v>
      </c>
      <c r="W130" s="224">
        <v>0.85771812080536913</v>
      </c>
      <c r="X130" s="217"/>
      <c r="Y130" s="218">
        <v>4.2738654147104853</v>
      </c>
      <c r="Z130" s="218">
        <v>0.91250532395013817</v>
      </c>
      <c r="AA130" s="223">
        <v>53251.159161542026</v>
      </c>
      <c r="AB130" s="223">
        <v>106270.58696900115</v>
      </c>
      <c r="AC130" s="219">
        <v>1.6047881488433675E-2</v>
      </c>
    </row>
    <row r="131" spans="1:29" ht="15" customHeight="1" x14ac:dyDescent="0.25">
      <c r="A131" s="88" t="s">
        <v>287</v>
      </c>
      <c r="B131" s="116" t="str">
        <f>VLOOKUP(A131,'0 Järjestäjätiedot'!A:H,2,FALSE)</f>
        <v>Suomen Diakoniaopisto - SDO Oy</v>
      </c>
      <c r="C131" s="223">
        <v>800</v>
      </c>
      <c r="D131" s="223">
        <v>502</v>
      </c>
      <c r="E131" s="224">
        <v>0.62749999999999995</v>
      </c>
      <c r="F131" s="217"/>
      <c r="G131" s="218">
        <v>4.2481848184818478</v>
      </c>
      <c r="H131" s="218">
        <v>0.96973423879686516</v>
      </c>
      <c r="I131" s="223">
        <v>25591.065346534655</v>
      </c>
      <c r="J131" s="223">
        <v>98320.298262066848</v>
      </c>
      <c r="K131" s="219">
        <v>1.5469068743798518E-2</v>
      </c>
      <c r="L131" s="223">
        <v>116</v>
      </c>
      <c r="M131" s="223">
        <v>22</v>
      </c>
      <c r="N131" s="224">
        <v>0.18965517241379309</v>
      </c>
      <c r="O131" s="217"/>
      <c r="P131" s="218">
        <v>4.3560606060606064</v>
      </c>
      <c r="Q131" s="218">
        <v>0.80840823543231066</v>
      </c>
      <c r="R131" s="223">
        <v>1150</v>
      </c>
      <c r="S131" s="223">
        <v>1322.1560084720572</v>
      </c>
      <c r="T131" s="219">
        <v>4.9674163042341792E-3</v>
      </c>
      <c r="U131" s="223">
        <v>916</v>
      </c>
      <c r="V131" s="223">
        <v>524</v>
      </c>
      <c r="W131" s="224">
        <v>0.57205240174672489</v>
      </c>
      <c r="X131" s="217"/>
      <c r="Y131" s="218">
        <v>4.252688172043011</v>
      </c>
      <c r="Z131" s="218">
        <v>0.96378151591359562</v>
      </c>
      <c r="AA131" s="223">
        <v>49191.223358021663</v>
      </c>
      <c r="AB131" s="223">
        <v>99642.454270538903</v>
      </c>
      <c r="AC131" s="219">
        <v>1.5046969655081694E-2</v>
      </c>
    </row>
    <row r="132" spans="1:29" ht="15" customHeight="1" x14ac:dyDescent="0.25">
      <c r="A132" s="88" t="s">
        <v>404</v>
      </c>
      <c r="B132" s="116" t="str">
        <f>VLOOKUP(A132,'0 Järjestäjätiedot'!A:H,2,FALSE)</f>
        <v>Ammattiopisto Spesia Oy</v>
      </c>
      <c r="C132" s="223">
        <v>183</v>
      </c>
      <c r="D132" s="223">
        <v>153</v>
      </c>
      <c r="E132" s="224">
        <v>0.83606557377049184</v>
      </c>
      <c r="F132" s="217"/>
      <c r="G132" s="218">
        <v>4.4907407407407405</v>
      </c>
      <c r="H132" s="218">
        <v>0.76156393401676636</v>
      </c>
      <c r="I132" s="223">
        <v>8245</v>
      </c>
      <c r="J132" s="223">
        <v>29585</v>
      </c>
      <c r="K132" s="219">
        <v>4.6547092195086126E-3</v>
      </c>
      <c r="L132" s="223">
        <v>14</v>
      </c>
      <c r="M132" s="223">
        <v>7</v>
      </c>
      <c r="N132" s="224">
        <v>0.5</v>
      </c>
      <c r="O132" s="217"/>
      <c r="P132" s="218">
        <v>3.8571428571428572</v>
      </c>
      <c r="Q132" s="218">
        <v>0.95297600458045217</v>
      </c>
      <c r="R132" s="223">
        <v>324</v>
      </c>
      <c r="S132" s="223">
        <v>412.59375</v>
      </c>
      <c r="T132" s="219">
        <v>1.5501384917076797E-3</v>
      </c>
      <c r="U132" s="223">
        <v>197</v>
      </c>
      <c r="V132" s="223">
        <v>160</v>
      </c>
      <c r="W132" s="224">
        <v>0.81218274111675126</v>
      </c>
      <c r="X132" s="217"/>
      <c r="Y132" s="218">
        <v>4.4630208333333332</v>
      </c>
      <c r="Z132" s="218">
        <v>0.78174966660219447</v>
      </c>
      <c r="AA132" s="223">
        <v>15704.03140625</v>
      </c>
      <c r="AB132" s="223">
        <v>29997.59375</v>
      </c>
      <c r="AC132" s="219">
        <v>4.5299253835739258E-3</v>
      </c>
    </row>
    <row r="133" spans="1:29" ht="15" customHeight="1" x14ac:dyDescent="0.25">
      <c r="A133" s="88" t="s">
        <v>237</v>
      </c>
      <c r="B133" s="116" t="str">
        <f>VLOOKUP(A133,'0 Järjestäjätiedot'!A:H,2,FALSE)</f>
        <v>Careeria Oy</v>
      </c>
      <c r="C133" s="223">
        <v>1443</v>
      </c>
      <c r="D133" s="223">
        <v>931</v>
      </c>
      <c r="E133" s="224">
        <v>0.64518364518364524</v>
      </c>
      <c r="F133" s="217"/>
      <c r="G133" s="218">
        <v>4.2803437164339417</v>
      </c>
      <c r="H133" s="218">
        <v>0.97323488079787712</v>
      </c>
      <c r="I133" s="223">
        <v>47820</v>
      </c>
      <c r="J133" s="223">
        <v>183579.31058227186</v>
      </c>
      <c r="K133" s="219">
        <v>2.8883160705706807E-2</v>
      </c>
      <c r="L133" s="223">
        <v>501</v>
      </c>
      <c r="M133" s="223">
        <v>373</v>
      </c>
      <c r="N133" s="224">
        <v>0.7445109780439122</v>
      </c>
      <c r="O133" s="217"/>
      <c r="P133" s="218">
        <v>4.1163985701519215</v>
      </c>
      <c r="Q133" s="218">
        <v>1.0323581057359617</v>
      </c>
      <c r="R133" s="223">
        <v>18425</v>
      </c>
      <c r="S133" s="223">
        <v>23306.4241682553</v>
      </c>
      <c r="T133" s="219">
        <v>8.7563578477082321E-2</v>
      </c>
      <c r="U133" s="223">
        <v>1944</v>
      </c>
      <c r="V133" s="223">
        <v>1304</v>
      </c>
      <c r="W133" s="224">
        <v>0.67078189300411528</v>
      </c>
      <c r="X133" s="217"/>
      <c r="Y133" s="218">
        <v>4.2334483640081801</v>
      </c>
      <c r="Z133" s="218">
        <v>0.99327406823813491</v>
      </c>
      <c r="AA133" s="223">
        <v>78375.154138751939</v>
      </c>
      <c r="AB133" s="223">
        <v>206885.73475052716</v>
      </c>
      <c r="AC133" s="219">
        <v>3.1241737225865162E-2</v>
      </c>
    </row>
    <row r="134" spans="1:29" ht="15" customHeight="1" x14ac:dyDescent="0.25">
      <c r="A134" s="88" t="s">
        <v>585</v>
      </c>
      <c r="B134" s="116" t="str">
        <f>VLOOKUP(A134,'0 Järjestäjätiedot'!A:H,2,FALSE)</f>
        <v>Turun musiikinopetus Oy</v>
      </c>
      <c r="C134" s="223">
        <v>35</v>
      </c>
      <c r="D134" s="223">
        <v>14</v>
      </c>
      <c r="E134" s="224">
        <v>0.4</v>
      </c>
      <c r="F134" s="217"/>
      <c r="G134" s="218">
        <v>4.2380952380952381</v>
      </c>
      <c r="H134" s="218">
        <v>0.68346190925748929</v>
      </c>
      <c r="I134" s="223">
        <v>712</v>
      </c>
      <c r="J134" s="223">
        <v>2670</v>
      </c>
      <c r="K134" s="219">
        <v>4.2008023038999476E-4</v>
      </c>
      <c r="L134" s="217"/>
      <c r="M134" s="217"/>
      <c r="N134" s="217"/>
      <c r="O134" s="217"/>
      <c r="P134" s="217"/>
      <c r="Q134" s="217"/>
      <c r="R134" s="217"/>
      <c r="S134" s="217"/>
      <c r="T134" s="217"/>
      <c r="U134" s="223">
        <v>35</v>
      </c>
      <c r="V134" s="223">
        <v>14</v>
      </c>
      <c r="W134" s="224">
        <v>0.4</v>
      </c>
      <c r="X134" s="217"/>
      <c r="Y134" s="218">
        <v>4.2380952380952381</v>
      </c>
      <c r="Z134" s="218">
        <v>0.68346190925748929</v>
      </c>
      <c r="AA134" s="223">
        <v>712</v>
      </c>
      <c r="AB134" s="223">
        <v>2670</v>
      </c>
      <c r="AC134" s="219">
        <v>4.0319569879308673E-4</v>
      </c>
    </row>
    <row r="135" spans="1:29" ht="15" customHeight="1" x14ac:dyDescent="0.25">
      <c r="A135" s="88" t="s">
        <v>583</v>
      </c>
      <c r="B135" s="116" t="str">
        <f>VLOOKUP(A135,'0 Järjestäjätiedot'!A:H,2,FALSE)</f>
        <v>AEL-Amiedu Oy</v>
      </c>
      <c r="C135" s="223">
        <v>969</v>
      </c>
      <c r="D135" s="223">
        <v>402</v>
      </c>
      <c r="E135" s="224">
        <v>0.4148606811145511</v>
      </c>
      <c r="F135" s="217"/>
      <c r="G135" s="218">
        <v>4.1658415841584162</v>
      </c>
      <c r="H135" s="218">
        <v>1.0200813084722782</v>
      </c>
      <c r="I135" s="223">
        <v>20096.019801980197</v>
      </c>
      <c r="J135" s="223">
        <v>75629.648198639319</v>
      </c>
      <c r="K135" s="219">
        <v>1.1899071175879648E-2</v>
      </c>
      <c r="L135" s="223">
        <v>301</v>
      </c>
      <c r="M135" s="223">
        <v>111</v>
      </c>
      <c r="N135" s="224">
        <v>0.3687707641196013</v>
      </c>
      <c r="O135" s="217"/>
      <c r="P135" s="218">
        <v>4.0176553672316384</v>
      </c>
      <c r="Q135" s="218">
        <v>1.0631735538104969</v>
      </c>
      <c r="R135" s="223">
        <v>5351.516949152543</v>
      </c>
      <c r="S135" s="223">
        <v>6633.0925441312675</v>
      </c>
      <c r="T135" s="219">
        <v>2.4920910875933285E-2</v>
      </c>
      <c r="U135" s="223">
        <v>1270</v>
      </c>
      <c r="V135" s="223">
        <v>513</v>
      </c>
      <c r="W135" s="224">
        <v>0.40393700787401576</v>
      </c>
      <c r="X135" s="217"/>
      <c r="Y135" s="218">
        <v>4.1323435504469987</v>
      </c>
      <c r="Z135" s="218">
        <v>1.0318435061487106</v>
      </c>
      <c r="AA135" s="223">
        <v>33344.877570793149</v>
      </c>
      <c r="AB135" s="223">
        <v>82262.740742770591</v>
      </c>
      <c r="AC135" s="219">
        <v>1.2422465632365511E-2</v>
      </c>
    </row>
    <row r="136" spans="1:29" ht="15" customHeight="1" x14ac:dyDescent="0.25">
      <c r="A136" s="39" t="s">
        <v>21</v>
      </c>
      <c r="B136" s="39"/>
      <c r="C136" s="225">
        <v>65849</v>
      </c>
      <c r="D136" s="225">
        <v>33723</v>
      </c>
      <c r="E136" s="226">
        <v>0.51212622818873488</v>
      </c>
      <c r="F136" s="220"/>
      <c r="G136" s="221">
        <v>4.1773256384586697</v>
      </c>
      <c r="H136" s="221">
        <v>0.97810501202141831</v>
      </c>
      <c r="I136" s="225">
        <v>1690144.3960256791</v>
      </c>
      <c r="J136" s="225">
        <v>6355928.717524319</v>
      </c>
      <c r="K136" s="222">
        <v>1</v>
      </c>
      <c r="L136" s="225">
        <v>12136</v>
      </c>
      <c r="M136" s="225">
        <v>4405</v>
      </c>
      <c r="N136" s="226">
        <v>0.36296967699406724</v>
      </c>
      <c r="O136" s="220"/>
      <c r="P136" s="221">
        <v>4.0971913443011712</v>
      </c>
      <c r="Q136" s="221">
        <v>1.054609169487329</v>
      </c>
      <c r="R136" s="225">
        <v>216624.00129595754</v>
      </c>
      <c r="S136" s="225">
        <v>266165.7343567246</v>
      </c>
      <c r="T136" s="222">
        <v>1</v>
      </c>
      <c r="U136" s="225">
        <v>77985</v>
      </c>
      <c r="V136" s="225">
        <v>38128</v>
      </c>
      <c r="W136" s="226">
        <v>0.48891453484644481</v>
      </c>
      <c r="X136" s="220"/>
      <c r="Y136" s="221">
        <v>4.1679537181487261</v>
      </c>
      <c r="Z136" s="221">
        <v>0.98769430079993847</v>
      </c>
      <c r="AA136" s="225">
        <v>3042371.6396591724</v>
      </c>
      <c r="AB136" s="225">
        <v>6622094.4518810436</v>
      </c>
      <c r="AC136" s="222">
        <v>1</v>
      </c>
    </row>
    <row r="137" spans="1:29" x14ac:dyDescent="0.25">
      <c r="C137" s="10"/>
      <c r="D137" s="10"/>
      <c r="E137" s="10"/>
      <c r="F137" s="10"/>
      <c r="G137" s="10"/>
      <c r="H137" s="10"/>
      <c r="I137" s="10"/>
      <c r="J137" s="10"/>
      <c r="K137" s="10"/>
      <c r="N137" s="10"/>
      <c r="O137" s="10"/>
      <c r="P137" s="10"/>
      <c r="Q137" s="10"/>
      <c r="R137" s="10"/>
      <c r="S137" s="10"/>
      <c r="T137" s="10"/>
      <c r="U137" s="10"/>
      <c r="V137" s="10"/>
      <c r="W137" s="10"/>
      <c r="X137" s="10"/>
      <c r="Y137" s="10"/>
      <c r="Z137" s="10"/>
      <c r="AA137" s="10"/>
      <c r="AB137" s="10"/>
      <c r="AC137" s="10"/>
    </row>
    <row r="138" spans="1:29" x14ac:dyDescent="0.25">
      <c r="A138" t="s">
        <v>645</v>
      </c>
      <c r="Y138" s="162"/>
    </row>
    <row r="139" spans="1:29" x14ac:dyDescent="0.25">
      <c r="A139" s="193" t="s">
        <v>650</v>
      </c>
      <c r="Y139" s="162"/>
    </row>
  </sheetData>
  <mergeCells count="11">
    <mergeCell ref="U5:U6"/>
    <mergeCell ref="V5:V6"/>
    <mergeCell ref="C5:K5"/>
    <mergeCell ref="L5:T5"/>
    <mergeCell ref="AA5:AA6"/>
    <mergeCell ref="AB5:AB6"/>
    <mergeCell ref="AC5:AC6"/>
    <mergeCell ref="W5:W6"/>
    <mergeCell ref="X5:X6"/>
    <mergeCell ref="Y5:Y6"/>
    <mergeCell ref="Z5:Z6"/>
  </mergeCells>
  <hyperlinks>
    <hyperlink ref="A139" r:id="rId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4"/>
  <sheetViews>
    <sheetView zoomScale="90" zoomScaleNormal="90" workbookViewId="0"/>
  </sheetViews>
  <sheetFormatPr defaultRowHeight="15" x14ac:dyDescent="0.25"/>
  <cols>
    <col min="1" max="1" width="39.7109375" bestFit="1" customWidth="1"/>
    <col min="2" max="2" width="39.7109375" customWidth="1"/>
    <col min="3" max="3" width="39.7109375" bestFit="1" customWidth="1"/>
    <col min="4" max="4" width="29.42578125" bestFit="1" customWidth="1"/>
  </cols>
  <sheetData>
    <row r="1" spans="1:4" x14ac:dyDescent="0.25">
      <c r="A1" t="s">
        <v>418</v>
      </c>
      <c r="C1" s="146" t="s">
        <v>471</v>
      </c>
      <c r="D1" s="129" t="s">
        <v>598</v>
      </c>
    </row>
    <row r="2" spans="1:4" x14ac:dyDescent="0.25">
      <c r="C2" s="146" t="s">
        <v>479</v>
      </c>
    </row>
    <row r="3" spans="1:4" x14ac:dyDescent="0.25">
      <c r="A3" s="147" t="s">
        <v>480</v>
      </c>
      <c r="B3" s="148" t="s">
        <v>21</v>
      </c>
      <c r="C3" s="149">
        <f>SUM(C5:C105)</f>
        <v>30452666.070000019</v>
      </c>
    </row>
    <row r="4" spans="1:4" x14ac:dyDescent="0.25">
      <c r="A4" s="150" t="s">
        <v>409</v>
      </c>
      <c r="B4" s="151" t="s">
        <v>408</v>
      </c>
      <c r="C4" s="152" t="s">
        <v>481</v>
      </c>
    </row>
    <row r="5" spans="1:4" x14ac:dyDescent="0.25">
      <c r="A5" s="153" t="s">
        <v>406</v>
      </c>
      <c r="B5" s="153" t="s">
        <v>482</v>
      </c>
      <c r="C5" s="149">
        <v>383470.83</v>
      </c>
    </row>
    <row r="6" spans="1:4" x14ac:dyDescent="0.25">
      <c r="A6" s="154" t="s">
        <v>403</v>
      </c>
      <c r="B6" s="154" t="s">
        <v>483</v>
      </c>
      <c r="C6" s="155">
        <v>45032.33</v>
      </c>
    </row>
    <row r="7" spans="1:4" x14ac:dyDescent="0.25">
      <c r="A7" s="154" t="s">
        <v>405</v>
      </c>
      <c r="B7" s="154" t="s">
        <v>484</v>
      </c>
      <c r="C7" s="155">
        <v>111638</v>
      </c>
    </row>
    <row r="8" spans="1:4" x14ac:dyDescent="0.25">
      <c r="A8" s="154" t="s">
        <v>588</v>
      </c>
      <c r="B8" s="154" t="s">
        <v>485</v>
      </c>
      <c r="C8" s="155">
        <v>655804.36</v>
      </c>
    </row>
    <row r="9" spans="1:4" x14ac:dyDescent="0.25">
      <c r="A9" s="154" t="s">
        <v>587</v>
      </c>
      <c r="B9" s="154" t="s">
        <v>486</v>
      </c>
      <c r="C9" s="155">
        <v>602460.27</v>
      </c>
    </row>
    <row r="10" spans="1:4" x14ac:dyDescent="0.25">
      <c r="A10" s="154" t="s">
        <v>404</v>
      </c>
      <c r="B10" s="154" t="s">
        <v>487</v>
      </c>
      <c r="C10" s="155">
        <v>2068624.1300000001</v>
      </c>
    </row>
    <row r="11" spans="1:4" x14ac:dyDescent="0.25">
      <c r="A11" s="154" t="s">
        <v>402</v>
      </c>
      <c r="B11" s="154" t="s">
        <v>488</v>
      </c>
      <c r="C11" s="155">
        <v>37781.120000000003</v>
      </c>
    </row>
    <row r="12" spans="1:4" x14ac:dyDescent="0.25">
      <c r="A12" s="154" t="s">
        <v>401</v>
      </c>
      <c r="B12" s="154" t="s">
        <v>489</v>
      </c>
      <c r="C12" s="155">
        <v>1127737.58</v>
      </c>
    </row>
    <row r="13" spans="1:4" x14ac:dyDescent="0.25">
      <c r="A13" s="154" t="s">
        <v>395</v>
      </c>
      <c r="B13" s="154" t="s">
        <v>490</v>
      </c>
      <c r="C13" s="155">
        <v>1602121.11</v>
      </c>
    </row>
    <row r="14" spans="1:4" x14ac:dyDescent="0.25">
      <c r="A14" s="154" t="s">
        <v>394</v>
      </c>
      <c r="B14" s="154" t="s">
        <v>491</v>
      </c>
      <c r="C14" s="155">
        <v>7870</v>
      </c>
    </row>
    <row r="15" spans="1:4" x14ac:dyDescent="0.25">
      <c r="A15" s="154" t="s">
        <v>393</v>
      </c>
      <c r="B15" s="154" t="s">
        <v>492</v>
      </c>
      <c r="C15" s="155">
        <v>188861.13</v>
      </c>
    </row>
    <row r="16" spans="1:4" x14ac:dyDescent="0.25">
      <c r="A16" s="154" t="s">
        <v>392</v>
      </c>
      <c r="B16" s="154" t="s">
        <v>493</v>
      </c>
      <c r="C16" s="155">
        <v>103017.15</v>
      </c>
    </row>
    <row r="17" spans="1:3" x14ac:dyDescent="0.25">
      <c r="A17" s="154" t="s">
        <v>389</v>
      </c>
      <c r="B17" s="154" t="s">
        <v>494</v>
      </c>
      <c r="C17" s="155">
        <v>69681.899999999994</v>
      </c>
    </row>
    <row r="18" spans="1:3" x14ac:dyDescent="0.25">
      <c r="A18" s="154" t="s">
        <v>388</v>
      </c>
      <c r="B18" s="154" t="s">
        <v>495</v>
      </c>
      <c r="C18" s="155">
        <v>217386.24000000002</v>
      </c>
    </row>
    <row r="19" spans="1:3" x14ac:dyDescent="0.25">
      <c r="A19" s="154" t="s">
        <v>387</v>
      </c>
      <c r="B19" s="154" t="s">
        <v>496</v>
      </c>
      <c r="C19" s="155">
        <v>4366.3599999999997</v>
      </c>
    </row>
    <row r="20" spans="1:3" x14ac:dyDescent="0.25">
      <c r="A20" s="154" t="s">
        <v>382</v>
      </c>
      <c r="B20" s="154" t="s">
        <v>497</v>
      </c>
      <c r="C20" s="155">
        <v>23777.62</v>
      </c>
    </row>
    <row r="21" spans="1:3" x14ac:dyDescent="0.25">
      <c r="A21" s="154" t="s">
        <v>385</v>
      </c>
      <c r="B21" s="154" t="s">
        <v>498</v>
      </c>
      <c r="C21" s="155">
        <v>1190790.1399999999</v>
      </c>
    </row>
    <row r="22" spans="1:3" x14ac:dyDescent="0.25">
      <c r="A22" s="154" t="s">
        <v>384</v>
      </c>
      <c r="B22" s="154" t="s">
        <v>499</v>
      </c>
      <c r="C22" s="155">
        <v>2247544.9299999997</v>
      </c>
    </row>
    <row r="23" spans="1:3" x14ac:dyDescent="0.25">
      <c r="A23" s="154" t="s">
        <v>383</v>
      </c>
      <c r="B23" s="154" t="s">
        <v>500</v>
      </c>
      <c r="C23" s="155">
        <v>281160.74</v>
      </c>
    </row>
    <row r="24" spans="1:3" x14ac:dyDescent="0.25">
      <c r="A24" s="154" t="s">
        <v>380</v>
      </c>
      <c r="B24" s="154" t="s">
        <v>501</v>
      </c>
      <c r="C24" s="155">
        <v>1652191.05</v>
      </c>
    </row>
    <row r="25" spans="1:3" x14ac:dyDescent="0.25">
      <c r="A25" s="154" t="s">
        <v>379</v>
      </c>
      <c r="B25" s="154" t="s">
        <v>502</v>
      </c>
      <c r="C25" s="155">
        <v>410320.31</v>
      </c>
    </row>
    <row r="26" spans="1:3" x14ac:dyDescent="0.25">
      <c r="A26" s="154" t="s">
        <v>378</v>
      </c>
      <c r="B26" s="154" t="s">
        <v>503</v>
      </c>
      <c r="C26" s="190">
        <v>1247566.1100000001</v>
      </c>
    </row>
    <row r="27" spans="1:3" x14ac:dyDescent="0.25">
      <c r="A27" s="154" t="s">
        <v>377</v>
      </c>
      <c r="B27" s="154" t="s">
        <v>504</v>
      </c>
      <c r="C27" s="190">
        <v>30815</v>
      </c>
    </row>
    <row r="28" spans="1:3" x14ac:dyDescent="0.25">
      <c r="A28" s="154" t="s">
        <v>375</v>
      </c>
      <c r="B28" s="154" t="s">
        <v>505</v>
      </c>
      <c r="C28" s="190">
        <v>21708.23</v>
      </c>
    </row>
    <row r="29" spans="1:3" x14ac:dyDescent="0.25">
      <c r="A29" s="154" t="s">
        <v>470</v>
      </c>
      <c r="B29" s="154" t="s">
        <v>506</v>
      </c>
      <c r="C29" s="190">
        <v>1032593.92</v>
      </c>
    </row>
    <row r="30" spans="1:3" x14ac:dyDescent="0.25">
      <c r="A30" s="154" t="s">
        <v>370</v>
      </c>
      <c r="B30" s="154" t="s">
        <v>507</v>
      </c>
      <c r="C30" s="190">
        <v>39291</v>
      </c>
    </row>
    <row r="31" spans="1:3" x14ac:dyDescent="0.25">
      <c r="A31" s="154" t="s">
        <v>374</v>
      </c>
      <c r="B31" s="154" t="s">
        <v>508</v>
      </c>
      <c r="C31" s="190">
        <v>8663.2200000000012</v>
      </c>
    </row>
    <row r="32" spans="1:3" x14ac:dyDescent="0.25">
      <c r="A32" s="154" t="s">
        <v>373</v>
      </c>
      <c r="B32" s="154" t="s">
        <v>509</v>
      </c>
      <c r="C32" s="190">
        <v>69443.05</v>
      </c>
    </row>
    <row r="33" spans="1:3" x14ac:dyDescent="0.25">
      <c r="A33" s="154" t="s">
        <v>366</v>
      </c>
      <c r="B33" s="154" t="s">
        <v>510</v>
      </c>
      <c r="C33" s="190">
        <v>27175.200000000001</v>
      </c>
    </row>
    <row r="34" spans="1:3" x14ac:dyDescent="0.25">
      <c r="A34" s="154" t="s">
        <v>365</v>
      </c>
      <c r="B34" s="154" t="s">
        <v>511</v>
      </c>
      <c r="C34" s="190">
        <v>42224.95</v>
      </c>
    </row>
    <row r="35" spans="1:3" x14ac:dyDescent="0.25">
      <c r="A35" s="154" t="s">
        <v>362</v>
      </c>
      <c r="B35" s="154" t="s">
        <v>512</v>
      </c>
      <c r="C35" s="190">
        <v>414460.94</v>
      </c>
    </row>
    <row r="36" spans="1:3" x14ac:dyDescent="0.25">
      <c r="A36" s="154" t="s">
        <v>361</v>
      </c>
      <c r="B36" s="154" t="s">
        <v>513</v>
      </c>
      <c r="C36" s="190">
        <v>33708.32</v>
      </c>
    </row>
    <row r="37" spans="1:3" x14ac:dyDescent="0.25">
      <c r="A37" s="154" t="s">
        <v>360</v>
      </c>
      <c r="B37" s="154" t="s">
        <v>514</v>
      </c>
      <c r="C37" s="190">
        <v>37375.14</v>
      </c>
    </row>
    <row r="38" spans="1:3" x14ac:dyDescent="0.25">
      <c r="A38" s="154" t="s">
        <v>345</v>
      </c>
      <c r="B38" s="154" t="s">
        <v>515</v>
      </c>
      <c r="C38" s="190">
        <v>16009.52</v>
      </c>
    </row>
    <row r="39" spans="1:3" x14ac:dyDescent="0.25">
      <c r="A39" s="154" t="s">
        <v>358</v>
      </c>
      <c r="B39" s="154" t="s">
        <v>516</v>
      </c>
      <c r="C39" s="190">
        <v>293758.75</v>
      </c>
    </row>
    <row r="40" spans="1:3" x14ac:dyDescent="0.25">
      <c r="A40" s="154" t="s">
        <v>357</v>
      </c>
      <c r="B40" s="154" t="s">
        <v>517</v>
      </c>
      <c r="C40" s="190">
        <v>645158.78</v>
      </c>
    </row>
    <row r="41" spans="1:3" x14ac:dyDescent="0.25">
      <c r="A41" s="154" t="s">
        <v>356</v>
      </c>
      <c r="B41" s="154" t="s">
        <v>518</v>
      </c>
      <c r="C41" s="190">
        <v>552450.67000000004</v>
      </c>
    </row>
    <row r="42" spans="1:3" x14ac:dyDescent="0.25">
      <c r="A42" s="154" t="s">
        <v>355</v>
      </c>
      <c r="B42" s="154" t="s">
        <v>519</v>
      </c>
      <c r="C42" s="190">
        <v>14970.28</v>
      </c>
    </row>
    <row r="43" spans="1:3" x14ac:dyDescent="0.25">
      <c r="A43" s="154" t="s">
        <v>354</v>
      </c>
      <c r="B43" s="154" t="s">
        <v>520</v>
      </c>
      <c r="C43" s="190">
        <v>6907.55</v>
      </c>
    </row>
    <row r="44" spans="1:3" x14ac:dyDescent="0.25">
      <c r="A44" s="154" t="s">
        <v>353</v>
      </c>
      <c r="B44" s="154" t="s">
        <v>521</v>
      </c>
      <c r="C44" s="190">
        <v>26587.46</v>
      </c>
    </row>
    <row r="45" spans="1:3" x14ac:dyDescent="0.25">
      <c r="A45" s="154" t="s">
        <v>352</v>
      </c>
      <c r="B45" s="154" t="s">
        <v>522</v>
      </c>
      <c r="C45" s="190">
        <v>42648.33</v>
      </c>
    </row>
    <row r="46" spans="1:3" x14ac:dyDescent="0.25">
      <c r="A46" s="154" t="s">
        <v>351</v>
      </c>
      <c r="B46" s="154" t="s">
        <v>523</v>
      </c>
      <c r="C46" s="190">
        <v>40748.75</v>
      </c>
    </row>
    <row r="47" spans="1:3" x14ac:dyDescent="0.25">
      <c r="A47" s="154" t="s">
        <v>347</v>
      </c>
      <c r="B47" s="154" t="s">
        <v>524</v>
      </c>
      <c r="C47" s="190">
        <v>145403.82</v>
      </c>
    </row>
    <row r="48" spans="1:3" x14ac:dyDescent="0.25">
      <c r="A48" s="154" t="s">
        <v>342</v>
      </c>
      <c r="B48" s="154" t="s">
        <v>525</v>
      </c>
      <c r="C48" s="190">
        <v>27483.71</v>
      </c>
    </row>
    <row r="49" spans="1:3" x14ac:dyDescent="0.25">
      <c r="A49" s="154" t="s">
        <v>341</v>
      </c>
      <c r="B49" s="154" t="s">
        <v>526</v>
      </c>
      <c r="C49" s="190">
        <v>13349.19</v>
      </c>
    </row>
    <row r="50" spans="1:3" x14ac:dyDescent="0.25">
      <c r="A50" s="154" t="s">
        <v>340</v>
      </c>
      <c r="B50" s="154" t="s">
        <v>527</v>
      </c>
      <c r="C50" s="190">
        <v>57260</v>
      </c>
    </row>
    <row r="51" spans="1:3" x14ac:dyDescent="0.25">
      <c r="A51" s="154" t="s">
        <v>339</v>
      </c>
      <c r="B51" s="154" t="s">
        <v>528</v>
      </c>
      <c r="C51" s="190">
        <v>142721.46</v>
      </c>
    </row>
    <row r="52" spans="1:3" x14ac:dyDescent="0.25">
      <c r="A52" s="154" t="s">
        <v>336</v>
      </c>
      <c r="B52" s="154" t="s">
        <v>529</v>
      </c>
      <c r="C52" s="190">
        <v>1295.8699999999999</v>
      </c>
    </row>
    <row r="53" spans="1:3" x14ac:dyDescent="0.25">
      <c r="A53" s="154" t="s">
        <v>335</v>
      </c>
      <c r="B53" s="154" t="s">
        <v>530</v>
      </c>
      <c r="C53" s="190">
        <v>11248.59</v>
      </c>
    </row>
    <row r="54" spans="1:3" x14ac:dyDescent="0.25">
      <c r="A54" s="154" t="s">
        <v>329</v>
      </c>
      <c r="B54" s="154" t="s">
        <v>531</v>
      </c>
      <c r="C54" s="190">
        <v>3092462.53</v>
      </c>
    </row>
    <row r="55" spans="1:3" x14ac:dyDescent="0.25">
      <c r="A55" s="154" t="s">
        <v>328</v>
      </c>
      <c r="B55" s="154" t="s">
        <v>532</v>
      </c>
      <c r="C55" s="190">
        <v>12683.2</v>
      </c>
    </row>
    <row r="56" spans="1:3" x14ac:dyDescent="0.25">
      <c r="A56" s="154" t="s">
        <v>327</v>
      </c>
      <c r="B56" s="154" t="s">
        <v>533</v>
      </c>
      <c r="C56" s="190">
        <v>80404.460000000006</v>
      </c>
    </row>
    <row r="57" spans="1:3" x14ac:dyDescent="0.25">
      <c r="A57" s="154" t="s">
        <v>323</v>
      </c>
      <c r="B57" s="154" t="s">
        <v>534</v>
      </c>
      <c r="C57" s="190">
        <v>173884</v>
      </c>
    </row>
    <row r="58" spans="1:3" x14ac:dyDescent="0.25">
      <c r="A58" s="154" t="s">
        <v>589</v>
      </c>
      <c r="B58" s="154" t="s">
        <v>535</v>
      </c>
      <c r="C58" s="190">
        <v>655346</v>
      </c>
    </row>
    <row r="59" spans="1:3" x14ac:dyDescent="0.25">
      <c r="A59" s="154" t="s">
        <v>325</v>
      </c>
      <c r="B59" s="154" t="s">
        <v>536</v>
      </c>
      <c r="C59" s="190">
        <v>102812.53</v>
      </c>
    </row>
    <row r="60" spans="1:3" x14ac:dyDescent="0.25">
      <c r="A60" s="154" t="s">
        <v>321</v>
      </c>
      <c r="B60" s="154" t="s">
        <v>537</v>
      </c>
      <c r="C60" s="190">
        <v>0</v>
      </c>
    </row>
    <row r="61" spans="1:3" x14ac:dyDescent="0.25">
      <c r="A61" s="154" t="s">
        <v>320</v>
      </c>
      <c r="B61" s="154" t="s">
        <v>538</v>
      </c>
      <c r="C61" s="190">
        <v>15918</v>
      </c>
    </row>
    <row r="62" spans="1:3" x14ac:dyDescent="0.25">
      <c r="A62" s="154" t="s">
        <v>469</v>
      </c>
      <c r="B62" s="154" t="s">
        <v>539</v>
      </c>
      <c r="C62" s="190">
        <v>382390</v>
      </c>
    </row>
    <row r="63" spans="1:3" x14ac:dyDescent="0.25">
      <c r="A63" s="154" t="s">
        <v>314</v>
      </c>
      <c r="B63" s="154" t="s">
        <v>540</v>
      </c>
      <c r="C63" s="190">
        <v>43902</v>
      </c>
    </row>
    <row r="64" spans="1:3" x14ac:dyDescent="0.25">
      <c r="A64" s="154" t="s">
        <v>313</v>
      </c>
      <c r="B64" s="154" t="s">
        <v>541</v>
      </c>
      <c r="C64" s="190">
        <v>36565.769999999997</v>
      </c>
    </row>
    <row r="65" spans="1:3" x14ac:dyDescent="0.25">
      <c r="A65" s="154" t="s">
        <v>312</v>
      </c>
      <c r="B65" s="154" t="s">
        <v>542</v>
      </c>
      <c r="C65" s="190">
        <v>22452.6</v>
      </c>
    </row>
    <row r="66" spans="1:3" x14ac:dyDescent="0.25">
      <c r="A66" s="154" t="s">
        <v>310</v>
      </c>
      <c r="B66" s="154" t="s">
        <v>543</v>
      </c>
      <c r="C66" s="190">
        <v>716009.88</v>
      </c>
    </row>
    <row r="67" spans="1:3" x14ac:dyDescent="0.25">
      <c r="A67" s="154" t="s">
        <v>309</v>
      </c>
      <c r="B67" s="154" t="s">
        <v>544</v>
      </c>
      <c r="C67" s="190">
        <v>62432.75</v>
      </c>
    </row>
    <row r="68" spans="1:3" x14ac:dyDescent="0.25">
      <c r="A68" s="154" t="s">
        <v>306</v>
      </c>
      <c r="B68" s="154" t="s">
        <v>545</v>
      </c>
      <c r="C68" s="190">
        <v>53995</v>
      </c>
    </row>
    <row r="69" spans="1:3" x14ac:dyDescent="0.25">
      <c r="A69" s="154" t="s">
        <v>305</v>
      </c>
      <c r="B69" s="154" t="s">
        <v>546</v>
      </c>
      <c r="C69" s="190">
        <v>32805</v>
      </c>
    </row>
    <row r="70" spans="1:3" x14ac:dyDescent="0.25">
      <c r="A70" s="154" t="s">
        <v>304</v>
      </c>
      <c r="B70" s="154" t="s">
        <v>547</v>
      </c>
      <c r="C70" s="190">
        <v>50351.92</v>
      </c>
    </row>
    <row r="71" spans="1:3" x14ac:dyDescent="0.25">
      <c r="A71" s="154" t="s">
        <v>308</v>
      </c>
      <c r="B71" s="154" t="s">
        <v>548</v>
      </c>
      <c r="C71" s="190">
        <v>0</v>
      </c>
    </row>
    <row r="72" spans="1:3" x14ac:dyDescent="0.25">
      <c r="A72" s="154" t="s">
        <v>307</v>
      </c>
      <c r="B72" s="154" t="s">
        <v>549</v>
      </c>
      <c r="C72" s="190">
        <v>28996.1</v>
      </c>
    </row>
    <row r="73" spans="1:3" x14ac:dyDescent="0.25">
      <c r="A73" s="154" t="s">
        <v>302</v>
      </c>
      <c r="B73" s="154" t="s">
        <v>550</v>
      </c>
      <c r="C73" s="190">
        <v>48274.06</v>
      </c>
    </row>
    <row r="74" spans="1:3" x14ac:dyDescent="0.25">
      <c r="A74" s="154" t="s">
        <v>300</v>
      </c>
      <c r="B74" s="154" t="s">
        <v>551</v>
      </c>
      <c r="C74" s="190">
        <v>155495.20000000001</v>
      </c>
    </row>
    <row r="75" spans="1:3" x14ac:dyDescent="0.25">
      <c r="A75" s="154" t="s">
        <v>590</v>
      </c>
      <c r="B75" s="154" t="s">
        <v>552</v>
      </c>
      <c r="C75" s="190">
        <v>515686</v>
      </c>
    </row>
    <row r="76" spans="1:3" x14ac:dyDescent="0.25">
      <c r="A76" s="154" t="s">
        <v>299</v>
      </c>
      <c r="B76" s="154" t="s">
        <v>553</v>
      </c>
      <c r="C76" s="190">
        <v>7726.41</v>
      </c>
    </row>
    <row r="77" spans="1:3" x14ac:dyDescent="0.25">
      <c r="A77" s="154" t="s">
        <v>297</v>
      </c>
      <c r="B77" s="154" t="s">
        <v>554</v>
      </c>
      <c r="C77" s="190">
        <v>4179.8900000000003</v>
      </c>
    </row>
    <row r="78" spans="1:3" x14ac:dyDescent="0.25">
      <c r="A78" s="154" t="s">
        <v>296</v>
      </c>
      <c r="B78" s="154" t="s">
        <v>555</v>
      </c>
      <c r="C78" s="190">
        <v>25977</v>
      </c>
    </row>
    <row r="79" spans="1:3" x14ac:dyDescent="0.25">
      <c r="A79" s="154" t="s">
        <v>287</v>
      </c>
      <c r="B79" s="154" t="s">
        <v>556</v>
      </c>
      <c r="C79" s="155">
        <v>420150.32</v>
      </c>
    </row>
    <row r="80" spans="1:3" x14ac:dyDescent="0.25">
      <c r="A80" s="154" t="s">
        <v>286</v>
      </c>
      <c r="B80" s="154" t="s">
        <v>557</v>
      </c>
      <c r="C80" s="155">
        <v>1249940.06</v>
      </c>
    </row>
    <row r="81" spans="1:3" x14ac:dyDescent="0.25">
      <c r="A81" s="154" t="s">
        <v>284</v>
      </c>
      <c r="B81" s="154" t="s">
        <v>558</v>
      </c>
      <c r="C81" s="155">
        <v>49587.3</v>
      </c>
    </row>
    <row r="82" spans="1:3" x14ac:dyDescent="0.25">
      <c r="A82" s="154" t="s">
        <v>283</v>
      </c>
      <c r="B82" s="154" t="s">
        <v>559</v>
      </c>
      <c r="C82" s="155">
        <v>10461.1</v>
      </c>
    </row>
    <row r="83" spans="1:3" x14ac:dyDescent="0.25">
      <c r="A83" s="154" t="s">
        <v>282</v>
      </c>
      <c r="B83" s="154" t="s">
        <v>560</v>
      </c>
      <c r="C83" s="155">
        <v>106270.77</v>
      </c>
    </row>
    <row r="84" spans="1:3" x14ac:dyDescent="0.25">
      <c r="A84" s="154" t="s">
        <v>281</v>
      </c>
      <c r="B84" s="154" t="s">
        <v>561</v>
      </c>
      <c r="C84" s="155">
        <v>307790.7</v>
      </c>
    </row>
    <row r="85" spans="1:3" x14ac:dyDescent="0.25">
      <c r="A85" s="154" t="s">
        <v>280</v>
      </c>
      <c r="B85" s="154" t="s">
        <v>562</v>
      </c>
      <c r="C85" s="155">
        <v>73405.759999999995</v>
      </c>
    </row>
    <row r="86" spans="1:3" x14ac:dyDescent="0.25">
      <c r="A86" s="154" t="s">
        <v>467</v>
      </c>
      <c r="B86" s="154" t="s">
        <v>563</v>
      </c>
      <c r="C86" s="155">
        <v>181443.08</v>
      </c>
    </row>
    <row r="87" spans="1:3" x14ac:dyDescent="0.25">
      <c r="A87" s="154" t="s">
        <v>592</v>
      </c>
      <c r="B87" s="154" t="s">
        <v>564</v>
      </c>
      <c r="C87" s="155">
        <v>614617.88</v>
      </c>
    </row>
    <row r="88" spans="1:3" x14ac:dyDescent="0.25">
      <c r="A88" s="154" t="s">
        <v>275</v>
      </c>
      <c r="B88" s="154" t="s">
        <v>565</v>
      </c>
      <c r="C88" s="155">
        <v>714159.39</v>
      </c>
    </row>
    <row r="89" spans="1:3" x14ac:dyDescent="0.25">
      <c r="A89" s="154" t="s">
        <v>273</v>
      </c>
      <c r="B89" s="154" t="s">
        <v>566</v>
      </c>
      <c r="C89" s="155">
        <v>28808.02</v>
      </c>
    </row>
    <row r="90" spans="1:3" x14ac:dyDescent="0.25">
      <c r="A90" s="154" t="s">
        <v>272</v>
      </c>
      <c r="B90" s="154" t="s">
        <v>567</v>
      </c>
      <c r="C90" s="155">
        <v>7569.95</v>
      </c>
    </row>
    <row r="91" spans="1:3" x14ac:dyDescent="0.25">
      <c r="A91" s="154" t="s">
        <v>271</v>
      </c>
      <c r="B91" s="154" t="s">
        <v>568</v>
      </c>
      <c r="C91" s="155">
        <v>44480.91</v>
      </c>
    </row>
    <row r="92" spans="1:3" x14ac:dyDescent="0.25">
      <c r="A92" s="154" t="s">
        <v>468</v>
      </c>
      <c r="B92" s="154" t="s">
        <v>569</v>
      </c>
      <c r="C92" s="155">
        <v>35058.85</v>
      </c>
    </row>
    <row r="93" spans="1:3" x14ac:dyDescent="0.25">
      <c r="A93" s="154" t="s">
        <v>268</v>
      </c>
      <c r="B93" s="154" t="s">
        <v>570</v>
      </c>
      <c r="C93" s="155">
        <v>0</v>
      </c>
    </row>
    <row r="94" spans="1:3" x14ac:dyDescent="0.25">
      <c r="A94" s="154" t="s">
        <v>267</v>
      </c>
      <c r="B94" s="154" t="s">
        <v>571</v>
      </c>
      <c r="C94" s="155">
        <v>27143.75</v>
      </c>
    </row>
    <row r="95" spans="1:3" x14ac:dyDescent="0.25">
      <c r="A95" s="154" t="s">
        <v>266</v>
      </c>
      <c r="B95" s="154" t="s">
        <v>572</v>
      </c>
      <c r="C95" s="155">
        <v>144639.41</v>
      </c>
    </row>
    <row r="96" spans="1:3" x14ac:dyDescent="0.25">
      <c r="A96" s="154" t="s">
        <v>265</v>
      </c>
      <c r="B96" s="154" t="s">
        <v>573</v>
      </c>
      <c r="C96" s="155">
        <v>1341.6</v>
      </c>
    </row>
    <row r="97" spans="1:5" x14ac:dyDescent="0.25">
      <c r="A97" s="154" t="s">
        <v>465</v>
      </c>
      <c r="B97" s="154" t="s">
        <v>574</v>
      </c>
      <c r="C97" s="155">
        <v>444661.51</v>
      </c>
    </row>
    <row r="98" spans="1:5" x14ac:dyDescent="0.25">
      <c r="A98" s="154" t="s">
        <v>263</v>
      </c>
      <c r="B98" s="154" t="s">
        <v>575</v>
      </c>
      <c r="C98" s="155">
        <v>139000</v>
      </c>
    </row>
    <row r="99" spans="1:5" x14ac:dyDescent="0.25">
      <c r="A99" s="154" t="s">
        <v>593</v>
      </c>
      <c r="B99" s="154" t="s">
        <v>576</v>
      </c>
      <c r="C99" s="155">
        <v>25469.759999999998</v>
      </c>
    </row>
    <row r="100" spans="1:5" x14ac:dyDescent="0.25">
      <c r="A100" s="154" t="s">
        <v>261</v>
      </c>
      <c r="B100" s="154" t="s">
        <v>577</v>
      </c>
      <c r="C100" s="155">
        <v>118830</v>
      </c>
    </row>
    <row r="101" spans="1:5" x14ac:dyDescent="0.25">
      <c r="A101" s="154" t="s">
        <v>260</v>
      </c>
      <c r="B101" s="154" t="s">
        <v>578</v>
      </c>
      <c r="C101" s="155">
        <v>932677.87</v>
      </c>
    </row>
    <row r="102" spans="1:5" x14ac:dyDescent="0.25">
      <c r="A102" s="154" t="s">
        <v>258</v>
      </c>
      <c r="B102" s="154" t="s">
        <v>579</v>
      </c>
      <c r="C102" s="155">
        <v>113902.2</v>
      </c>
    </row>
    <row r="103" spans="1:5" x14ac:dyDescent="0.25">
      <c r="A103" s="154" t="s">
        <v>251</v>
      </c>
      <c r="B103" s="154" t="s">
        <v>580</v>
      </c>
      <c r="C103" s="155">
        <v>105869</v>
      </c>
    </row>
    <row r="104" spans="1:5" x14ac:dyDescent="0.25">
      <c r="A104" s="154" t="s">
        <v>248</v>
      </c>
      <c r="B104" s="154" t="s">
        <v>581</v>
      </c>
      <c r="C104" s="155">
        <v>159971.47</v>
      </c>
    </row>
    <row r="105" spans="1:5" x14ac:dyDescent="0.25">
      <c r="A105" s="156" t="s">
        <v>243</v>
      </c>
      <c r="B105" s="156" t="s">
        <v>582</v>
      </c>
      <c r="C105" s="152">
        <v>0</v>
      </c>
    </row>
    <row r="106" spans="1:5" x14ac:dyDescent="0.25">
      <c r="A106" s="175"/>
      <c r="B106" s="175"/>
      <c r="C106" s="146"/>
      <c r="D106" s="176"/>
    </row>
    <row r="107" spans="1:5" x14ac:dyDescent="0.25">
      <c r="A107" s="177" t="s">
        <v>599</v>
      </c>
      <c r="B107" s="49"/>
      <c r="C107" s="178" t="s">
        <v>481</v>
      </c>
      <c r="D107" s="49" t="s">
        <v>600</v>
      </c>
      <c r="E107" s="128"/>
    </row>
    <row r="108" spans="1:5" x14ac:dyDescent="0.25">
      <c r="A108" s="156" t="s">
        <v>409</v>
      </c>
      <c r="B108" s="179" t="s">
        <v>408</v>
      </c>
      <c r="C108" s="180">
        <v>0</v>
      </c>
      <c r="D108" s="46"/>
      <c r="E108" s="181"/>
    </row>
    <row r="109" spans="1:5" x14ac:dyDescent="0.25">
      <c r="A109" s="154" t="s">
        <v>298</v>
      </c>
      <c r="B109" s="182" t="s">
        <v>601</v>
      </c>
      <c r="C109" s="183">
        <v>0</v>
      </c>
      <c r="D109" s="184">
        <v>0</v>
      </c>
      <c r="E109" s="185"/>
    </row>
    <row r="110" spans="1:5" x14ac:dyDescent="0.25">
      <c r="A110" s="154" t="s">
        <v>253</v>
      </c>
      <c r="B110" s="182" t="s">
        <v>602</v>
      </c>
      <c r="C110" s="183">
        <v>0</v>
      </c>
      <c r="D110" s="184">
        <v>0</v>
      </c>
      <c r="E110" s="185"/>
    </row>
    <row r="111" spans="1:5" x14ac:dyDescent="0.25">
      <c r="A111" s="154" t="s">
        <v>255</v>
      </c>
      <c r="B111" s="182" t="s">
        <v>603</v>
      </c>
      <c r="C111" s="183">
        <v>0</v>
      </c>
      <c r="D111" s="184">
        <v>1836</v>
      </c>
      <c r="E111" s="185"/>
    </row>
    <row r="112" spans="1:5" x14ac:dyDescent="0.25">
      <c r="A112" s="154" t="s">
        <v>334</v>
      </c>
      <c r="B112" s="182" t="s">
        <v>604</v>
      </c>
      <c r="C112" s="183">
        <v>0</v>
      </c>
      <c r="D112" s="184">
        <v>0</v>
      </c>
      <c r="E112" s="185"/>
    </row>
    <row r="113" spans="1:5" x14ac:dyDescent="0.25">
      <c r="A113" s="154" t="s">
        <v>245</v>
      </c>
      <c r="B113" s="182" t="s">
        <v>605</v>
      </c>
      <c r="C113" s="183">
        <v>0</v>
      </c>
      <c r="D113" s="184">
        <v>68794</v>
      </c>
      <c r="E113" s="185"/>
    </row>
    <row r="114" spans="1:5" x14ac:dyDescent="0.25">
      <c r="A114" s="154" t="s">
        <v>381</v>
      </c>
      <c r="B114" s="182" t="s">
        <v>606</v>
      </c>
      <c r="C114" s="183">
        <v>0</v>
      </c>
      <c r="D114" s="184">
        <v>18975</v>
      </c>
      <c r="E114" s="185"/>
    </row>
    <row r="115" spans="1:5" x14ac:dyDescent="0.25">
      <c r="A115" s="154" t="s">
        <v>363</v>
      </c>
      <c r="B115" s="182" t="s">
        <v>607</v>
      </c>
      <c r="C115" s="183">
        <v>0</v>
      </c>
      <c r="D115" s="184">
        <v>45037</v>
      </c>
      <c r="E115" s="185"/>
    </row>
    <row r="116" spans="1:5" x14ac:dyDescent="0.25">
      <c r="A116" s="154" t="s">
        <v>391</v>
      </c>
      <c r="B116" s="182" t="s">
        <v>608</v>
      </c>
      <c r="C116" s="183">
        <v>0</v>
      </c>
      <c r="D116" s="184">
        <v>0</v>
      </c>
      <c r="E116" s="185"/>
    </row>
    <row r="117" spans="1:5" x14ac:dyDescent="0.25">
      <c r="A117" s="154" t="s">
        <v>364</v>
      </c>
      <c r="B117" s="182" t="s">
        <v>609</v>
      </c>
      <c r="C117" s="183">
        <v>0</v>
      </c>
      <c r="D117" s="184">
        <v>0</v>
      </c>
      <c r="E117" s="185"/>
    </row>
    <row r="118" spans="1:5" x14ac:dyDescent="0.25">
      <c r="A118" s="154" t="s">
        <v>259</v>
      </c>
      <c r="B118" s="182" t="s">
        <v>610</v>
      </c>
      <c r="C118" s="183">
        <v>0</v>
      </c>
      <c r="D118" s="184">
        <v>0</v>
      </c>
      <c r="E118" s="185"/>
    </row>
    <row r="119" spans="1:5" x14ac:dyDescent="0.25">
      <c r="A119" s="154" t="s">
        <v>390</v>
      </c>
      <c r="B119" s="182" t="s">
        <v>611</v>
      </c>
      <c r="C119" s="183">
        <v>0</v>
      </c>
      <c r="D119" s="184">
        <v>0</v>
      </c>
      <c r="E119" s="185"/>
    </row>
    <row r="120" spans="1:5" x14ac:dyDescent="0.25">
      <c r="A120" s="154" t="s">
        <v>407</v>
      </c>
      <c r="B120" s="182" t="s">
        <v>612</v>
      </c>
      <c r="C120" s="183">
        <v>0</v>
      </c>
      <c r="D120" s="184">
        <v>0</v>
      </c>
      <c r="E120" s="185"/>
    </row>
    <row r="121" spans="1:5" x14ac:dyDescent="0.25">
      <c r="A121" s="154" t="s">
        <v>324</v>
      </c>
      <c r="B121" s="182" t="s">
        <v>613</v>
      </c>
      <c r="C121" s="183">
        <v>0</v>
      </c>
      <c r="D121" s="184">
        <v>0</v>
      </c>
      <c r="E121" s="185"/>
    </row>
    <row r="122" spans="1:5" x14ac:dyDescent="0.25">
      <c r="A122" s="154" t="s">
        <v>399</v>
      </c>
      <c r="B122" s="182" t="s">
        <v>614</v>
      </c>
      <c r="C122" s="183">
        <v>0</v>
      </c>
      <c r="D122" s="184">
        <v>7245</v>
      </c>
      <c r="E122" s="185"/>
    </row>
    <row r="123" spans="1:5" x14ac:dyDescent="0.25">
      <c r="A123" s="156" t="s">
        <v>466</v>
      </c>
      <c r="B123" s="179" t="s">
        <v>615</v>
      </c>
      <c r="C123" s="180">
        <v>0</v>
      </c>
      <c r="D123" s="186">
        <v>0</v>
      </c>
      <c r="E123" s="181"/>
    </row>
    <row r="124" spans="1:5" x14ac:dyDescent="0.25">
      <c r="C124" s="178" t="s">
        <v>616</v>
      </c>
      <c r="D124" s="187">
        <v>141887</v>
      </c>
    </row>
    <row r="126" spans="1:5" x14ac:dyDescent="0.25">
      <c r="A126" t="s">
        <v>699</v>
      </c>
    </row>
    <row r="127" spans="1:5" x14ac:dyDescent="0.25">
      <c r="A127" s="188" t="s">
        <v>264</v>
      </c>
      <c r="B127" t="s">
        <v>462</v>
      </c>
      <c r="C127" s="139">
        <f>_xlfn.IFNA(VLOOKUP("0142247-5X",$A:$P,COLUMN(C:C),FALSE),0)+_xlfn.IFNA(VLOOKUP("2390097-6X",$A:$P,COLUMN(C:C),FALSE),0)</f>
        <v>444661.51</v>
      </c>
    </row>
    <row r="128" spans="1:5" x14ac:dyDescent="0.25">
      <c r="A128" s="10" t="s">
        <v>279</v>
      </c>
      <c r="B128" t="s">
        <v>463</v>
      </c>
      <c r="C128" s="139">
        <f>_xlfn.IFNA(VLOOKUP("0208850-1X",$A:$P,COLUMN(C:C),FALSE),0)+_xlfn.IFNA(VLOOKUP("0872020-5X",$A:$P,COLUMN(C:C),FALSE),0)</f>
        <v>216501.93</v>
      </c>
    </row>
    <row r="129" spans="1:3" x14ac:dyDescent="0.25">
      <c r="A129" s="10" t="s">
        <v>237</v>
      </c>
      <c r="B129" t="s">
        <v>464</v>
      </c>
      <c r="C129" s="139">
        <f>_xlfn.IFNA(VLOOKUP("2918298-7X",$A:$P,COLUMN(C:C),FALSE),0)+_xlfn.IFNA(VLOOKUP("0130270-5X",$A:$P,COLUMN(C:C),FALSE),0)+_xlfn.IFNA(VLOOKUP("0210838-1X",$A:$P,COLUMN(C:C),FALSE),0)</f>
        <v>1414983.92</v>
      </c>
    </row>
    <row r="130" spans="1:3" x14ac:dyDescent="0.25">
      <c r="A130" s="10" t="s">
        <v>367</v>
      </c>
      <c r="B130" t="s">
        <v>56</v>
      </c>
      <c r="C130" s="139">
        <f>_xlfn.IFNA(VLOOKUP("0195200-3X",$A:$P,COLUMN(C:C),FALSE),0)+_xlfn.IFNA(VLOOKUP("0214958-9X",$A:$P,COLUMN(C:C),FALSE),0)</f>
        <v>0</v>
      </c>
    </row>
    <row r="131" spans="1:3" x14ac:dyDescent="0.25">
      <c r="A131" s="157" t="s">
        <v>583</v>
      </c>
      <c r="B131" s="45" t="s">
        <v>584</v>
      </c>
      <c r="C131" s="139">
        <f>_xlfn.IFNA(VLOOKUP("0213612-0X",$A:$Y,COLUMN(C:C),FALSE),0)+_xlfn.IFNA(VLOOKUP("0116354-9X",$A:$Y,COLUMN(C:C),FALSE),0)</f>
        <v>1258264.6299999999</v>
      </c>
    </row>
    <row r="132" spans="1:3" x14ac:dyDescent="0.25">
      <c r="A132" s="157" t="s">
        <v>326</v>
      </c>
      <c r="B132" s="45" t="s">
        <v>92</v>
      </c>
      <c r="C132" s="139">
        <f>_xlfn.IFNA(VLOOKUP("0201689-0X",$A:$Y,COLUMN(C:C),FALSE),0)+_xlfn.IFNA(VLOOKUP("0114371-6X",$A:$Y,COLUMN(C:C),FALSE),0)</f>
        <v>1171032</v>
      </c>
    </row>
    <row r="133" spans="1:3" x14ac:dyDescent="0.25">
      <c r="A133" s="157" t="s">
        <v>277</v>
      </c>
      <c r="B133" s="157" t="s">
        <v>129</v>
      </c>
      <c r="C133" s="139">
        <f>_xlfn.IFNA(VLOOKUP("0214081-6X",$A:$Y,COLUMN(C:C),FALSE),0)+_xlfn.IFNA(VLOOKUP("1648362-5X",$A:$Y,COLUMN(C:C),FALSE),0)</f>
        <v>614617.88</v>
      </c>
    </row>
    <row r="134" spans="1:3" x14ac:dyDescent="0.25">
      <c r="A134" s="157" t="s">
        <v>585</v>
      </c>
      <c r="B134" s="45" t="s">
        <v>586</v>
      </c>
      <c r="C134" s="139">
        <f>_xlfn.IFNA(VLOOKUP("0204843-8X",$A:$Y,COLUMN(C:C),FALSE),0)</f>
        <v>25469.759999999998</v>
      </c>
    </row>
  </sheetData>
  <pageMargins left="0.7" right="0.7" top="0.75" bottom="0.75" header="0.3" footer="0.3"/>
  <pageSetup paperSize="9" orientation="portrait" horizontalDpi="30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9"/>
  <sheetViews>
    <sheetView zoomScale="90" zoomScaleNormal="90" workbookViewId="0">
      <pane xSplit="2" ySplit="3" topLeftCell="C148" activePane="bottomRight" state="frozen"/>
      <selection pane="topRight" activeCell="B1" sqref="B1"/>
      <selection pane="bottomLeft" activeCell="A4" sqref="A4"/>
      <selection pane="bottomRight"/>
    </sheetView>
  </sheetViews>
  <sheetFormatPr defaultRowHeight="15" x14ac:dyDescent="0.25"/>
  <cols>
    <col min="1" max="1" width="11" style="45" bestFit="1" customWidth="1"/>
    <col min="2" max="2" width="46" style="45" customWidth="1"/>
    <col min="3" max="16" width="14.85546875" style="45" customWidth="1"/>
    <col min="17" max="17" width="13.7109375" style="45" customWidth="1"/>
    <col min="18" max="18" width="11" style="45" customWidth="1"/>
    <col min="19" max="16384" width="9.140625" style="45"/>
  </cols>
  <sheetData>
    <row r="1" spans="1:18" ht="15.75" x14ac:dyDescent="0.25">
      <c r="A1" s="127" t="s">
        <v>652</v>
      </c>
      <c r="B1"/>
      <c r="C1"/>
      <c r="D1"/>
      <c r="E1"/>
      <c r="F1"/>
      <c r="G1"/>
      <c r="H1"/>
      <c r="I1"/>
      <c r="J1"/>
      <c r="K1"/>
      <c r="L1"/>
      <c r="M1"/>
      <c r="N1"/>
      <c r="O1"/>
      <c r="P1"/>
      <c r="Q1"/>
      <c r="R1"/>
    </row>
    <row r="2" spans="1:18" x14ac:dyDescent="0.25">
      <c r="A2" s="96"/>
      <c r="B2"/>
      <c r="C2"/>
      <c r="D2"/>
      <c r="E2"/>
      <c r="F2"/>
      <c r="G2"/>
      <c r="H2"/>
      <c r="I2"/>
      <c r="J2"/>
      <c r="K2"/>
      <c r="L2"/>
      <c r="M2"/>
      <c r="N2"/>
      <c r="O2"/>
      <c r="P2"/>
      <c r="Q2"/>
      <c r="R2"/>
    </row>
    <row r="3" spans="1:18" ht="95.25" customHeight="1" x14ac:dyDescent="0.25">
      <c r="A3" s="164" t="s">
        <v>409</v>
      </c>
      <c r="B3" s="165" t="s">
        <v>0</v>
      </c>
      <c r="C3" s="165" t="s">
        <v>594</v>
      </c>
      <c r="D3" s="166" t="s">
        <v>194</v>
      </c>
      <c r="E3" s="166" t="s">
        <v>195</v>
      </c>
      <c r="F3" s="166" t="s">
        <v>196</v>
      </c>
      <c r="G3" s="166" t="s">
        <v>197</v>
      </c>
      <c r="H3" s="166" t="s">
        <v>198</v>
      </c>
      <c r="I3" s="166" t="s">
        <v>199</v>
      </c>
      <c r="J3" s="166" t="s">
        <v>200</v>
      </c>
      <c r="K3" s="166" t="s">
        <v>595</v>
      </c>
      <c r="L3" s="166" t="s">
        <v>201</v>
      </c>
      <c r="M3" s="166" t="s">
        <v>202</v>
      </c>
      <c r="N3" s="166" t="s">
        <v>203</v>
      </c>
      <c r="O3" s="166" t="s">
        <v>596</v>
      </c>
      <c r="P3" s="166" t="s">
        <v>204</v>
      </c>
      <c r="Q3" s="166" t="s">
        <v>205</v>
      </c>
      <c r="R3" s="167" t="s">
        <v>206</v>
      </c>
    </row>
    <row r="4" spans="1:18" x14ac:dyDescent="0.25">
      <c r="A4" s="55" t="s">
        <v>407</v>
      </c>
      <c r="B4" t="s">
        <v>179</v>
      </c>
      <c r="C4" t="s">
        <v>236</v>
      </c>
      <c r="D4" s="162">
        <v>0</v>
      </c>
      <c r="E4" s="162">
        <v>50</v>
      </c>
      <c r="F4" s="162">
        <v>50</v>
      </c>
      <c r="G4" s="162">
        <v>0</v>
      </c>
      <c r="H4" s="168">
        <v>0.315</v>
      </c>
      <c r="I4" s="145">
        <v>15.8</v>
      </c>
      <c r="J4" s="162">
        <v>0</v>
      </c>
      <c r="K4" s="162">
        <v>129172</v>
      </c>
      <c r="L4" s="162">
        <v>352500</v>
      </c>
      <c r="M4" s="162">
        <v>481672</v>
      </c>
      <c r="N4" s="162">
        <v>0</v>
      </c>
      <c r="O4" s="145">
        <v>0</v>
      </c>
      <c r="P4" s="162">
        <v>0</v>
      </c>
      <c r="Q4" s="162">
        <v>481672</v>
      </c>
      <c r="R4" s="162">
        <v>26951</v>
      </c>
    </row>
    <row r="5" spans="1:18" x14ac:dyDescent="0.25">
      <c r="A5" s="55" t="s">
        <v>406</v>
      </c>
      <c r="B5" t="s">
        <v>23</v>
      </c>
      <c r="C5" t="s">
        <v>247</v>
      </c>
      <c r="D5" s="162">
        <v>329</v>
      </c>
      <c r="E5" s="162">
        <v>0</v>
      </c>
      <c r="F5" s="162">
        <v>329</v>
      </c>
      <c r="G5" s="162">
        <v>0</v>
      </c>
      <c r="H5" s="168">
        <v>1.1223819660000001</v>
      </c>
      <c r="I5" s="145">
        <v>369.3</v>
      </c>
      <c r="J5" s="162">
        <v>0</v>
      </c>
      <c r="K5" s="162">
        <v>3019202</v>
      </c>
      <c r="L5" s="162">
        <v>0</v>
      </c>
      <c r="M5" s="162">
        <v>3019202</v>
      </c>
      <c r="N5" s="162">
        <v>171</v>
      </c>
      <c r="O5" s="145">
        <v>10772.9</v>
      </c>
      <c r="P5" s="162">
        <v>258726</v>
      </c>
      <c r="Q5" s="162">
        <v>3277928</v>
      </c>
      <c r="R5" s="162">
        <v>168931</v>
      </c>
    </row>
    <row r="6" spans="1:18" x14ac:dyDescent="0.25">
      <c r="A6" s="55" t="s">
        <v>403</v>
      </c>
      <c r="B6" t="s">
        <v>189</v>
      </c>
      <c r="C6" t="s">
        <v>236</v>
      </c>
      <c r="D6" s="162">
        <v>20</v>
      </c>
      <c r="E6" s="162">
        <v>0</v>
      </c>
      <c r="F6" s="162">
        <v>20</v>
      </c>
      <c r="G6" s="162">
        <v>0</v>
      </c>
      <c r="H6" s="168">
        <v>0.64306122399999999</v>
      </c>
      <c r="I6" s="145">
        <v>12.9</v>
      </c>
      <c r="J6" s="162">
        <v>0</v>
      </c>
      <c r="K6" s="162">
        <v>105464</v>
      </c>
      <c r="L6" s="162">
        <v>1400000</v>
      </c>
      <c r="M6" s="162">
        <v>1505464</v>
      </c>
      <c r="N6" s="162">
        <v>0</v>
      </c>
      <c r="O6" s="145">
        <v>0</v>
      </c>
      <c r="P6" s="162">
        <v>0</v>
      </c>
      <c r="Q6" s="162">
        <v>1505464</v>
      </c>
      <c r="R6" s="162">
        <v>84234</v>
      </c>
    </row>
    <row r="7" spans="1:18" x14ac:dyDescent="0.25">
      <c r="A7" s="55" t="s">
        <v>405</v>
      </c>
      <c r="B7" t="s">
        <v>24</v>
      </c>
      <c r="C7" t="s">
        <v>247</v>
      </c>
      <c r="D7" s="162">
        <v>79</v>
      </c>
      <c r="E7" s="162">
        <v>5</v>
      </c>
      <c r="F7" s="162">
        <v>84</v>
      </c>
      <c r="G7" s="162">
        <v>0</v>
      </c>
      <c r="H7" s="168">
        <v>4.3422609469999998</v>
      </c>
      <c r="I7" s="145">
        <v>364.7</v>
      </c>
      <c r="J7" s="162">
        <v>0</v>
      </c>
      <c r="K7" s="162">
        <v>2981595</v>
      </c>
      <c r="L7" s="162">
        <v>0</v>
      </c>
      <c r="M7" s="162">
        <v>2981595</v>
      </c>
      <c r="N7" s="162">
        <v>16</v>
      </c>
      <c r="O7" s="145">
        <v>1192.3</v>
      </c>
      <c r="P7" s="162">
        <v>28635</v>
      </c>
      <c r="Q7" s="162">
        <v>3010230</v>
      </c>
      <c r="R7" s="162">
        <v>166827</v>
      </c>
    </row>
    <row r="8" spans="1:18" x14ac:dyDescent="0.25">
      <c r="A8" s="55" t="s">
        <v>588</v>
      </c>
      <c r="B8" t="s">
        <v>25</v>
      </c>
      <c r="C8" t="s">
        <v>236</v>
      </c>
      <c r="D8" s="162">
        <v>1666</v>
      </c>
      <c r="E8" s="162">
        <v>965</v>
      </c>
      <c r="F8" s="162">
        <v>2631</v>
      </c>
      <c r="G8" s="162">
        <v>580</v>
      </c>
      <c r="H8" s="168">
        <v>0.81467007599999997</v>
      </c>
      <c r="I8" s="145">
        <v>2143.4</v>
      </c>
      <c r="J8" s="162">
        <v>0</v>
      </c>
      <c r="K8" s="162">
        <v>17523307</v>
      </c>
      <c r="L8" s="162">
        <v>0</v>
      </c>
      <c r="M8" s="162">
        <v>17523307</v>
      </c>
      <c r="N8" s="162">
        <v>1671</v>
      </c>
      <c r="O8" s="145">
        <v>50039.1</v>
      </c>
      <c r="P8" s="162">
        <v>1201757</v>
      </c>
      <c r="Q8" s="162">
        <v>18725064</v>
      </c>
      <c r="R8" s="162">
        <v>980469</v>
      </c>
    </row>
    <row r="9" spans="1:18" x14ac:dyDescent="0.25">
      <c r="A9" s="55" t="s">
        <v>587</v>
      </c>
      <c r="B9" t="s">
        <v>26</v>
      </c>
      <c r="C9" t="s">
        <v>236</v>
      </c>
      <c r="D9" s="162">
        <v>818</v>
      </c>
      <c r="E9" s="162">
        <v>207</v>
      </c>
      <c r="F9" s="162">
        <v>1025</v>
      </c>
      <c r="G9" s="162">
        <v>0</v>
      </c>
      <c r="H9" s="168">
        <v>0.76111524100000005</v>
      </c>
      <c r="I9" s="145">
        <v>780.1</v>
      </c>
      <c r="J9" s="162">
        <v>0</v>
      </c>
      <c r="K9" s="162">
        <v>6377686</v>
      </c>
      <c r="L9" s="162">
        <v>0</v>
      </c>
      <c r="M9" s="162">
        <v>6377686</v>
      </c>
      <c r="N9" s="162">
        <v>631</v>
      </c>
      <c r="O9" s="145">
        <v>13497</v>
      </c>
      <c r="P9" s="162">
        <v>324149</v>
      </c>
      <c r="Q9" s="162">
        <v>6701835</v>
      </c>
      <c r="R9" s="162">
        <v>356846</v>
      </c>
    </row>
    <row r="10" spans="1:18" x14ac:dyDescent="0.25">
      <c r="A10" s="55" t="s">
        <v>404</v>
      </c>
      <c r="B10" t="s">
        <v>27</v>
      </c>
      <c r="C10" t="s">
        <v>236</v>
      </c>
      <c r="D10" s="162">
        <v>986</v>
      </c>
      <c r="E10" s="162">
        <v>120</v>
      </c>
      <c r="F10" s="162">
        <v>1106</v>
      </c>
      <c r="G10" s="162">
        <v>0</v>
      </c>
      <c r="H10" s="168">
        <v>3.9528091380000001</v>
      </c>
      <c r="I10" s="145">
        <v>4371.8</v>
      </c>
      <c r="J10" s="162">
        <v>0</v>
      </c>
      <c r="K10" s="162">
        <v>35741529</v>
      </c>
      <c r="L10" s="162">
        <v>0</v>
      </c>
      <c r="M10" s="162">
        <v>35741529</v>
      </c>
      <c r="N10" s="162">
        <v>221</v>
      </c>
      <c r="O10" s="145">
        <v>14916.3</v>
      </c>
      <c r="P10" s="162">
        <v>358235</v>
      </c>
      <c r="Q10" s="162">
        <v>36099764</v>
      </c>
      <c r="R10" s="162">
        <v>1999820</v>
      </c>
    </row>
    <row r="11" spans="1:18" x14ac:dyDescent="0.25">
      <c r="A11" s="55" t="s">
        <v>402</v>
      </c>
      <c r="B11" t="s">
        <v>207</v>
      </c>
      <c r="C11" t="s">
        <v>236</v>
      </c>
      <c r="D11" s="162">
        <v>68</v>
      </c>
      <c r="E11" s="162">
        <v>4</v>
      </c>
      <c r="F11" s="162">
        <v>72</v>
      </c>
      <c r="G11" s="162">
        <v>0</v>
      </c>
      <c r="H11" s="168">
        <v>0.59584580399999998</v>
      </c>
      <c r="I11" s="145">
        <v>42.9</v>
      </c>
      <c r="J11" s="162">
        <v>0</v>
      </c>
      <c r="K11" s="162">
        <v>350728</v>
      </c>
      <c r="L11" s="162">
        <v>0</v>
      </c>
      <c r="M11" s="162">
        <v>350728</v>
      </c>
      <c r="N11" s="162">
        <v>127</v>
      </c>
      <c r="O11" s="145">
        <v>1591.4</v>
      </c>
      <c r="P11" s="162">
        <v>38220</v>
      </c>
      <c r="Q11" s="162">
        <v>388948</v>
      </c>
      <c r="R11" s="162">
        <v>19624</v>
      </c>
    </row>
    <row r="12" spans="1:18" x14ac:dyDescent="0.25">
      <c r="A12" s="55" t="s">
        <v>401</v>
      </c>
      <c r="B12" t="s">
        <v>29</v>
      </c>
      <c r="C12" t="s">
        <v>236</v>
      </c>
      <c r="D12" s="162">
        <v>1592</v>
      </c>
      <c r="E12" s="162">
        <v>139</v>
      </c>
      <c r="F12" s="162">
        <v>1731</v>
      </c>
      <c r="G12" s="162">
        <v>30</v>
      </c>
      <c r="H12" s="168">
        <v>1.053823161</v>
      </c>
      <c r="I12" s="145">
        <v>1824.2</v>
      </c>
      <c r="J12" s="162">
        <v>0</v>
      </c>
      <c r="K12" s="162">
        <v>14913696</v>
      </c>
      <c r="L12" s="162">
        <v>0</v>
      </c>
      <c r="M12" s="162">
        <v>14913696</v>
      </c>
      <c r="N12" s="162">
        <v>737</v>
      </c>
      <c r="O12" s="145">
        <v>34475.5</v>
      </c>
      <c r="P12" s="162">
        <v>827976</v>
      </c>
      <c r="Q12" s="162">
        <v>15741672</v>
      </c>
      <c r="R12" s="162">
        <v>834455</v>
      </c>
    </row>
    <row r="13" spans="1:18" x14ac:dyDescent="0.25">
      <c r="A13" s="55" t="s">
        <v>237</v>
      </c>
      <c r="B13" t="s">
        <v>208</v>
      </c>
      <c r="C13" t="s">
        <v>236</v>
      </c>
      <c r="D13" s="162">
        <v>2494</v>
      </c>
      <c r="E13" s="162">
        <v>410</v>
      </c>
      <c r="F13" s="162">
        <v>2904</v>
      </c>
      <c r="G13" s="162">
        <v>180</v>
      </c>
      <c r="H13" s="168">
        <v>0.92377082799999999</v>
      </c>
      <c r="I13" s="145">
        <v>2682.6</v>
      </c>
      <c r="J13" s="162">
        <v>0</v>
      </c>
      <c r="K13" s="162">
        <v>21931521</v>
      </c>
      <c r="L13" s="162">
        <v>0</v>
      </c>
      <c r="M13" s="162">
        <v>21931521</v>
      </c>
      <c r="N13" s="162">
        <v>1301</v>
      </c>
      <c r="O13" s="145">
        <v>47104.800000000003</v>
      </c>
      <c r="P13" s="162">
        <v>1131285</v>
      </c>
      <c r="Q13" s="162">
        <v>23062806</v>
      </c>
      <c r="R13" s="162">
        <v>1227119</v>
      </c>
    </row>
    <row r="14" spans="1:18" x14ac:dyDescent="0.25">
      <c r="A14" s="55" t="s">
        <v>400</v>
      </c>
      <c r="B14" t="s">
        <v>180</v>
      </c>
      <c r="C14" t="s">
        <v>247</v>
      </c>
      <c r="D14" s="162">
        <v>0</v>
      </c>
      <c r="E14" s="162">
        <v>0</v>
      </c>
      <c r="F14" s="162">
        <v>0</v>
      </c>
      <c r="G14" s="162">
        <v>0</v>
      </c>
      <c r="H14" s="168">
        <v>0.315</v>
      </c>
      <c r="I14" s="145">
        <v>0</v>
      </c>
      <c r="J14" s="162">
        <v>0</v>
      </c>
      <c r="K14" s="162">
        <v>0</v>
      </c>
      <c r="L14" s="162">
        <v>0</v>
      </c>
      <c r="M14" s="162">
        <v>0</v>
      </c>
      <c r="N14" s="162">
        <v>0</v>
      </c>
      <c r="O14" s="145">
        <v>0</v>
      </c>
      <c r="P14" s="162">
        <v>0</v>
      </c>
      <c r="Q14" s="162">
        <v>0</v>
      </c>
      <c r="R14" s="162">
        <v>0</v>
      </c>
    </row>
    <row r="15" spans="1:18" x14ac:dyDescent="0.25">
      <c r="A15" s="55" t="s">
        <v>399</v>
      </c>
      <c r="B15" t="s">
        <v>30</v>
      </c>
      <c r="C15" t="s">
        <v>236</v>
      </c>
      <c r="D15" s="162">
        <v>0</v>
      </c>
      <c r="E15" s="162">
        <v>10</v>
      </c>
      <c r="F15" s="162">
        <v>10</v>
      </c>
      <c r="G15" s="162">
        <v>10</v>
      </c>
      <c r="H15" s="168">
        <v>1</v>
      </c>
      <c r="I15" s="145">
        <v>10</v>
      </c>
      <c r="J15" s="162">
        <v>0</v>
      </c>
      <c r="K15" s="162">
        <v>81755</v>
      </c>
      <c r="L15" s="162">
        <v>0</v>
      </c>
      <c r="M15" s="162">
        <v>81755</v>
      </c>
      <c r="N15" s="162">
        <v>0</v>
      </c>
      <c r="O15" s="145">
        <v>0</v>
      </c>
      <c r="P15" s="162">
        <v>0</v>
      </c>
      <c r="Q15" s="162">
        <v>81755</v>
      </c>
      <c r="R15" s="162">
        <v>4574</v>
      </c>
    </row>
    <row r="16" spans="1:18" x14ac:dyDescent="0.25">
      <c r="A16" s="55" t="s">
        <v>398</v>
      </c>
      <c r="B16" t="s">
        <v>31</v>
      </c>
      <c r="C16" t="s">
        <v>236</v>
      </c>
      <c r="D16" s="162">
        <v>5838</v>
      </c>
      <c r="E16" s="162">
        <v>715</v>
      </c>
      <c r="F16" s="162">
        <v>6553</v>
      </c>
      <c r="G16" s="162">
        <v>200</v>
      </c>
      <c r="H16" s="168">
        <v>0.970835844</v>
      </c>
      <c r="I16" s="145">
        <v>6361.9</v>
      </c>
      <c r="J16" s="162">
        <v>-473805</v>
      </c>
      <c r="K16" s="162">
        <v>51537731</v>
      </c>
      <c r="L16" s="162">
        <v>0</v>
      </c>
      <c r="M16" s="162">
        <v>51537731</v>
      </c>
      <c r="N16" s="162">
        <v>3260</v>
      </c>
      <c r="O16" s="145">
        <v>153237.9</v>
      </c>
      <c r="P16" s="162">
        <v>3680215</v>
      </c>
      <c r="Q16" s="162">
        <v>55217946</v>
      </c>
      <c r="R16" s="162">
        <v>0</v>
      </c>
    </row>
    <row r="17" spans="1:18" x14ac:dyDescent="0.25">
      <c r="A17" s="55" t="s">
        <v>397</v>
      </c>
      <c r="B17" t="s">
        <v>32</v>
      </c>
      <c r="C17" t="s">
        <v>396</v>
      </c>
      <c r="D17" s="162">
        <v>2900</v>
      </c>
      <c r="E17" s="162">
        <v>465</v>
      </c>
      <c r="F17" s="162">
        <v>3365</v>
      </c>
      <c r="G17" s="162">
        <v>216</v>
      </c>
      <c r="H17" s="168">
        <v>0.99855317099999996</v>
      </c>
      <c r="I17" s="145">
        <v>3360.1</v>
      </c>
      <c r="J17" s="162">
        <v>-250245</v>
      </c>
      <c r="K17" s="162">
        <v>27220159</v>
      </c>
      <c r="L17" s="162">
        <v>450000</v>
      </c>
      <c r="M17" s="162">
        <v>27670159</v>
      </c>
      <c r="N17" s="162">
        <v>1289</v>
      </c>
      <c r="O17" s="145">
        <v>62888.3</v>
      </c>
      <c r="P17" s="162">
        <v>1510348</v>
      </c>
      <c r="Q17" s="162">
        <v>29180507</v>
      </c>
      <c r="R17" s="162">
        <v>0</v>
      </c>
    </row>
    <row r="18" spans="1:18" x14ac:dyDescent="0.25">
      <c r="A18" s="55" t="s">
        <v>395</v>
      </c>
      <c r="B18" t="s">
        <v>33</v>
      </c>
      <c r="C18" t="s">
        <v>270</v>
      </c>
      <c r="D18" s="162">
        <v>2518</v>
      </c>
      <c r="E18" s="162">
        <v>178</v>
      </c>
      <c r="F18" s="162">
        <v>2696</v>
      </c>
      <c r="G18" s="162">
        <v>95</v>
      </c>
      <c r="H18" s="168">
        <v>1.113478644</v>
      </c>
      <c r="I18" s="145">
        <v>3001.9</v>
      </c>
      <c r="J18" s="162">
        <v>0</v>
      </c>
      <c r="K18" s="162">
        <v>24541950</v>
      </c>
      <c r="L18" s="162">
        <v>0</v>
      </c>
      <c r="M18" s="162">
        <v>24541950</v>
      </c>
      <c r="N18" s="162">
        <v>1164</v>
      </c>
      <c r="O18" s="145">
        <v>63123.199999999997</v>
      </c>
      <c r="P18" s="162">
        <v>1515989</v>
      </c>
      <c r="Q18" s="162">
        <v>26057939</v>
      </c>
      <c r="R18" s="162">
        <v>1373178</v>
      </c>
    </row>
    <row r="19" spans="1:18" x14ac:dyDescent="0.25">
      <c r="A19" s="55" t="s">
        <v>394</v>
      </c>
      <c r="B19" t="s">
        <v>34</v>
      </c>
      <c r="C19" t="s">
        <v>285</v>
      </c>
      <c r="D19" s="162">
        <v>37</v>
      </c>
      <c r="E19" s="162">
        <v>0</v>
      </c>
      <c r="F19" s="162">
        <v>37</v>
      </c>
      <c r="G19" s="162">
        <v>0</v>
      </c>
      <c r="H19" s="168">
        <v>0.87824999999999998</v>
      </c>
      <c r="I19" s="145">
        <v>32.5</v>
      </c>
      <c r="J19" s="162">
        <v>0</v>
      </c>
      <c r="K19" s="162">
        <v>265703</v>
      </c>
      <c r="L19" s="162">
        <v>0</v>
      </c>
      <c r="M19" s="162">
        <v>265703</v>
      </c>
      <c r="N19" s="162">
        <v>21</v>
      </c>
      <c r="O19" s="145">
        <v>419.6</v>
      </c>
      <c r="P19" s="162">
        <v>10077</v>
      </c>
      <c r="Q19" s="162">
        <v>275780</v>
      </c>
      <c r="R19" s="162">
        <v>14867</v>
      </c>
    </row>
    <row r="20" spans="1:18" x14ac:dyDescent="0.25">
      <c r="A20" s="55" t="s">
        <v>393</v>
      </c>
      <c r="B20" t="s">
        <v>181</v>
      </c>
      <c r="C20" t="s">
        <v>236</v>
      </c>
      <c r="D20" s="162">
        <v>0</v>
      </c>
      <c r="E20" s="162">
        <v>73</v>
      </c>
      <c r="F20" s="162">
        <v>73</v>
      </c>
      <c r="G20" s="162">
        <v>0</v>
      </c>
      <c r="H20" s="168">
        <v>0.315</v>
      </c>
      <c r="I20" s="145">
        <v>23</v>
      </c>
      <c r="J20" s="162">
        <v>0</v>
      </c>
      <c r="K20" s="162">
        <v>188036</v>
      </c>
      <c r="L20" s="162">
        <v>1025000</v>
      </c>
      <c r="M20" s="162">
        <v>1213036</v>
      </c>
      <c r="N20" s="162">
        <v>0</v>
      </c>
      <c r="O20" s="145">
        <v>0</v>
      </c>
      <c r="P20" s="162">
        <v>0</v>
      </c>
      <c r="Q20" s="162">
        <v>1213036</v>
      </c>
      <c r="R20" s="162">
        <v>67872</v>
      </c>
    </row>
    <row r="21" spans="1:18" x14ac:dyDescent="0.25">
      <c r="A21" s="55" t="s">
        <v>392</v>
      </c>
      <c r="B21" t="s">
        <v>35</v>
      </c>
      <c r="C21" t="s">
        <v>236</v>
      </c>
      <c r="D21" s="162">
        <v>108</v>
      </c>
      <c r="E21" s="162">
        <v>6</v>
      </c>
      <c r="F21" s="162">
        <v>114</v>
      </c>
      <c r="G21" s="162">
        <v>0</v>
      </c>
      <c r="H21" s="168">
        <v>1.7004698869999999</v>
      </c>
      <c r="I21" s="145">
        <v>193.9</v>
      </c>
      <c r="J21" s="162">
        <v>0</v>
      </c>
      <c r="K21" s="162">
        <v>1585224</v>
      </c>
      <c r="L21" s="162">
        <v>0</v>
      </c>
      <c r="M21" s="162">
        <v>1585224</v>
      </c>
      <c r="N21" s="162">
        <v>54</v>
      </c>
      <c r="O21" s="145">
        <v>3721.1</v>
      </c>
      <c r="P21" s="162">
        <v>89367</v>
      </c>
      <c r="Q21" s="162">
        <v>1674591</v>
      </c>
      <c r="R21" s="162">
        <v>88697</v>
      </c>
    </row>
    <row r="22" spans="1:18" x14ac:dyDescent="0.25">
      <c r="A22" s="55" t="s">
        <v>391</v>
      </c>
      <c r="B22" t="s">
        <v>597</v>
      </c>
      <c r="C22" t="s">
        <v>242</v>
      </c>
      <c r="D22" s="162">
        <v>26</v>
      </c>
      <c r="E22" s="162">
        <v>0</v>
      </c>
      <c r="F22" s="162">
        <v>26</v>
      </c>
      <c r="G22" s="162">
        <v>0</v>
      </c>
      <c r="H22" s="168">
        <v>1.3</v>
      </c>
      <c r="I22" s="145">
        <v>33.799999999999997</v>
      </c>
      <c r="J22" s="162">
        <v>0</v>
      </c>
      <c r="K22" s="162">
        <v>276331</v>
      </c>
      <c r="L22" s="162">
        <v>0</v>
      </c>
      <c r="M22" s="162">
        <v>276331</v>
      </c>
      <c r="N22" s="162">
        <v>9</v>
      </c>
      <c r="O22" s="145">
        <v>641.5</v>
      </c>
      <c r="P22" s="162">
        <v>15406</v>
      </c>
      <c r="Q22" s="162">
        <v>291737</v>
      </c>
      <c r="R22" s="162">
        <v>15461</v>
      </c>
    </row>
    <row r="23" spans="1:18" x14ac:dyDescent="0.25">
      <c r="A23" s="55" t="s">
        <v>390</v>
      </c>
      <c r="B23" t="s">
        <v>153</v>
      </c>
      <c r="C23" t="s">
        <v>247</v>
      </c>
      <c r="D23" s="162">
        <v>29</v>
      </c>
      <c r="E23" s="162">
        <v>7</v>
      </c>
      <c r="F23" s="162">
        <v>36</v>
      </c>
      <c r="G23" s="162">
        <v>0</v>
      </c>
      <c r="H23" s="168">
        <v>0.84150000000000003</v>
      </c>
      <c r="I23" s="145">
        <v>30.3</v>
      </c>
      <c r="J23" s="162">
        <v>0</v>
      </c>
      <c r="K23" s="162">
        <v>247717</v>
      </c>
      <c r="L23" s="162">
        <v>0</v>
      </c>
      <c r="M23" s="162">
        <v>247717</v>
      </c>
      <c r="N23" s="162">
        <v>133</v>
      </c>
      <c r="O23" s="145">
        <v>2448.5</v>
      </c>
      <c r="P23" s="162">
        <v>58804</v>
      </c>
      <c r="Q23" s="162">
        <v>306521</v>
      </c>
      <c r="R23" s="162">
        <v>13860</v>
      </c>
    </row>
    <row r="24" spans="1:18" x14ac:dyDescent="0.25">
      <c r="A24" s="55" t="s">
        <v>389</v>
      </c>
      <c r="B24" t="s">
        <v>36</v>
      </c>
      <c r="C24" t="s">
        <v>244</v>
      </c>
      <c r="D24" s="162">
        <v>120</v>
      </c>
      <c r="E24" s="162">
        <v>5</v>
      </c>
      <c r="F24" s="162">
        <v>125</v>
      </c>
      <c r="G24" s="162">
        <v>0</v>
      </c>
      <c r="H24" s="168">
        <v>1.0849394269999999</v>
      </c>
      <c r="I24" s="145">
        <v>135.6</v>
      </c>
      <c r="J24" s="162">
        <v>0</v>
      </c>
      <c r="K24" s="162">
        <v>1108594</v>
      </c>
      <c r="L24" s="162">
        <v>0</v>
      </c>
      <c r="M24" s="162">
        <v>1108594</v>
      </c>
      <c r="N24" s="162">
        <v>54</v>
      </c>
      <c r="O24" s="145">
        <v>1898.6</v>
      </c>
      <c r="P24" s="162">
        <v>45597</v>
      </c>
      <c r="Q24" s="162">
        <v>1154191</v>
      </c>
      <c r="R24" s="162">
        <v>62028</v>
      </c>
    </row>
    <row r="25" spans="1:18" x14ac:dyDescent="0.25">
      <c r="A25" s="55" t="s">
        <v>388</v>
      </c>
      <c r="B25" t="s">
        <v>37</v>
      </c>
      <c r="C25" t="s">
        <v>254</v>
      </c>
      <c r="D25" s="162">
        <v>183</v>
      </c>
      <c r="E25" s="162">
        <v>20</v>
      </c>
      <c r="F25" s="162">
        <v>203</v>
      </c>
      <c r="G25" s="162">
        <v>0</v>
      </c>
      <c r="H25" s="168">
        <v>1.6996285449999999</v>
      </c>
      <c r="I25" s="145">
        <v>345</v>
      </c>
      <c r="J25" s="162">
        <v>0</v>
      </c>
      <c r="K25" s="162">
        <v>2820538</v>
      </c>
      <c r="L25" s="162">
        <v>0</v>
      </c>
      <c r="M25" s="162">
        <v>2820538</v>
      </c>
      <c r="N25" s="162">
        <v>60</v>
      </c>
      <c r="O25" s="145">
        <v>4665</v>
      </c>
      <c r="P25" s="162">
        <v>112036</v>
      </c>
      <c r="Q25" s="162">
        <v>2932574</v>
      </c>
      <c r="R25" s="162">
        <v>157816</v>
      </c>
    </row>
    <row r="26" spans="1:18" x14ac:dyDescent="0.25">
      <c r="A26" s="55" t="s">
        <v>387</v>
      </c>
      <c r="B26" t="s">
        <v>210</v>
      </c>
      <c r="C26" t="s">
        <v>236</v>
      </c>
      <c r="D26" s="162">
        <v>11</v>
      </c>
      <c r="E26" s="162">
        <v>14</v>
      </c>
      <c r="F26" s="162">
        <v>25</v>
      </c>
      <c r="G26" s="162">
        <v>0</v>
      </c>
      <c r="H26" s="168">
        <v>0.59499999999999997</v>
      </c>
      <c r="I26" s="145">
        <v>14.9</v>
      </c>
      <c r="J26" s="162">
        <v>0</v>
      </c>
      <c r="K26" s="162">
        <v>121815</v>
      </c>
      <c r="L26" s="162">
        <v>0</v>
      </c>
      <c r="M26" s="162">
        <v>121815</v>
      </c>
      <c r="N26" s="162">
        <v>49</v>
      </c>
      <c r="O26" s="145">
        <v>438.5</v>
      </c>
      <c r="P26" s="162">
        <v>10531</v>
      </c>
      <c r="Q26" s="162">
        <v>132346</v>
      </c>
      <c r="R26" s="162">
        <v>6816</v>
      </c>
    </row>
    <row r="27" spans="1:18" x14ac:dyDescent="0.25">
      <c r="A27" s="55" t="s">
        <v>386</v>
      </c>
      <c r="B27" t="s">
        <v>38</v>
      </c>
      <c r="C27" t="s">
        <v>236</v>
      </c>
      <c r="D27" s="162">
        <v>8947</v>
      </c>
      <c r="E27" s="162">
        <v>1029</v>
      </c>
      <c r="F27" s="162">
        <v>9976</v>
      </c>
      <c r="G27" s="162">
        <v>180</v>
      </c>
      <c r="H27" s="168">
        <v>0.99769724100000001</v>
      </c>
      <c r="I27" s="145">
        <v>9953</v>
      </c>
      <c r="J27" s="162">
        <v>-741253</v>
      </c>
      <c r="K27" s="162">
        <v>80629221</v>
      </c>
      <c r="L27" s="162">
        <v>150000</v>
      </c>
      <c r="M27" s="162">
        <v>80779221</v>
      </c>
      <c r="N27" s="162">
        <v>3696</v>
      </c>
      <c r="O27" s="145">
        <v>176424.6</v>
      </c>
      <c r="P27" s="162">
        <v>4237075</v>
      </c>
      <c r="Q27" s="162">
        <v>85016296</v>
      </c>
      <c r="R27" s="162">
        <v>0</v>
      </c>
    </row>
    <row r="28" spans="1:18" x14ac:dyDescent="0.25">
      <c r="A28" s="55" t="s">
        <v>382</v>
      </c>
      <c r="B28" t="s">
        <v>39</v>
      </c>
      <c r="C28" t="s">
        <v>236</v>
      </c>
      <c r="D28" s="162">
        <v>59</v>
      </c>
      <c r="E28" s="162">
        <v>5</v>
      </c>
      <c r="F28" s="162">
        <v>64</v>
      </c>
      <c r="G28" s="162">
        <v>0</v>
      </c>
      <c r="H28" s="168">
        <v>1.596475316</v>
      </c>
      <c r="I28" s="145">
        <v>102.2</v>
      </c>
      <c r="J28" s="162">
        <v>0</v>
      </c>
      <c r="K28" s="162">
        <v>835533</v>
      </c>
      <c r="L28" s="162">
        <v>0</v>
      </c>
      <c r="M28" s="162">
        <v>835533</v>
      </c>
      <c r="N28" s="162">
        <v>22</v>
      </c>
      <c r="O28" s="145">
        <v>2346.8000000000002</v>
      </c>
      <c r="P28" s="162">
        <v>56362</v>
      </c>
      <c r="Q28" s="162">
        <v>891895</v>
      </c>
      <c r="R28" s="162">
        <v>46750</v>
      </c>
    </row>
    <row r="29" spans="1:18" x14ac:dyDescent="0.25">
      <c r="A29" s="55" t="s">
        <v>385</v>
      </c>
      <c r="B29" t="s">
        <v>40</v>
      </c>
      <c r="C29" t="s">
        <v>236</v>
      </c>
      <c r="D29" s="162">
        <v>1890</v>
      </c>
      <c r="E29" s="162">
        <v>130</v>
      </c>
      <c r="F29" s="162">
        <v>2020</v>
      </c>
      <c r="G29" s="162">
        <v>0</v>
      </c>
      <c r="H29" s="168">
        <v>0.78160214299999997</v>
      </c>
      <c r="I29" s="145">
        <v>1578.8</v>
      </c>
      <c r="J29" s="162">
        <v>0</v>
      </c>
      <c r="K29" s="162">
        <v>12907435</v>
      </c>
      <c r="L29" s="162">
        <v>0</v>
      </c>
      <c r="M29" s="162">
        <v>12907435</v>
      </c>
      <c r="N29" s="162">
        <v>947</v>
      </c>
      <c r="O29" s="145">
        <v>42539.8</v>
      </c>
      <c r="P29" s="162">
        <v>1021651</v>
      </c>
      <c r="Q29" s="162">
        <v>13929086</v>
      </c>
      <c r="R29" s="162">
        <v>722200</v>
      </c>
    </row>
    <row r="30" spans="1:18" x14ac:dyDescent="0.25">
      <c r="A30" s="55" t="s">
        <v>384</v>
      </c>
      <c r="B30" t="s">
        <v>41</v>
      </c>
      <c r="C30" t="s">
        <v>236</v>
      </c>
      <c r="D30" s="162">
        <v>1462</v>
      </c>
      <c r="E30" s="162">
        <v>72</v>
      </c>
      <c r="F30" s="162">
        <v>1534</v>
      </c>
      <c r="G30" s="162">
        <v>0</v>
      </c>
      <c r="H30" s="168">
        <v>3.7284276730000001</v>
      </c>
      <c r="I30" s="145">
        <v>5719.4</v>
      </c>
      <c r="J30" s="162">
        <v>0</v>
      </c>
      <c r="K30" s="162">
        <v>46758795</v>
      </c>
      <c r="L30" s="162">
        <v>0</v>
      </c>
      <c r="M30" s="162">
        <v>46758795</v>
      </c>
      <c r="N30" s="162">
        <v>382</v>
      </c>
      <c r="O30" s="145">
        <v>21057</v>
      </c>
      <c r="P30" s="162">
        <v>505712</v>
      </c>
      <c r="Q30" s="162">
        <v>47264507</v>
      </c>
      <c r="R30" s="162">
        <v>2616261</v>
      </c>
    </row>
    <row r="31" spans="1:18" x14ac:dyDescent="0.25">
      <c r="A31" s="55" t="s">
        <v>383</v>
      </c>
      <c r="B31" t="s">
        <v>42</v>
      </c>
      <c r="C31" t="s">
        <v>332</v>
      </c>
      <c r="D31" s="162">
        <v>310</v>
      </c>
      <c r="E31" s="162">
        <v>10</v>
      </c>
      <c r="F31" s="162">
        <v>320</v>
      </c>
      <c r="G31" s="162">
        <v>0</v>
      </c>
      <c r="H31" s="168">
        <v>1.6106184429999999</v>
      </c>
      <c r="I31" s="145">
        <v>515.4</v>
      </c>
      <c r="J31" s="162">
        <v>0</v>
      </c>
      <c r="K31" s="162">
        <v>4213638</v>
      </c>
      <c r="L31" s="162">
        <v>0</v>
      </c>
      <c r="M31" s="162">
        <v>4213638</v>
      </c>
      <c r="N31" s="162">
        <v>123</v>
      </c>
      <c r="O31" s="145">
        <v>10683.4</v>
      </c>
      <c r="P31" s="162">
        <v>256576</v>
      </c>
      <c r="Q31" s="162">
        <v>4470214</v>
      </c>
      <c r="R31" s="162">
        <v>235763</v>
      </c>
    </row>
    <row r="32" spans="1:18" x14ac:dyDescent="0.25">
      <c r="A32" s="55" t="s">
        <v>380</v>
      </c>
      <c r="B32" t="s">
        <v>43</v>
      </c>
      <c r="C32" t="s">
        <v>236</v>
      </c>
      <c r="D32" s="162">
        <v>3141</v>
      </c>
      <c r="E32" s="162">
        <v>320</v>
      </c>
      <c r="F32" s="162">
        <v>3461</v>
      </c>
      <c r="G32" s="162">
        <v>110</v>
      </c>
      <c r="H32" s="168">
        <v>1.0212641440000001</v>
      </c>
      <c r="I32" s="145">
        <v>3534.6</v>
      </c>
      <c r="J32" s="162">
        <v>0</v>
      </c>
      <c r="K32" s="162">
        <v>28897024</v>
      </c>
      <c r="L32" s="162">
        <v>0</v>
      </c>
      <c r="M32" s="162">
        <v>28897024</v>
      </c>
      <c r="N32" s="162">
        <v>1478</v>
      </c>
      <c r="O32" s="145">
        <v>74667.7</v>
      </c>
      <c r="P32" s="162">
        <v>1793246</v>
      </c>
      <c r="Q32" s="162">
        <v>30690270</v>
      </c>
      <c r="R32" s="162">
        <v>1616854</v>
      </c>
    </row>
    <row r="33" spans="1:18" x14ac:dyDescent="0.25">
      <c r="A33" s="55" t="s">
        <v>379</v>
      </c>
      <c r="B33" t="s">
        <v>44</v>
      </c>
      <c r="C33" t="s">
        <v>332</v>
      </c>
      <c r="D33" s="162">
        <v>456</v>
      </c>
      <c r="E33" s="162">
        <v>45</v>
      </c>
      <c r="F33" s="162">
        <v>501</v>
      </c>
      <c r="G33" s="162">
        <v>0</v>
      </c>
      <c r="H33" s="168">
        <v>1.305823827</v>
      </c>
      <c r="I33" s="145">
        <v>654.20000000000005</v>
      </c>
      <c r="J33" s="162">
        <v>0</v>
      </c>
      <c r="K33" s="162">
        <v>5348394</v>
      </c>
      <c r="L33" s="162">
        <v>0</v>
      </c>
      <c r="M33" s="162">
        <v>5348394</v>
      </c>
      <c r="N33" s="162">
        <v>252</v>
      </c>
      <c r="O33" s="145">
        <v>11252.6</v>
      </c>
      <c r="P33" s="162">
        <v>270246</v>
      </c>
      <c r="Q33" s="162">
        <v>5618640</v>
      </c>
      <c r="R33" s="162">
        <v>299255</v>
      </c>
    </row>
    <row r="34" spans="1:18" x14ac:dyDescent="0.25">
      <c r="A34" s="55" t="s">
        <v>378</v>
      </c>
      <c r="B34" t="s">
        <v>45</v>
      </c>
      <c r="C34" t="s">
        <v>236</v>
      </c>
      <c r="D34" s="162">
        <v>893</v>
      </c>
      <c r="E34" s="162">
        <v>16</v>
      </c>
      <c r="F34" s="162">
        <v>909</v>
      </c>
      <c r="G34" s="162">
        <v>0</v>
      </c>
      <c r="H34" s="168">
        <v>3.6423178539999999</v>
      </c>
      <c r="I34" s="145">
        <v>3310.9</v>
      </c>
      <c r="J34" s="162">
        <v>0</v>
      </c>
      <c r="K34" s="162">
        <v>27068171</v>
      </c>
      <c r="L34" s="162">
        <v>0</v>
      </c>
      <c r="M34" s="162">
        <v>27068171</v>
      </c>
      <c r="N34" s="162">
        <v>215</v>
      </c>
      <c r="O34" s="145">
        <v>12449.6</v>
      </c>
      <c r="P34" s="162">
        <v>298994</v>
      </c>
      <c r="Q34" s="162">
        <v>27367165</v>
      </c>
      <c r="R34" s="162">
        <v>1514526</v>
      </c>
    </row>
    <row r="35" spans="1:18" x14ac:dyDescent="0.25">
      <c r="A35" s="55" t="s">
        <v>377</v>
      </c>
      <c r="B35" t="s">
        <v>46</v>
      </c>
      <c r="C35" t="s">
        <v>270</v>
      </c>
      <c r="D35" s="162">
        <v>36</v>
      </c>
      <c r="E35" s="162">
        <v>2</v>
      </c>
      <c r="F35" s="162">
        <v>38</v>
      </c>
      <c r="G35" s="162">
        <v>0</v>
      </c>
      <c r="H35" s="168">
        <v>1.219121202</v>
      </c>
      <c r="I35" s="145">
        <v>46.3</v>
      </c>
      <c r="J35" s="162">
        <v>0</v>
      </c>
      <c r="K35" s="162">
        <v>378524</v>
      </c>
      <c r="L35" s="162">
        <v>0</v>
      </c>
      <c r="M35" s="162">
        <v>378524</v>
      </c>
      <c r="N35" s="162">
        <v>17</v>
      </c>
      <c r="O35" s="145">
        <v>737.7</v>
      </c>
      <c r="P35" s="162">
        <v>17717</v>
      </c>
      <c r="Q35" s="162">
        <v>396241</v>
      </c>
      <c r="R35" s="162">
        <v>21179</v>
      </c>
    </row>
    <row r="36" spans="1:18" x14ac:dyDescent="0.25">
      <c r="A36" s="55" t="s">
        <v>376</v>
      </c>
      <c r="B36" t="s">
        <v>47</v>
      </c>
      <c r="C36" t="s">
        <v>270</v>
      </c>
      <c r="D36" s="162">
        <v>1361</v>
      </c>
      <c r="E36" s="162">
        <v>114</v>
      </c>
      <c r="F36" s="162">
        <v>1475</v>
      </c>
      <c r="G36" s="162">
        <v>80</v>
      </c>
      <c r="H36" s="168">
        <v>1.051441493</v>
      </c>
      <c r="I36" s="145">
        <v>1550.9</v>
      </c>
      <c r="J36" s="162">
        <v>-115504</v>
      </c>
      <c r="K36" s="162">
        <v>12563836</v>
      </c>
      <c r="L36" s="162">
        <v>0</v>
      </c>
      <c r="M36" s="162">
        <v>12563836</v>
      </c>
      <c r="N36" s="162">
        <v>767</v>
      </c>
      <c r="O36" s="145">
        <v>33313.1</v>
      </c>
      <c r="P36" s="162">
        <v>800059</v>
      </c>
      <c r="Q36" s="162">
        <v>13363895</v>
      </c>
      <c r="R36" s="162">
        <v>0</v>
      </c>
    </row>
    <row r="37" spans="1:18" x14ac:dyDescent="0.25">
      <c r="A37" s="55" t="s">
        <v>375</v>
      </c>
      <c r="B37" t="s">
        <v>48</v>
      </c>
      <c r="C37" t="s">
        <v>315</v>
      </c>
      <c r="D37" s="162">
        <v>64</v>
      </c>
      <c r="E37" s="162">
        <v>11</v>
      </c>
      <c r="F37" s="162">
        <v>75</v>
      </c>
      <c r="G37" s="162">
        <v>0</v>
      </c>
      <c r="H37" s="168">
        <v>0.75911176499999999</v>
      </c>
      <c r="I37" s="145">
        <v>56.9</v>
      </c>
      <c r="J37" s="162">
        <v>0</v>
      </c>
      <c r="K37" s="162">
        <v>465184</v>
      </c>
      <c r="L37" s="162">
        <v>0</v>
      </c>
      <c r="M37" s="162">
        <v>465184</v>
      </c>
      <c r="N37" s="162">
        <v>41</v>
      </c>
      <c r="O37" s="145">
        <v>823.3</v>
      </c>
      <c r="P37" s="162">
        <v>19773</v>
      </c>
      <c r="Q37" s="162">
        <v>484957</v>
      </c>
      <c r="R37" s="162">
        <v>26028</v>
      </c>
    </row>
    <row r="38" spans="1:18" x14ac:dyDescent="0.25">
      <c r="A38" s="55" t="s">
        <v>372</v>
      </c>
      <c r="B38" t="s">
        <v>49</v>
      </c>
      <c r="C38" t="s">
        <v>315</v>
      </c>
      <c r="D38" s="162">
        <v>68</v>
      </c>
      <c r="E38" s="162">
        <v>0</v>
      </c>
      <c r="F38" s="162">
        <v>68</v>
      </c>
      <c r="G38" s="162">
        <v>0</v>
      </c>
      <c r="H38" s="168">
        <v>1.59</v>
      </c>
      <c r="I38" s="145">
        <v>108.1</v>
      </c>
      <c r="J38" s="162">
        <v>-8051</v>
      </c>
      <c r="K38" s="162">
        <v>875718</v>
      </c>
      <c r="L38" s="162">
        <v>0</v>
      </c>
      <c r="M38" s="162">
        <v>875718</v>
      </c>
      <c r="N38" s="162">
        <v>29</v>
      </c>
      <c r="O38" s="145">
        <v>2718.9</v>
      </c>
      <c r="P38" s="162">
        <v>65298</v>
      </c>
      <c r="Q38" s="162">
        <v>941016</v>
      </c>
      <c r="R38" s="162">
        <v>0</v>
      </c>
    </row>
    <row r="39" spans="1:18" x14ac:dyDescent="0.25">
      <c r="A39" s="55" t="s">
        <v>371</v>
      </c>
      <c r="B39" t="s">
        <v>50</v>
      </c>
      <c r="C39" t="s">
        <v>244</v>
      </c>
      <c r="D39" s="162">
        <v>3008</v>
      </c>
      <c r="E39" s="162">
        <v>30</v>
      </c>
      <c r="F39" s="162">
        <v>3038</v>
      </c>
      <c r="G39" s="162">
        <v>30</v>
      </c>
      <c r="H39" s="168">
        <v>1.097288257</v>
      </c>
      <c r="I39" s="145">
        <v>3333.6</v>
      </c>
      <c r="J39" s="162">
        <v>-248271</v>
      </c>
      <c r="K39" s="162">
        <v>27005483</v>
      </c>
      <c r="L39" s="162">
        <v>0</v>
      </c>
      <c r="M39" s="162">
        <v>27005483</v>
      </c>
      <c r="N39" s="162">
        <v>1214</v>
      </c>
      <c r="O39" s="145">
        <v>58597.3</v>
      </c>
      <c r="P39" s="162">
        <v>1407293</v>
      </c>
      <c r="Q39" s="162">
        <v>28412776</v>
      </c>
      <c r="R39" s="162">
        <v>0</v>
      </c>
    </row>
    <row r="40" spans="1:18" x14ac:dyDescent="0.25">
      <c r="A40" s="55" t="s">
        <v>370</v>
      </c>
      <c r="B40" t="s">
        <v>51</v>
      </c>
      <c r="C40" t="s">
        <v>236</v>
      </c>
      <c r="D40" s="162">
        <v>136</v>
      </c>
      <c r="E40" s="162">
        <v>7</v>
      </c>
      <c r="F40" s="162">
        <v>143</v>
      </c>
      <c r="G40" s="162">
        <v>0</v>
      </c>
      <c r="H40" s="168">
        <v>0.48760395499999998</v>
      </c>
      <c r="I40" s="145">
        <v>69.7</v>
      </c>
      <c r="J40" s="162">
        <v>0</v>
      </c>
      <c r="K40" s="162">
        <v>569830</v>
      </c>
      <c r="L40" s="162">
        <v>200000</v>
      </c>
      <c r="M40" s="162">
        <v>769830</v>
      </c>
      <c r="N40" s="162">
        <v>97</v>
      </c>
      <c r="O40" s="145">
        <v>1184.7</v>
      </c>
      <c r="P40" s="162">
        <v>28452</v>
      </c>
      <c r="Q40" s="162">
        <v>798282</v>
      </c>
      <c r="R40" s="162">
        <v>43074</v>
      </c>
    </row>
    <row r="41" spans="1:18" x14ac:dyDescent="0.25">
      <c r="A41" s="55" t="s">
        <v>369</v>
      </c>
      <c r="B41" t="s">
        <v>52</v>
      </c>
      <c r="C41" t="s">
        <v>238</v>
      </c>
      <c r="D41" s="162">
        <v>6525</v>
      </c>
      <c r="E41" s="162">
        <v>523</v>
      </c>
      <c r="F41" s="162">
        <v>7048</v>
      </c>
      <c r="G41" s="162">
        <v>444</v>
      </c>
      <c r="H41" s="168">
        <v>1.0539532039999999</v>
      </c>
      <c r="I41" s="145">
        <v>7428.3</v>
      </c>
      <c r="J41" s="162">
        <v>-553225</v>
      </c>
      <c r="K41" s="162">
        <v>60176634</v>
      </c>
      <c r="L41" s="162">
        <v>0</v>
      </c>
      <c r="M41" s="162">
        <v>60176634</v>
      </c>
      <c r="N41" s="162">
        <v>3162</v>
      </c>
      <c r="O41" s="145">
        <v>150979.6</v>
      </c>
      <c r="P41" s="162">
        <v>3625979</v>
      </c>
      <c r="Q41" s="162">
        <v>63802613</v>
      </c>
      <c r="R41" s="162">
        <v>0</v>
      </c>
    </row>
    <row r="42" spans="1:18" x14ac:dyDescent="0.25">
      <c r="A42" s="55" t="s">
        <v>374</v>
      </c>
      <c r="B42" t="s">
        <v>53</v>
      </c>
      <c r="C42" t="s">
        <v>238</v>
      </c>
      <c r="D42" s="162">
        <v>166</v>
      </c>
      <c r="E42" s="162">
        <v>14</v>
      </c>
      <c r="F42" s="162">
        <v>180</v>
      </c>
      <c r="G42" s="162">
        <v>0</v>
      </c>
      <c r="H42" s="168">
        <v>1.0274888929999999</v>
      </c>
      <c r="I42" s="145">
        <v>184.9</v>
      </c>
      <c r="J42" s="162">
        <v>0</v>
      </c>
      <c r="K42" s="162">
        <v>1511645</v>
      </c>
      <c r="L42" s="162">
        <v>0</v>
      </c>
      <c r="M42" s="162">
        <v>1511645</v>
      </c>
      <c r="N42" s="162">
        <v>72</v>
      </c>
      <c r="O42" s="145">
        <v>2573.1999999999998</v>
      </c>
      <c r="P42" s="162">
        <v>61799</v>
      </c>
      <c r="Q42" s="162">
        <v>1573444</v>
      </c>
      <c r="R42" s="162">
        <v>84580</v>
      </c>
    </row>
    <row r="43" spans="1:18" x14ac:dyDescent="0.25">
      <c r="A43" s="55" t="s">
        <v>373</v>
      </c>
      <c r="B43" t="s">
        <v>54</v>
      </c>
      <c r="C43" t="s">
        <v>238</v>
      </c>
      <c r="D43" s="162">
        <v>118</v>
      </c>
      <c r="E43" s="162">
        <v>5</v>
      </c>
      <c r="F43" s="162">
        <v>123</v>
      </c>
      <c r="G43" s="162">
        <v>0</v>
      </c>
      <c r="H43" s="168">
        <v>1.090759837</v>
      </c>
      <c r="I43" s="145">
        <v>134.19999999999999</v>
      </c>
      <c r="J43" s="162">
        <v>0</v>
      </c>
      <c r="K43" s="162">
        <v>1097148</v>
      </c>
      <c r="L43" s="162">
        <v>0</v>
      </c>
      <c r="M43" s="162">
        <v>1097148</v>
      </c>
      <c r="N43" s="162">
        <v>34</v>
      </c>
      <c r="O43" s="145">
        <v>2263.1</v>
      </c>
      <c r="P43" s="162">
        <v>54351</v>
      </c>
      <c r="Q43" s="162">
        <v>1151499</v>
      </c>
      <c r="R43" s="162">
        <v>61388</v>
      </c>
    </row>
    <row r="44" spans="1:18" x14ac:dyDescent="0.25">
      <c r="A44" s="55" t="s">
        <v>368</v>
      </c>
      <c r="B44" t="s">
        <v>55</v>
      </c>
      <c r="C44" t="s">
        <v>269</v>
      </c>
      <c r="D44" s="162">
        <v>555</v>
      </c>
      <c r="E44" s="162">
        <v>15</v>
      </c>
      <c r="F44" s="162">
        <v>570</v>
      </c>
      <c r="G44" s="162">
        <v>10</v>
      </c>
      <c r="H44" s="168">
        <v>1.04740543</v>
      </c>
      <c r="I44" s="145">
        <v>597</v>
      </c>
      <c r="J44" s="162">
        <v>-44462</v>
      </c>
      <c r="K44" s="162">
        <v>4836295</v>
      </c>
      <c r="L44" s="162">
        <v>0</v>
      </c>
      <c r="M44" s="162">
        <v>4836295</v>
      </c>
      <c r="N44" s="162">
        <v>225</v>
      </c>
      <c r="O44" s="145">
        <v>10124.9</v>
      </c>
      <c r="P44" s="162">
        <v>243163</v>
      </c>
      <c r="Q44" s="162">
        <v>5079458</v>
      </c>
      <c r="R44" s="162">
        <v>0</v>
      </c>
    </row>
    <row r="45" spans="1:18" x14ac:dyDescent="0.25">
      <c r="A45" s="55" t="s">
        <v>367</v>
      </c>
      <c r="B45" t="s">
        <v>56</v>
      </c>
      <c r="C45" t="s">
        <v>246</v>
      </c>
      <c r="D45" s="162">
        <v>2561</v>
      </c>
      <c r="E45" s="162">
        <v>173</v>
      </c>
      <c r="F45" s="162">
        <v>2734</v>
      </c>
      <c r="G45" s="162">
        <v>113</v>
      </c>
      <c r="H45" s="168">
        <v>1.0753892839999999</v>
      </c>
      <c r="I45" s="145">
        <v>2940.1</v>
      </c>
      <c r="J45" s="162">
        <v>-218965</v>
      </c>
      <c r="K45" s="162">
        <v>23817741</v>
      </c>
      <c r="L45" s="162">
        <v>0</v>
      </c>
      <c r="M45" s="162">
        <v>23817741</v>
      </c>
      <c r="N45" s="162">
        <v>1322</v>
      </c>
      <c r="O45" s="145">
        <v>63037.5</v>
      </c>
      <c r="P45" s="162">
        <v>1513931</v>
      </c>
      <c r="Q45" s="162">
        <v>25331672</v>
      </c>
      <c r="R45" s="162">
        <v>0</v>
      </c>
    </row>
    <row r="46" spans="1:18" x14ac:dyDescent="0.25">
      <c r="A46" s="55" t="s">
        <v>366</v>
      </c>
      <c r="B46" t="s">
        <v>211</v>
      </c>
      <c r="C46" t="s">
        <v>244</v>
      </c>
      <c r="D46" s="162">
        <v>89</v>
      </c>
      <c r="E46" s="162">
        <v>9</v>
      </c>
      <c r="F46" s="162">
        <v>98</v>
      </c>
      <c r="G46" s="162">
        <v>0</v>
      </c>
      <c r="H46" s="168">
        <v>1.070298929</v>
      </c>
      <c r="I46" s="145">
        <v>104.9</v>
      </c>
      <c r="J46" s="162">
        <v>0</v>
      </c>
      <c r="K46" s="162">
        <v>857607</v>
      </c>
      <c r="L46" s="162">
        <v>0</v>
      </c>
      <c r="M46" s="162">
        <v>857607</v>
      </c>
      <c r="N46" s="162">
        <v>50</v>
      </c>
      <c r="O46" s="145">
        <v>1789.1</v>
      </c>
      <c r="P46" s="162">
        <v>42968</v>
      </c>
      <c r="Q46" s="162">
        <v>900575</v>
      </c>
      <c r="R46" s="162">
        <v>47985</v>
      </c>
    </row>
    <row r="47" spans="1:18" x14ac:dyDescent="0.25">
      <c r="A47" s="55" t="s">
        <v>365</v>
      </c>
      <c r="B47" t="s">
        <v>58</v>
      </c>
      <c r="C47" t="s">
        <v>236</v>
      </c>
      <c r="D47" s="162">
        <v>85</v>
      </c>
      <c r="E47" s="162">
        <v>5</v>
      </c>
      <c r="F47" s="162">
        <v>90</v>
      </c>
      <c r="G47" s="162">
        <v>0</v>
      </c>
      <c r="H47" s="168">
        <v>1.179555967</v>
      </c>
      <c r="I47" s="145">
        <v>106.2</v>
      </c>
      <c r="J47" s="162">
        <v>0</v>
      </c>
      <c r="K47" s="162">
        <v>868235</v>
      </c>
      <c r="L47" s="162">
        <v>0</v>
      </c>
      <c r="M47" s="162">
        <v>868235</v>
      </c>
      <c r="N47" s="162">
        <v>47</v>
      </c>
      <c r="O47" s="145">
        <v>2316.6</v>
      </c>
      <c r="P47" s="162">
        <v>55636</v>
      </c>
      <c r="Q47" s="162">
        <v>923871</v>
      </c>
      <c r="R47" s="162">
        <v>48580</v>
      </c>
    </row>
    <row r="48" spans="1:18" x14ac:dyDescent="0.25">
      <c r="A48" s="55" t="s">
        <v>364</v>
      </c>
      <c r="B48" t="s">
        <v>59</v>
      </c>
      <c r="C48" t="s">
        <v>236</v>
      </c>
      <c r="D48" s="162">
        <v>63</v>
      </c>
      <c r="E48" s="162">
        <v>0</v>
      </c>
      <c r="F48" s="162">
        <v>63</v>
      </c>
      <c r="G48" s="162">
        <v>0</v>
      </c>
      <c r="H48" s="168">
        <v>0.97451005000000002</v>
      </c>
      <c r="I48" s="145">
        <v>61.4</v>
      </c>
      <c r="J48" s="162">
        <v>0</v>
      </c>
      <c r="K48" s="162">
        <v>501974</v>
      </c>
      <c r="L48" s="162">
        <v>0</v>
      </c>
      <c r="M48" s="162">
        <v>501974</v>
      </c>
      <c r="N48" s="162">
        <v>13</v>
      </c>
      <c r="O48" s="145">
        <v>212.5</v>
      </c>
      <c r="P48" s="162">
        <v>5103</v>
      </c>
      <c r="Q48" s="162">
        <v>507077</v>
      </c>
      <c r="R48" s="162">
        <v>28087</v>
      </c>
    </row>
    <row r="49" spans="1:18" x14ac:dyDescent="0.25">
      <c r="A49" s="55" t="s">
        <v>363</v>
      </c>
      <c r="B49" t="s">
        <v>60</v>
      </c>
      <c r="C49" t="s">
        <v>238</v>
      </c>
      <c r="D49" s="162">
        <v>23</v>
      </c>
      <c r="E49" s="162">
        <v>0</v>
      </c>
      <c r="F49" s="162">
        <v>23</v>
      </c>
      <c r="G49" s="162">
        <v>0</v>
      </c>
      <c r="H49" s="168">
        <v>0.80139253600000004</v>
      </c>
      <c r="I49" s="145">
        <v>18.399999999999999</v>
      </c>
      <c r="J49" s="162">
        <v>0</v>
      </c>
      <c r="K49" s="162">
        <v>150429</v>
      </c>
      <c r="L49" s="162">
        <v>0</v>
      </c>
      <c r="M49" s="162">
        <v>150429</v>
      </c>
      <c r="N49" s="162">
        <v>9</v>
      </c>
      <c r="O49" s="145">
        <v>160.4</v>
      </c>
      <c r="P49" s="162">
        <v>3852</v>
      </c>
      <c r="Q49" s="162">
        <v>154281</v>
      </c>
      <c r="R49" s="162">
        <v>8417</v>
      </c>
    </row>
    <row r="50" spans="1:18" x14ac:dyDescent="0.25">
      <c r="A50" s="55" t="s">
        <v>362</v>
      </c>
      <c r="B50" t="s">
        <v>61</v>
      </c>
      <c r="C50" t="s">
        <v>236</v>
      </c>
      <c r="D50" s="162">
        <v>664</v>
      </c>
      <c r="E50" s="162">
        <v>95</v>
      </c>
      <c r="F50" s="162">
        <v>759</v>
      </c>
      <c r="G50" s="162">
        <v>0</v>
      </c>
      <c r="H50" s="168">
        <v>0.72341920199999998</v>
      </c>
      <c r="I50" s="145">
        <v>549.1</v>
      </c>
      <c r="J50" s="162">
        <v>0</v>
      </c>
      <c r="K50" s="162">
        <v>4489152</v>
      </c>
      <c r="L50" s="162">
        <v>0</v>
      </c>
      <c r="M50" s="162">
        <v>4489152</v>
      </c>
      <c r="N50" s="162">
        <v>306</v>
      </c>
      <c r="O50" s="145">
        <v>13910.4</v>
      </c>
      <c r="P50" s="162">
        <v>334077</v>
      </c>
      <c r="Q50" s="162">
        <v>4823229</v>
      </c>
      <c r="R50" s="162">
        <v>251178</v>
      </c>
    </row>
    <row r="51" spans="1:18" x14ac:dyDescent="0.25">
      <c r="A51" s="55" t="s">
        <v>361</v>
      </c>
      <c r="B51" t="s">
        <v>62</v>
      </c>
      <c r="C51" t="s">
        <v>343</v>
      </c>
      <c r="D51" s="162">
        <v>69</v>
      </c>
      <c r="E51" s="162">
        <v>0</v>
      </c>
      <c r="F51" s="162">
        <v>69</v>
      </c>
      <c r="G51" s="162">
        <v>0</v>
      </c>
      <c r="H51" s="168">
        <v>1.0669123869999999</v>
      </c>
      <c r="I51" s="145">
        <v>73.599999999999994</v>
      </c>
      <c r="J51" s="162">
        <v>0</v>
      </c>
      <c r="K51" s="162">
        <v>601715</v>
      </c>
      <c r="L51" s="162">
        <v>0</v>
      </c>
      <c r="M51" s="162">
        <v>601715</v>
      </c>
      <c r="N51" s="162">
        <v>55</v>
      </c>
      <c r="O51" s="145">
        <v>2159.8000000000002</v>
      </c>
      <c r="P51" s="162">
        <v>51871</v>
      </c>
      <c r="Q51" s="162">
        <v>653586</v>
      </c>
      <c r="R51" s="162">
        <v>33667</v>
      </c>
    </row>
    <row r="52" spans="1:18" x14ac:dyDescent="0.25">
      <c r="A52" s="55" t="s">
        <v>360</v>
      </c>
      <c r="B52" t="s">
        <v>63</v>
      </c>
      <c r="C52" t="s">
        <v>236</v>
      </c>
      <c r="D52" s="162">
        <v>83</v>
      </c>
      <c r="E52" s="162">
        <v>5</v>
      </c>
      <c r="F52" s="162">
        <v>88</v>
      </c>
      <c r="G52" s="162">
        <v>0</v>
      </c>
      <c r="H52" s="168">
        <v>0.93090634400000005</v>
      </c>
      <c r="I52" s="145">
        <v>81.900000000000006</v>
      </c>
      <c r="J52" s="162">
        <v>0</v>
      </c>
      <c r="K52" s="162">
        <v>669571</v>
      </c>
      <c r="L52" s="162">
        <v>60000</v>
      </c>
      <c r="M52" s="162">
        <v>729571</v>
      </c>
      <c r="N52" s="162">
        <v>29</v>
      </c>
      <c r="O52" s="145">
        <v>1318.7</v>
      </c>
      <c r="P52" s="162">
        <v>31670</v>
      </c>
      <c r="Q52" s="162">
        <v>761241</v>
      </c>
      <c r="R52" s="162">
        <v>40821</v>
      </c>
    </row>
    <row r="53" spans="1:18" x14ac:dyDescent="0.25">
      <c r="A53" s="55" t="s">
        <v>359</v>
      </c>
      <c r="B53" t="s">
        <v>64</v>
      </c>
      <c r="C53" t="s">
        <v>294</v>
      </c>
      <c r="D53" s="162">
        <v>2434</v>
      </c>
      <c r="E53" s="162">
        <v>260</v>
      </c>
      <c r="F53" s="162">
        <v>2694</v>
      </c>
      <c r="G53" s="162">
        <v>166</v>
      </c>
      <c r="H53" s="168">
        <v>1.0253113650000001</v>
      </c>
      <c r="I53" s="145">
        <v>2762.2</v>
      </c>
      <c r="J53" s="162">
        <v>-205716</v>
      </c>
      <c r="K53" s="162">
        <v>22376573</v>
      </c>
      <c r="L53" s="162">
        <v>0</v>
      </c>
      <c r="M53" s="162">
        <v>22376573</v>
      </c>
      <c r="N53" s="162">
        <v>954</v>
      </c>
      <c r="O53" s="145">
        <v>49317.7</v>
      </c>
      <c r="P53" s="162">
        <v>1184431</v>
      </c>
      <c r="Q53" s="162">
        <v>23561004</v>
      </c>
      <c r="R53" s="162">
        <v>0</v>
      </c>
    </row>
    <row r="54" spans="1:18" x14ac:dyDescent="0.25">
      <c r="A54" s="55" t="s">
        <v>345</v>
      </c>
      <c r="B54" t="s">
        <v>65</v>
      </c>
      <c r="C54" t="s">
        <v>343</v>
      </c>
      <c r="D54" s="162">
        <v>43</v>
      </c>
      <c r="E54" s="162">
        <v>5</v>
      </c>
      <c r="F54" s="162">
        <v>48</v>
      </c>
      <c r="G54" s="162">
        <v>0</v>
      </c>
      <c r="H54" s="168">
        <v>1.59</v>
      </c>
      <c r="I54" s="145">
        <v>76.3</v>
      </c>
      <c r="J54" s="162">
        <v>0</v>
      </c>
      <c r="K54" s="162">
        <v>623789</v>
      </c>
      <c r="L54" s="162">
        <v>0</v>
      </c>
      <c r="M54" s="162">
        <v>623789</v>
      </c>
      <c r="N54" s="162">
        <v>16</v>
      </c>
      <c r="O54" s="145">
        <v>1488.2</v>
      </c>
      <c r="P54" s="162">
        <v>35741</v>
      </c>
      <c r="Q54" s="162">
        <v>659530</v>
      </c>
      <c r="R54" s="162">
        <v>34902</v>
      </c>
    </row>
    <row r="55" spans="1:18" x14ac:dyDescent="0.25">
      <c r="A55" s="55" t="s">
        <v>344</v>
      </c>
      <c r="B55" t="s">
        <v>66</v>
      </c>
      <c r="C55" t="s">
        <v>343</v>
      </c>
      <c r="D55" s="162">
        <v>2572</v>
      </c>
      <c r="E55" s="162">
        <v>161</v>
      </c>
      <c r="F55" s="162">
        <v>2733</v>
      </c>
      <c r="G55" s="162">
        <v>108</v>
      </c>
      <c r="H55" s="168">
        <v>1.107106728</v>
      </c>
      <c r="I55" s="145">
        <v>3025.7</v>
      </c>
      <c r="J55" s="162">
        <v>-225340</v>
      </c>
      <c r="K55" s="162">
        <v>24511186</v>
      </c>
      <c r="L55" s="162">
        <v>400000</v>
      </c>
      <c r="M55" s="162">
        <v>24911186</v>
      </c>
      <c r="N55" s="162">
        <v>1308</v>
      </c>
      <c r="O55" s="145">
        <v>63851</v>
      </c>
      <c r="P55" s="162">
        <v>1533468</v>
      </c>
      <c r="Q55" s="162">
        <v>26444654</v>
      </c>
      <c r="R55" s="162">
        <v>0</v>
      </c>
    </row>
    <row r="56" spans="1:18" x14ac:dyDescent="0.25">
      <c r="A56" s="55" t="s">
        <v>338</v>
      </c>
      <c r="B56" t="s">
        <v>67</v>
      </c>
      <c r="C56" t="s">
        <v>236</v>
      </c>
      <c r="D56" s="162">
        <v>5059</v>
      </c>
      <c r="E56" s="162">
        <v>721</v>
      </c>
      <c r="F56" s="162">
        <v>5780</v>
      </c>
      <c r="G56" s="162">
        <v>170</v>
      </c>
      <c r="H56" s="168">
        <v>1.0259115350000001</v>
      </c>
      <c r="I56" s="145">
        <v>5929.8</v>
      </c>
      <c r="J56" s="162">
        <v>-441624</v>
      </c>
      <c r="K56" s="162">
        <v>48037291</v>
      </c>
      <c r="L56" s="162">
        <v>0</v>
      </c>
      <c r="M56" s="162">
        <v>48037291</v>
      </c>
      <c r="N56" s="162">
        <v>1795</v>
      </c>
      <c r="O56" s="145">
        <v>92245.4</v>
      </c>
      <c r="P56" s="162">
        <v>2215398</v>
      </c>
      <c r="Q56" s="162">
        <v>50252689</v>
      </c>
      <c r="R56" s="162">
        <v>0</v>
      </c>
    </row>
    <row r="57" spans="1:18" x14ac:dyDescent="0.25">
      <c r="A57" s="55" t="s">
        <v>358</v>
      </c>
      <c r="B57" t="s">
        <v>68</v>
      </c>
      <c r="C57" t="s">
        <v>236</v>
      </c>
      <c r="D57" s="162">
        <v>332</v>
      </c>
      <c r="E57" s="162">
        <v>13</v>
      </c>
      <c r="F57" s="162">
        <v>345</v>
      </c>
      <c r="G57" s="162">
        <v>0</v>
      </c>
      <c r="H57" s="168">
        <v>0.62193357500000002</v>
      </c>
      <c r="I57" s="145">
        <v>214.6</v>
      </c>
      <c r="J57" s="162">
        <v>0</v>
      </c>
      <c r="K57" s="162">
        <v>1754456</v>
      </c>
      <c r="L57" s="162">
        <v>300000</v>
      </c>
      <c r="M57" s="162">
        <v>2054456</v>
      </c>
      <c r="N57" s="162">
        <v>55</v>
      </c>
      <c r="O57" s="145">
        <v>529.20000000000005</v>
      </c>
      <c r="P57" s="162">
        <v>12709</v>
      </c>
      <c r="Q57" s="162">
        <v>2067165</v>
      </c>
      <c r="R57" s="162">
        <v>114952</v>
      </c>
    </row>
    <row r="58" spans="1:18" x14ac:dyDescent="0.25">
      <c r="A58" s="55" t="s">
        <v>357</v>
      </c>
      <c r="B58" t="s">
        <v>69</v>
      </c>
      <c r="C58" t="s">
        <v>332</v>
      </c>
      <c r="D58" s="162">
        <v>582</v>
      </c>
      <c r="E58" s="162">
        <v>50</v>
      </c>
      <c r="F58" s="162">
        <v>632</v>
      </c>
      <c r="G58" s="162">
        <v>0</v>
      </c>
      <c r="H58" s="168">
        <v>3.6447658349999998</v>
      </c>
      <c r="I58" s="145">
        <v>2303.5</v>
      </c>
      <c r="J58" s="162">
        <v>0</v>
      </c>
      <c r="K58" s="162">
        <v>18832200</v>
      </c>
      <c r="L58" s="162">
        <v>0</v>
      </c>
      <c r="M58" s="162">
        <v>18832200</v>
      </c>
      <c r="N58" s="162">
        <v>194</v>
      </c>
      <c r="O58" s="145">
        <v>9216.1</v>
      </c>
      <c r="P58" s="162">
        <v>221337</v>
      </c>
      <c r="Q58" s="162">
        <v>19053537</v>
      </c>
      <c r="R58" s="162">
        <v>1053705</v>
      </c>
    </row>
    <row r="59" spans="1:18" x14ac:dyDescent="0.25">
      <c r="A59" s="55" t="s">
        <v>356</v>
      </c>
      <c r="B59" t="s">
        <v>70</v>
      </c>
      <c r="C59" t="s">
        <v>236</v>
      </c>
      <c r="D59" s="162">
        <v>1390</v>
      </c>
      <c r="E59" s="162">
        <v>85</v>
      </c>
      <c r="F59" s="162">
        <v>1475</v>
      </c>
      <c r="G59" s="162">
        <v>0</v>
      </c>
      <c r="H59" s="168">
        <v>1.0336302079999999</v>
      </c>
      <c r="I59" s="145">
        <v>1524.6</v>
      </c>
      <c r="J59" s="162">
        <v>0</v>
      </c>
      <c r="K59" s="162">
        <v>12464325</v>
      </c>
      <c r="L59" s="162">
        <v>0</v>
      </c>
      <c r="M59" s="162">
        <v>12464325</v>
      </c>
      <c r="N59" s="162">
        <v>749</v>
      </c>
      <c r="O59" s="145">
        <v>26437.8</v>
      </c>
      <c r="P59" s="162">
        <v>634940</v>
      </c>
      <c r="Q59" s="162">
        <v>13099265</v>
      </c>
      <c r="R59" s="162">
        <v>697407</v>
      </c>
    </row>
    <row r="60" spans="1:18" x14ac:dyDescent="0.25">
      <c r="A60" s="55" t="s">
        <v>355</v>
      </c>
      <c r="B60" t="s">
        <v>71</v>
      </c>
      <c r="C60" t="s">
        <v>236</v>
      </c>
      <c r="D60" s="162">
        <v>105</v>
      </c>
      <c r="E60" s="162">
        <v>10</v>
      </c>
      <c r="F60" s="162">
        <v>115</v>
      </c>
      <c r="G60" s="162">
        <v>0</v>
      </c>
      <c r="H60" s="168">
        <v>1.651459649</v>
      </c>
      <c r="I60" s="145">
        <v>189.9</v>
      </c>
      <c r="J60" s="162">
        <v>0</v>
      </c>
      <c r="K60" s="162">
        <v>1552522</v>
      </c>
      <c r="L60" s="162">
        <v>0</v>
      </c>
      <c r="M60" s="162">
        <v>1552522</v>
      </c>
      <c r="N60" s="162">
        <v>50</v>
      </c>
      <c r="O60" s="145">
        <v>4002</v>
      </c>
      <c r="P60" s="162">
        <v>96113</v>
      </c>
      <c r="Q60" s="162">
        <v>1648635</v>
      </c>
      <c r="R60" s="162">
        <v>86867</v>
      </c>
    </row>
    <row r="61" spans="1:18" x14ac:dyDescent="0.25">
      <c r="A61" s="55" t="s">
        <v>354</v>
      </c>
      <c r="B61" t="s">
        <v>72</v>
      </c>
      <c r="C61" t="s">
        <v>315</v>
      </c>
      <c r="D61" s="162">
        <v>20</v>
      </c>
      <c r="E61" s="162">
        <v>0</v>
      </c>
      <c r="F61" s="162">
        <v>20</v>
      </c>
      <c r="G61" s="162">
        <v>0</v>
      </c>
      <c r="H61" s="168">
        <v>0.84150000000000003</v>
      </c>
      <c r="I61" s="145">
        <v>16.8</v>
      </c>
      <c r="J61" s="162">
        <v>0</v>
      </c>
      <c r="K61" s="162">
        <v>137348</v>
      </c>
      <c r="L61" s="162">
        <v>0</v>
      </c>
      <c r="M61" s="162">
        <v>137348</v>
      </c>
      <c r="N61" s="162">
        <v>12</v>
      </c>
      <c r="O61" s="145">
        <v>288.7</v>
      </c>
      <c r="P61" s="162">
        <v>6934</v>
      </c>
      <c r="Q61" s="162">
        <v>144282</v>
      </c>
      <c r="R61" s="162">
        <v>7685</v>
      </c>
    </row>
    <row r="62" spans="1:18" x14ac:dyDescent="0.25">
      <c r="A62" s="55" t="s">
        <v>353</v>
      </c>
      <c r="B62" t="s">
        <v>154</v>
      </c>
      <c r="C62" t="s">
        <v>236</v>
      </c>
      <c r="D62" s="162">
        <v>33</v>
      </c>
      <c r="E62" s="162">
        <v>4</v>
      </c>
      <c r="F62" s="162">
        <v>37</v>
      </c>
      <c r="G62" s="162">
        <v>0</v>
      </c>
      <c r="H62" s="168">
        <v>0.383873099</v>
      </c>
      <c r="I62" s="145">
        <v>14.2</v>
      </c>
      <c r="J62" s="162">
        <v>0</v>
      </c>
      <c r="K62" s="162">
        <v>116092</v>
      </c>
      <c r="L62" s="162">
        <v>215000</v>
      </c>
      <c r="M62" s="162">
        <v>331092</v>
      </c>
      <c r="N62" s="162">
        <v>16</v>
      </c>
      <c r="O62" s="145">
        <v>171.1</v>
      </c>
      <c r="P62" s="162">
        <v>4109</v>
      </c>
      <c r="Q62" s="162">
        <v>335201</v>
      </c>
      <c r="R62" s="162">
        <v>18525</v>
      </c>
    </row>
    <row r="63" spans="1:18" x14ac:dyDescent="0.25">
      <c r="A63" s="55" t="s">
        <v>352</v>
      </c>
      <c r="B63" t="s">
        <v>171</v>
      </c>
      <c r="C63" t="s">
        <v>236</v>
      </c>
      <c r="D63" s="162">
        <v>0</v>
      </c>
      <c r="E63" s="162">
        <v>20</v>
      </c>
      <c r="F63" s="162">
        <v>20</v>
      </c>
      <c r="G63" s="162">
        <v>0</v>
      </c>
      <c r="H63" s="168">
        <v>0.315</v>
      </c>
      <c r="I63" s="145">
        <v>6.3</v>
      </c>
      <c r="J63" s="162">
        <v>0</v>
      </c>
      <c r="K63" s="162">
        <v>51505</v>
      </c>
      <c r="L63" s="162">
        <v>37500</v>
      </c>
      <c r="M63" s="162">
        <v>89005</v>
      </c>
      <c r="N63" s="162">
        <v>0</v>
      </c>
      <c r="O63" s="145">
        <v>0</v>
      </c>
      <c r="P63" s="162">
        <v>0</v>
      </c>
      <c r="Q63" s="162">
        <v>89005</v>
      </c>
      <c r="R63" s="162">
        <v>4980</v>
      </c>
    </row>
    <row r="64" spans="1:18" x14ac:dyDescent="0.25">
      <c r="A64" s="55" t="s">
        <v>351</v>
      </c>
      <c r="B64" t="s">
        <v>73</v>
      </c>
      <c r="C64" t="s">
        <v>269</v>
      </c>
      <c r="D64" s="162">
        <v>97</v>
      </c>
      <c r="E64" s="162">
        <v>3</v>
      </c>
      <c r="F64" s="162">
        <v>100</v>
      </c>
      <c r="G64" s="162">
        <v>0</v>
      </c>
      <c r="H64" s="168">
        <v>1.0034391979999999</v>
      </c>
      <c r="I64" s="145">
        <v>100.3</v>
      </c>
      <c r="J64" s="162">
        <v>0</v>
      </c>
      <c r="K64" s="162">
        <v>820000</v>
      </c>
      <c r="L64" s="162">
        <v>0</v>
      </c>
      <c r="M64" s="162">
        <v>820000</v>
      </c>
      <c r="N64" s="162">
        <v>41</v>
      </c>
      <c r="O64" s="145">
        <v>1732.1</v>
      </c>
      <c r="P64" s="162">
        <v>41599</v>
      </c>
      <c r="Q64" s="162">
        <v>861599</v>
      </c>
      <c r="R64" s="162">
        <v>45881</v>
      </c>
    </row>
    <row r="65" spans="1:18" x14ac:dyDescent="0.25">
      <c r="A65" s="55" t="s">
        <v>350</v>
      </c>
      <c r="B65" t="s">
        <v>74</v>
      </c>
      <c r="C65" t="s">
        <v>254</v>
      </c>
      <c r="D65" s="162">
        <v>2316</v>
      </c>
      <c r="E65" s="162">
        <v>283</v>
      </c>
      <c r="F65" s="162">
        <v>2599</v>
      </c>
      <c r="G65" s="162">
        <v>153</v>
      </c>
      <c r="H65" s="168">
        <v>1.083149127</v>
      </c>
      <c r="I65" s="145">
        <v>2815.1</v>
      </c>
      <c r="J65" s="162">
        <v>-209656</v>
      </c>
      <c r="K65" s="162">
        <v>22805116</v>
      </c>
      <c r="L65" s="162">
        <v>0</v>
      </c>
      <c r="M65" s="162">
        <v>22805116</v>
      </c>
      <c r="N65" s="162">
        <v>979</v>
      </c>
      <c r="O65" s="145">
        <v>53590</v>
      </c>
      <c r="P65" s="162">
        <v>1287036</v>
      </c>
      <c r="Q65" s="162">
        <v>24092152</v>
      </c>
      <c r="R65" s="162">
        <v>0</v>
      </c>
    </row>
    <row r="66" spans="1:18" x14ac:dyDescent="0.25">
      <c r="A66" s="55" t="s">
        <v>349</v>
      </c>
      <c r="B66" t="s">
        <v>75</v>
      </c>
      <c r="C66" t="s">
        <v>250</v>
      </c>
      <c r="D66" s="162">
        <v>5467</v>
      </c>
      <c r="E66" s="162">
        <v>599</v>
      </c>
      <c r="F66" s="162">
        <v>6066</v>
      </c>
      <c r="G66" s="162">
        <v>160</v>
      </c>
      <c r="H66" s="168">
        <v>1.028256552</v>
      </c>
      <c r="I66" s="145">
        <v>6237.4</v>
      </c>
      <c r="J66" s="162">
        <v>-464533</v>
      </c>
      <c r="K66" s="162">
        <v>50529157</v>
      </c>
      <c r="L66" s="162">
        <v>0</v>
      </c>
      <c r="M66" s="162">
        <v>50529157</v>
      </c>
      <c r="N66" s="162">
        <v>2589</v>
      </c>
      <c r="O66" s="145">
        <v>129709.1</v>
      </c>
      <c r="P66" s="162">
        <v>3115139</v>
      </c>
      <c r="Q66" s="162">
        <v>53644296</v>
      </c>
      <c r="R66" s="162">
        <v>0</v>
      </c>
    </row>
    <row r="67" spans="1:18" x14ac:dyDescent="0.25">
      <c r="A67" s="55" t="s">
        <v>348</v>
      </c>
      <c r="B67" t="s">
        <v>76</v>
      </c>
      <c r="C67" t="s">
        <v>332</v>
      </c>
      <c r="D67" s="162">
        <v>2145</v>
      </c>
      <c r="E67" s="162">
        <v>109</v>
      </c>
      <c r="F67" s="162">
        <v>2254</v>
      </c>
      <c r="G67" s="162">
        <v>80</v>
      </c>
      <c r="H67" s="168">
        <v>1.0332287099999999</v>
      </c>
      <c r="I67" s="145">
        <v>2328.9</v>
      </c>
      <c r="J67" s="162">
        <v>-173446</v>
      </c>
      <c r="K67" s="162">
        <v>18866411</v>
      </c>
      <c r="L67" s="162">
        <v>0</v>
      </c>
      <c r="M67" s="162">
        <v>18866411</v>
      </c>
      <c r="N67" s="162">
        <v>941</v>
      </c>
      <c r="O67" s="145">
        <v>46727.5</v>
      </c>
      <c r="P67" s="162">
        <v>1122224</v>
      </c>
      <c r="Q67" s="162">
        <v>19988635</v>
      </c>
      <c r="R67" s="162">
        <v>0</v>
      </c>
    </row>
    <row r="68" spans="1:18" x14ac:dyDescent="0.25">
      <c r="A68" s="55" t="s">
        <v>347</v>
      </c>
      <c r="B68" t="s">
        <v>77</v>
      </c>
      <c r="C68" t="s">
        <v>254</v>
      </c>
      <c r="D68" s="162">
        <v>77</v>
      </c>
      <c r="E68" s="162">
        <v>143</v>
      </c>
      <c r="F68" s="162">
        <v>220</v>
      </c>
      <c r="G68" s="162">
        <v>110</v>
      </c>
      <c r="H68" s="168">
        <v>0.80730263999999996</v>
      </c>
      <c r="I68" s="145">
        <v>177.6</v>
      </c>
      <c r="J68" s="162">
        <v>0</v>
      </c>
      <c r="K68" s="162">
        <v>1451964</v>
      </c>
      <c r="L68" s="162">
        <v>0</v>
      </c>
      <c r="M68" s="162">
        <v>1451964</v>
      </c>
      <c r="N68" s="162">
        <v>180</v>
      </c>
      <c r="O68" s="145">
        <v>5785.2</v>
      </c>
      <c r="P68" s="162">
        <v>138939</v>
      </c>
      <c r="Q68" s="162">
        <v>1590903</v>
      </c>
      <c r="R68" s="162">
        <v>81241</v>
      </c>
    </row>
    <row r="69" spans="1:18" x14ac:dyDescent="0.25">
      <c r="A69" s="55" t="s">
        <v>346</v>
      </c>
      <c r="B69" t="s">
        <v>78</v>
      </c>
      <c r="C69" t="s">
        <v>254</v>
      </c>
      <c r="D69" s="162">
        <v>2256</v>
      </c>
      <c r="E69" s="162">
        <v>185</v>
      </c>
      <c r="F69" s="162">
        <v>2441</v>
      </c>
      <c r="G69" s="162">
        <v>57</v>
      </c>
      <c r="H69" s="168">
        <v>1.0262990649999999</v>
      </c>
      <c r="I69" s="145">
        <v>2505.1999999999998</v>
      </c>
      <c r="J69" s="162">
        <v>-186576</v>
      </c>
      <c r="K69" s="162">
        <v>20294617</v>
      </c>
      <c r="L69" s="162">
        <v>90000</v>
      </c>
      <c r="M69" s="162">
        <v>20384617</v>
      </c>
      <c r="N69" s="162">
        <v>987</v>
      </c>
      <c r="O69" s="145">
        <v>51691.6</v>
      </c>
      <c r="P69" s="162">
        <v>1241444</v>
      </c>
      <c r="Q69" s="162">
        <v>21626061</v>
      </c>
      <c r="R69" s="162">
        <v>0</v>
      </c>
    </row>
    <row r="70" spans="1:18" x14ac:dyDescent="0.25">
      <c r="A70" s="55" t="s">
        <v>342</v>
      </c>
      <c r="B70" t="s">
        <v>79</v>
      </c>
      <c r="C70" t="s">
        <v>244</v>
      </c>
      <c r="D70" s="162">
        <v>82</v>
      </c>
      <c r="E70" s="162">
        <v>35</v>
      </c>
      <c r="F70" s="162">
        <v>117</v>
      </c>
      <c r="G70" s="162">
        <v>25</v>
      </c>
      <c r="H70" s="168">
        <v>0.82664744599999995</v>
      </c>
      <c r="I70" s="145">
        <v>96.7</v>
      </c>
      <c r="J70" s="162">
        <v>0</v>
      </c>
      <c r="K70" s="162">
        <v>790568</v>
      </c>
      <c r="L70" s="162">
        <v>0</v>
      </c>
      <c r="M70" s="162">
        <v>790568</v>
      </c>
      <c r="N70" s="162">
        <v>44</v>
      </c>
      <c r="O70" s="145">
        <v>928.9</v>
      </c>
      <c r="P70" s="162">
        <v>22309</v>
      </c>
      <c r="Q70" s="162">
        <v>812877</v>
      </c>
      <c r="R70" s="162">
        <v>44234</v>
      </c>
    </row>
    <row r="71" spans="1:18" x14ac:dyDescent="0.25">
      <c r="A71" s="55" t="s">
        <v>341</v>
      </c>
      <c r="B71" t="s">
        <v>80</v>
      </c>
      <c r="C71" t="s">
        <v>240</v>
      </c>
      <c r="D71" s="162">
        <v>52</v>
      </c>
      <c r="E71" s="162">
        <v>0</v>
      </c>
      <c r="F71" s="162">
        <v>52</v>
      </c>
      <c r="G71" s="162">
        <v>0</v>
      </c>
      <c r="H71" s="168">
        <v>1.598785047</v>
      </c>
      <c r="I71" s="145">
        <v>83.1</v>
      </c>
      <c r="J71" s="162">
        <v>0</v>
      </c>
      <c r="K71" s="162">
        <v>679382</v>
      </c>
      <c r="L71" s="162">
        <v>0</v>
      </c>
      <c r="M71" s="162">
        <v>679382</v>
      </c>
      <c r="N71" s="162">
        <v>19</v>
      </c>
      <c r="O71" s="145">
        <v>1745.8</v>
      </c>
      <c r="P71" s="162">
        <v>41928</v>
      </c>
      <c r="Q71" s="162">
        <v>721310</v>
      </c>
      <c r="R71" s="162">
        <v>38013</v>
      </c>
    </row>
    <row r="72" spans="1:18" x14ac:dyDescent="0.25">
      <c r="A72" s="55" t="s">
        <v>340</v>
      </c>
      <c r="B72" t="s">
        <v>81</v>
      </c>
      <c r="C72" t="s">
        <v>240</v>
      </c>
      <c r="D72" s="162">
        <v>90</v>
      </c>
      <c r="E72" s="162">
        <v>4</v>
      </c>
      <c r="F72" s="162">
        <v>94</v>
      </c>
      <c r="G72" s="162">
        <v>0</v>
      </c>
      <c r="H72" s="168">
        <v>1.0712529740000001</v>
      </c>
      <c r="I72" s="145">
        <v>100.7</v>
      </c>
      <c r="J72" s="162">
        <v>0</v>
      </c>
      <c r="K72" s="162">
        <v>823270</v>
      </c>
      <c r="L72" s="162">
        <v>0</v>
      </c>
      <c r="M72" s="162">
        <v>823270</v>
      </c>
      <c r="N72" s="162">
        <v>32</v>
      </c>
      <c r="O72" s="145">
        <v>2067.1</v>
      </c>
      <c r="P72" s="162">
        <v>49644</v>
      </c>
      <c r="Q72" s="162">
        <v>872914</v>
      </c>
      <c r="R72" s="162">
        <v>46064</v>
      </c>
    </row>
    <row r="73" spans="1:18" x14ac:dyDescent="0.25">
      <c r="A73" s="55" t="s">
        <v>339</v>
      </c>
      <c r="B73" t="s">
        <v>82</v>
      </c>
      <c r="C73" t="s">
        <v>269</v>
      </c>
      <c r="D73" s="162">
        <v>139</v>
      </c>
      <c r="E73" s="162">
        <v>10</v>
      </c>
      <c r="F73" s="162">
        <v>149</v>
      </c>
      <c r="G73" s="162">
        <v>0</v>
      </c>
      <c r="H73" s="168">
        <v>1.2617277309999999</v>
      </c>
      <c r="I73" s="145">
        <v>188</v>
      </c>
      <c r="J73" s="162">
        <v>0</v>
      </c>
      <c r="K73" s="162">
        <v>1536989</v>
      </c>
      <c r="L73" s="162">
        <v>0</v>
      </c>
      <c r="M73" s="162">
        <v>1536989</v>
      </c>
      <c r="N73" s="162">
        <v>93</v>
      </c>
      <c r="O73" s="145">
        <v>5412.9</v>
      </c>
      <c r="P73" s="162">
        <v>129998</v>
      </c>
      <c r="Q73" s="162">
        <v>1666987</v>
      </c>
      <c r="R73" s="162">
        <v>85998</v>
      </c>
    </row>
    <row r="74" spans="1:18" x14ac:dyDescent="0.25">
      <c r="A74" s="55" t="s">
        <v>337</v>
      </c>
      <c r="B74" t="s">
        <v>172</v>
      </c>
      <c r="C74" t="s">
        <v>242</v>
      </c>
      <c r="D74" s="162">
        <v>32</v>
      </c>
      <c r="E74" s="162">
        <v>1</v>
      </c>
      <c r="F74" s="162">
        <v>33</v>
      </c>
      <c r="G74" s="162">
        <v>0</v>
      </c>
      <c r="H74" s="168">
        <v>1.0455000000000001</v>
      </c>
      <c r="I74" s="145">
        <v>34.5</v>
      </c>
      <c r="J74" s="162">
        <v>-2569</v>
      </c>
      <c r="K74" s="162">
        <v>279485</v>
      </c>
      <c r="L74" s="162">
        <v>0</v>
      </c>
      <c r="M74" s="162">
        <v>279485</v>
      </c>
      <c r="N74" s="162">
        <v>13</v>
      </c>
      <c r="O74" s="145">
        <v>571.20000000000005</v>
      </c>
      <c r="P74" s="162">
        <v>13718</v>
      </c>
      <c r="Q74" s="162">
        <v>293203</v>
      </c>
      <c r="R74" s="162">
        <v>0</v>
      </c>
    </row>
    <row r="75" spans="1:18" x14ac:dyDescent="0.25">
      <c r="A75" s="55" t="s">
        <v>381</v>
      </c>
      <c r="B75" t="s">
        <v>83</v>
      </c>
      <c r="C75" t="s">
        <v>236</v>
      </c>
      <c r="D75" s="162">
        <v>37</v>
      </c>
      <c r="E75" s="162">
        <v>0</v>
      </c>
      <c r="F75" s="162">
        <v>37</v>
      </c>
      <c r="G75" s="162">
        <v>0</v>
      </c>
      <c r="H75" s="168">
        <v>0.84150000000000003</v>
      </c>
      <c r="I75" s="145">
        <v>31.1</v>
      </c>
      <c r="J75" s="162">
        <v>0</v>
      </c>
      <c r="K75" s="162">
        <v>254257</v>
      </c>
      <c r="L75" s="162">
        <v>0</v>
      </c>
      <c r="M75" s="162">
        <v>254257</v>
      </c>
      <c r="N75" s="162">
        <v>39</v>
      </c>
      <c r="O75" s="145">
        <v>834</v>
      </c>
      <c r="P75" s="162">
        <v>20030</v>
      </c>
      <c r="Q75" s="162">
        <v>274287</v>
      </c>
      <c r="R75" s="162">
        <v>14226</v>
      </c>
    </row>
    <row r="76" spans="1:18" x14ac:dyDescent="0.25">
      <c r="A76" s="55" t="s">
        <v>336</v>
      </c>
      <c r="B76" t="s">
        <v>84</v>
      </c>
      <c r="C76" t="s">
        <v>250</v>
      </c>
      <c r="D76" s="162">
        <v>27</v>
      </c>
      <c r="E76" s="162">
        <v>1</v>
      </c>
      <c r="F76" s="162">
        <v>28</v>
      </c>
      <c r="G76" s="162">
        <v>0</v>
      </c>
      <c r="H76" s="168">
        <v>0.84150000000000003</v>
      </c>
      <c r="I76" s="145">
        <v>23.6</v>
      </c>
      <c r="J76" s="162">
        <v>0</v>
      </c>
      <c r="K76" s="162">
        <v>192941</v>
      </c>
      <c r="L76" s="162">
        <v>0</v>
      </c>
      <c r="M76" s="162">
        <v>192941</v>
      </c>
      <c r="N76" s="162">
        <v>25</v>
      </c>
      <c r="O76" s="145">
        <v>588.1</v>
      </c>
      <c r="P76" s="162">
        <v>14124</v>
      </c>
      <c r="Q76" s="162">
        <v>207065</v>
      </c>
      <c r="R76" s="162">
        <v>10795</v>
      </c>
    </row>
    <row r="77" spans="1:18" x14ac:dyDescent="0.25">
      <c r="A77" s="55" t="s">
        <v>335</v>
      </c>
      <c r="B77" t="s">
        <v>85</v>
      </c>
      <c r="C77" t="s">
        <v>250</v>
      </c>
      <c r="D77" s="162">
        <v>43</v>
      </c>
      <c r="E77" s="162">
        <v>0</v>
      </c>
      <c r="F77" s="162">
        <v>43</v>
      </c>
      <c r="G77" s="162">
        <v>0</v>
      </c>
      <c r="H77" s="168">
        <v>1.4703514820000001</v>
      </c>
      <c r="I77" s="145">
        <v>63.2</v>
      </c>
      <c r="J77" s="162">
        <v>0</v>
      </c>
      <c r="K77" s="162">
        <v>516690</v>
      </c>
      <c r="L77" s="162">
        <v>0</v>
      </c>
      <c r="M77" s="162">
        <v>516690</v>
      </c>
      <c r="N77" s="162">
        <v>18</v>
      </c>
      <c r="O77" s="145">
        <v>1717.2</v>
      </c>
      <c r="P77" s="162">
        <v>41241</v>
      </c>
      <c r="Q77" s="162">
        <v>557931</v>
      </c>
      <c r="R77" s="162">
        <v>28910</v>
      </c>
    </row>
    <row r="78" spans="1:18" x14ac:dyDescent="0.25">
      <c r="A78" s="55" t="s">
        <v>334</v>
      </c>
      <c r="B78" t="s">
        <v>190</v>
      </c>
      <c r="C78" t="s">
        <v>315</v>
      </c>
      <c r="D78" s="162">
        <v>7</v>
      </c>
      <c r="E78" s="162">
        <v>0</v>
      </c>
      <c r="F78" s="162">
        <v>7</v>
      </c>
      <c r="G78" s="162">
        <v>0</v>
      </c>
      <c r="H78" s="168">
        <v>0.84150000000000003</v>
      </c>
      <c r="I78" s="145">
        <v>5.9</v>
      </c>
      <c r="J78" s="162">
        <v>0</v>
      </c>
      <c r="K78" s="162">
        <v>48235</v>
      </c>
      <c r="L78" s="162">
        <v>0</v>
      </c>
      <c r="M78" s="162">
        <v>48235</v>
      </c>
      <c r="N78" s="162">
        <v>7</v>
      </c>
      <c r="O78" s="145">
        <v>139</v>
      </c>
      <c r="P78" s="162">
        <v>3338</v>
      </c>
      <c r="Q78" s="162">
        <v>51573</v>
      </c>
      <c r="R78" s="162">
        <v>2699</v>
      </c>
    </row>
    <row r="79" spans="1:18" x14ac:dyDescent="0.25">
      <c r="A79" s="55" t="s">
        <v>333</v>
      </c>
      <c r="B79" t="s">
        <v>86</v>
      </c>
      <c r="C79" t="s">
        <v>332</v>
      </c>
      <c r="D79" s="162">
        <v>1130</v>
      </c>
      <c r="E79" s="162">
        <v>98</v>
      </c>
      <c r="F79" s="162">
        <v>1228</v>
      </c>
      <c r="G79" s="162">
        <v>50</v>
      </c>
      <c r="H79" s="168">
        <v>0.97246781999999998</v>
      </c>
      <c r="I79" s="145">
        <v>1194.2</v>
      </c>
      <c r="J79" s="162">
        <v>-88938</v>
      </c>
      <c r="K79" s="162">
        <v>9674211</v>
      </c>
      <c r="L79" s="162">
        <v>90000</v>
      </c>
      <c r="M79" s="162">
        <v>9764211</v>
      </c>
      <c r="N79" s="162">
        <v>528</v>
      </c>
      <c r="O79" s="145">
        <v>22748.400000000001</v>
      </c>
      <c r="P79" s="162">
        <v>546334</v>
      </c>
      <c r="Q79" s="162">
        <v>10310545</v>
      </c>
      <c r="R79" s="162">
        <v>0</v>
      </c>
    </row>
    <row r="80" spans="1:18" x14ac:dyDescent="0.25">
      <c r="A80" s="55" t="s">
        <v>331</v>
      </c>
      <c r="B80" t="s">
        <v>87</v>
      </c>
      <c r="C80" t="s">
        <v>252</v>
      </c>
      <c r="D80" s="162">
        <v>1604</v>
      </c>
      <c r="E80" s="162">
        <v>90</v>
      </c>
      <c r="F80" s="162">
        <v>1694</v>
      </c>
      <c r="G80" s="162">
        <v>65</v>
      </c>
      <c r="H80" s="168">
        <v>1.086680203</v>
      </c>
      <c r="I80" s="145">
        <v>1840.8</v>
      </c>
      <c r="J80" s="162">
        <v>-137094</v>
      </c>
      <c r="K80" s="162">
        <v>14912315</v>
      </c>
      <c r="L80" s="162">
        <v>0</v>
      </c>
      <c r="M80" s="162">
        <v>14912315</v>
      </c>
      <c r="N80" s="162">
        <v>612</v>
      </c>
      <c r="O80" s="145">
        <v>32427.5</v>
      </c>
      <c r="P80" s="162">
        <v>778790</v>
      </c>
      <c r="Q80" s="162">
        <v>15691105</v>
      </c>
      <c r="R80" s="162">
        <v>0</v>
      </c>
    </row>
    <row r="81" spans="1:18" x14ac:dyDescent="0.25">
      <c r="A81" s="55" t="s">
        <v>330</v>
      </c>
      <c r="B81" t="s">
        <v>88</v>
      </c>
      <c r="C81" t="s">
        <v>236</v>
      </c>
      <c r="D81" s="162">
        <v>2470</v>
      </c>
      <c r="E81" s="162">
        <v>220</v>
      </c>
      <c r="F81" s="162">
        <v>2690</v>
      </c>
      <c r="G81" s="162">
        <v>80</v>
      </c>
      <c r="H81" s="168">
        <v>1.0471160399999999</v>
      </c>
      <c r="I81" s="145">
        <v>2816.7</v>
      </c>
      <c r="J81" s="162">
        <v>-209775</v>
      </c>
      <c r="K81" s="162">
        <v>22818077</v>
      </c>
      <c r="L81" s="162">
        <v>0</v>
      </c>
      <c r="M81" s="162">
        <v>22818077</v>
      </c>
      <c r="N81" s="162">
        <v>985</v>
      </c>
      <c r="O81" s="145">
        <v>50245.1</v>
      </c>
      <c r="P81" s="162">
        <v>1206704</v>
      </c>
      <c r="Q81" s="162">
        <v>24024781</v>
      </c>
      <c r="R81" s="162">
        <v>0</v>
      </c>
    </row>
    <row r="82" spans="1:18" x14ac:dyDescent="0.25">
      <c r="A82" s="55" t="s">
        <v>329</v>
      </c>
      <c r="B82" t="s">
        <v>89</v>
      </c>
      <c r="C82" t="s">
        <v>285</v>
      </c>
      <c r="D82" s="162">
        <v>4312</v>
      </c>
      <c r="E82" s="162">
        <v>716</v>
      </c>
      <c r="F82" s="162">
        <v>5028</v>
      </c>
      <c r="G82" s="162">
        <v>470</v>
      </c>
      <c r="H82" s="168">
        <v>1.0257955439999999</v>
      </c>
      <c r="I82" s="145">
        <v>5157.7</v>
      </c>
      <c r="J82" s="162">
        <v>0</v>
      </c>
      <c r="K82" s="162">
        <v>42166632</v>
      </c>
      <c r="L82" s="162">
        <v>60000</v>
      </c>
      <c r="M82" s="162">
        <v>42226632</v>
      </c>
      <c r="N82" s="162">
        <v>2030</v>
      </c>
      <c r="O82" s="145">
        <v>92121</v>
      </c>
      <c r="P82" s="162">
        <v>2212410</v>
      </c>
      <c r="Q82" s="162">
        <v>44439042</v>
      </c>
      <c r="R82" s="162">
        <v>2362677</v>
      </c>
    </row>
    <row r="83" spans="1:18" x14ac:dyDescent="0.25">
      <c r="A83" s="55" t="s">
        <v>327</v>
      </c>
      <c r="B83" t="s">
        <v>90</v>
      </c>
      <c r="C83" t="s">
        <v>236</v>
      </c>
      <c r="D83" s="162">
        <v>199</v>
      </c>
      <c r="E83" s="162">
        <v>15</v>
      </c>
      <c r="F83" s="162">
        <v>214</v>
      </c>
      <c r="G83" s="162">
        <v>0</v>
      </c>
      <c r="H83" s="168">
        <v>0.99348329800000001</v>
      </c>
      <c r="I83" s="145">
        <v>212.6</v>
      </c>
      <c r="J83" s="162">
        <v>0</v>
      </c>
      <c r="K83" s="162">
        <v>1738105</v>
      </c>
      <c r="L83" s="162">
        <v>0</v>
      </c>
      <c r="M83" s="162">
        <v>1738105</v>
      </c>
      <c r="N83" s="162">
        <v>79</v>
      </c>
      <c r="O83" s="145">
        <v>3556.9</v>
      </c>
      <c r="P83" s="162">
        <v>85424</v>
      </c>
      <c r="Q83" s="162">
        <v>1823529</v>
      </c>
      <c r="R83" s="162">
        <v>97251</v>
      </c>
    </row>
    <row r="84" spans="1:18" x14ac:dyDescent="0.25">
      <c r="A84" s="55" t="s">
        <v>323</v>
      </c>
      <c r="B84" t="s">
        <v>91</v>
      </c>
      <c r="C84" t="s">
        <v>236</v>
      </c>
      <c r="D84" s="162">
        <v>73</v>
      </c>
      <c r="E84" s="162">
        <v>0</v>
      </c>
      <c r="F84" s="162">
        <v>73</v>
      </c>
      <c r="G84" s="162">
        <v>0</v>
      </c>
      <c r="H84" s="168">
        <v>0.62969785899999997</v>
      </c>
      <c r="I84" s="145">
        <v>46</v>
      </c>
      <c r="J84" s="162">
        <v>0</v>
      </c>
      <c r="K84" s="162">
        <v>376072</v>
      </c>
      <c r="L84" s="162">
        <v>0</v>
      </c>
      <c r="M84" s="162">
        <v>376072</v>
      </c>
      <c r="N84" s="162">
        <v>71</v>
      </c>
      <c r="O84" s="145">
        <v>659.6</v>
      </c>
      <c r="P84" s="162">
        <v>15841</v>
      </c>
      <c r="Q84" s="162">
        <v>391913</v>
      </c>
      <c r="R84" s="162">
        <v>21042</v>
      </c>
    </row>
    <row r="85" spans="1:18" x14ac:dyDescent="0.25">
      <c r="A85" s="55" t="s">
        <v>589</v>
      </c>
      <c r="B85" t="s">
        <v>92</v>
      </c>
      <c r="C85" t="s">
        <v>236</v>
      </c>
      <c r="D85" s="162">
        <v>953</v>
      </c>
      <c r="E85" s="162">
        <v>70</v>
      </c>
      <c r="F85" s="162">
        <v>1023</v>
      </c>
      <c r="G85" s="162">
        <v>0</v>
      </c>
      <c r="H85" s="168">
        <v>0.64765676000000005</v>
      </c>
      <c r="I85" s="145">
        <v>662.6</v>
      </c>
      <c r="J85" s="162">
        <v>0</v>
      </c>
      <c r="K85" s="162">
        <v>5417068</v>
      </c>
      <c r="L85" s="162">
        <v>500000</v>
      </c>
      <c r="M85" s="162">
        <v>5917068</v>
      </c>
      <c r="N85" s="162">
        <v>622</v>
      </c>
      <c r="O85" s="145">
        <v>10152.9</v>
      </c>
      <c r="P85" s="162">
        <v>243836</v>
      </c>
      <c r="Q85" s="162">
        <v>6160904</v>
      </c>
      <c r="R85" s="162">
        <v>331073</v>
      </c>
    </row>
    <row r="86" spans="1:18" x14ac:dyDescent="0.25">
      <c r="A86" s="55" t="s">
        <v>325</v>
      </c>
      <c r="B86" t="s">
        <v>93</v>
      </c>
      <c r="C86" t="s">
        <v>244</v>
      </c>
      <c r="D86" s="162">
        <v>153</v>
      </c>
      <c r="E86" s="162">
        <v>57</v>
      </c>
      <c r="F86" s="162">
        <v>210</v>
      </c>
      <c r="G86" s="162">
        <v>50</v>
      </c>
      <c r="H86" s="168">
        <v>1.011928545</v>
      </c>
      <c r="I86" s="145">
        <v>212.5</v>
      </c>
      <c r="J86" s="162">
        <v>0</v>
      </c>
      <c r="K86" s="162">
        <v>1737288</v>
      </c>
      <c r="L86" s="162">
        <v>0</v>
      </c>
      <c r="M86" s="162">
        <v>1737288</v>
      </c>
      <c r="N86" s="162">
        <v>127</v>
      </c>
      <c r="O86" s="145">
        <v>5627.6</v>
      </c>
      <c r="P86" s="162">
        <v>135154</v>
      </c>
      <c r="Q86" s="162">
        <v>1872442</v>
      </c>
      <c r="R86" s="162">
        <v>97205</v>
      </c>
    </row>
    <row r="87" spans="1:18" x14ac:dyDescent="0.25">
      <c r="A87" s="55" t="s">
        <v>324</v>
      </c>
      <c r="B87" t="s">
        <v>173</v>
      </c>
      <c r="C87" t="s">
        <v>252</v>
      </c>
      <c r="D87" s="162">
        <v>0</v>
      </c>
      <c r="E87" s="162">
        <v>8</v>
      </c>
      <c r="F87" s="162">
        <v>8</v>
      </c>
      <c r="G87" s="162">
        <v>0</v>
      </c>
      <c r="H87" s="168">
        <v>1</v>
      </c>
      <c r="I87" s="145">
        <v>8</v>
      </c>
      <c r="J87" s="162">
        <v>0</v>
      </c>
      <c r="K87" s="162">
        <v>65404</v>
      </c>
      <c r="L87" s="162">
        <v>0</v>
      </c>
      <c r="M87" s="162">
        <v>65404</v>
      </c>
      <c r="N87" s="162">
        <v>0</v>
      </c>
      <c r="O87" s="145">
        <v>0</v>
      </c>
      <c r="P87" s="162">
        <v>0</v>
      </c>
      <c r="Q87" s="162">
        <v>65404</v>
      </c>
      <c r="R87" s="162">
        <v>3659</v>
      </c>
    </row>
    <row r="88" spans="1:18" x14ac:dyDescent="0.25">
      <c r="A88" s="55" t="s">
        <v>321</v>
      </c>
      <c r="B88" t="s">
        <v>192</v>
      </c>
      <c r="C88" t="s">
        <v>236</v>
      </c>
      <c r="D88" s="162">
        <v>0</v>
      </c>
      <c r="E88" s="162">
        <v>114</v>
      </c>
      <c r="F88" s="162">
        <v>114</v>
      </c>
      <c r="G88" s="162">
        <v>0</v>
      </c>
      <c r="H88" s="168">
        <v>0.315</v>
      </c>
      <c r="I88" s="145">
        <v>35.9</v>
      </c>
      <c r="J88" s="162">
        <v>0</v>
      </c>
      <c r="K88" s="162">
        <v>293499</v>
      </c>
      <c r="L88" s="162">
        <v>0</v>
      </c>
      <c r="M88" s="162">
        <v>293499</v>
      </c>
      <c r="N88" s="162">
        <v>0</v>
      </c>
      <c r="O88" s="145">
        <v>0</v>
      </c>
      <c r="P88" s="162">
        <v>0</v>
      </c>
      <c r="Q88" s="162">
        <v>293499</v>
      </c>
      <c r="R88" s="162">
        <v>16422</v>
      </c>
    </row>
    <row r="89" spans="1:18" x14ac:dyDescent="0.25">
      <c r="A89" s="55" t="s">
        <v>320</v>
      </c>
      <c r="B89" t="s">
        <v>457</v>
      </c>
      <c r="C89" t="s">
        <v>236</v>
      </c>
      <c r="D89" s="162">
        <v>0</v>
      </c>
      <c r="E89" s="162">
        <v>30</v>
      </c>
      <c r="F89" s="162">
        <v>30</v>
      </c>
      <c r="G89" s="162">
        <v>0</v>
      </c>
      <c r="H89" s="168">
        <v>0.57845454500000004</v>
      </c>
      <c r="I89" s="145">
        <v>17.399999999999999</v>
      </c>
      <c r="J89" s="162">
        <v>0</v>
      </c>
      <c r="K89" s="162">
        <v>142253</v>
      </c>
      <c r="L89" s="162">
        <v>0</v>
      </c>
      <c r="M89" s="162">
        <v>142253</v>
      </c>
      <c r="N89" s="162">
        <v>0</v>
      </c>
      <c r="O89" s="145">
        <v>0</v>
      </c>
      <c r="P89" s="162">
        <v>0</v>
      </c>
      <c r="Q89" s="162">
        <v>142253</v>
      </c>
      <c r="R89" s="162">
        <v>7959</v>
      </c>
    </row>
    <row r="90" spans="1:18" x14ac:dyDescent="0.25">
      <c r="A90" s="55" t="s">
        <v>319</v>
      </c>
      <c r="B90" t="s">
        <v>94</v>
      </c>
      <c r="C90" t="s">
        <v>242</v>
      </c>
      <c r="D90" s="162">
        <v>1198</v>
      </c>
      <c r="E90" s="162">
        <v>88</v>
      </c>
      <c r="F90" s="162">
        <v>1286</v>
      </c>
      <c r="G90" s="162">
        <v>26</v>
      </c>
      <c r="H90" s="168">
        <v>1.302371572</v>
      </c>
      <c r="I90" s="145">
        <v>1674.8</v>
      </c>
      <c r="J90" s="162">
        <v>-124731</v>
      </c>
      <c r="K90" s="162">
        <v>13567550</v>
      </c>
      <c r="L90" s="162">
        <v>0</v>
      </c>
      <c r="M90" s="162">
        <v>13567550</v>
      </c>
      <c r="N90" s="162">
        <v>535</v>
      </c>
      <c r="O90" s="145">
        <v>29287</v>
      </c>
      <c r="P90" s="162">
        <v>703367</v>
      </c>
      <c r="Q90" s="162">
        <v>14270917</v>
      </c>
      <c r="R90" s="162">
        <v>0</v>
      </c>
    </row>
    <row r="91" spans="1:18" x14ac:dyDescent="0.25">
      <c r="A91" s="55" t="s">
        <v>318</v>
      </c>
      <c r="B91" t="s">
        <v>95</v>
      </c>
      <c r="C91" t="s">
        <v>244</v>
      </c>
      <c r="D91" s="162">
        <v>43</v>
      </c>
      <c r="E91" s="162">
        <v>2</v>
      </c>
      <c r="F91" s="162">
        <v>45</v>
      </c>
      <c r="G91" s="162">
        <v>0</v>
      </c>
      <c r="H91" s="168">
        <v>1.323389873</v>
      </c>
      <c r="I91" s="145">
        <v>59.6</v>
      </c>
      <c r="J91" s="162">
        <v>-4439</v>
      </c>
      <c r="K91" s="162">
        <v>482819</v>
      </c>
      <c r="L91" s="162">
        <v>0</v>
      </c>
      <c r="M91" s="162">
        <v>482819</v>
      </c>
      <c r="N91" s="162">
        <v>20</v>
      </c>
      <c r="O91" s="145">
        <v>2117.9</v>
      </c>
      <c r="P91" s="162">
        <v>50864</v>
      </c>
      <c r="Q91" s="162">
        <v>533683</v>
      </c>
      <c r="R91" s="162">
        <v>0</v>
      </c>
    </row>
    <row r="92" spans="1:18" x14ac:dyDescent="0.25">
      <c r="A92" s="55" t="s">
        <v>317</v>
      </c>
      <c r="B92" t="s">
        <v>96</v>
      </c>
      <c r="C92" t="s">
        <v>244</v>
      </c>
      <c r="D92" s="162">
        <v>6829</v>
      </c>
      <c r="E92" s="162">
        <v>843</v>
      </c>
      <c r="F92" s="162">
        <v>7672</v>
      </c>
      <c r="G92" s="162">
        <v>450</v>
      </c>
      <c r="H92" s="168">
        <v>1.0706407920000001</v>
      </c>
      <c r="I92" s="145">
        <v>8214</v>
      </c>
      <c r="J92" s="162">
        <v>-611741</v>
      </c>
      <c r="K92" s="162">
        <v>66541587</v>
      </c>
      <c r="L92" s="162">
        <v>0</v>
      </c>
      <c r="M92" s="162">
        <v>66541587</v>
      </c>
      <c r="N92" s="162">
        <v>3087</v>
      </c>
      <c r="O92" s="145">
        <v>155361</v>
      </c>
      <c r="P92" s="162">
        <v>3731204</v>
      </c>
      <c r="Q92" s="162">
        <v>70272791</v>
      </c>
      <c r="R92" s="162">
        <v>0</v>
      </c>
    </row>
    <row r="93" spans="1:18" x14ac:dyDescent="0.25">
      <c r="A93" s="55" t="s">
        <v>314</v>
      </c>
      <c r="B93" t="s">
        <v>97</v>
      </c>
      <c r="C93" t="s">
        <v>236</v>
      </c>
      <c r="D93" s="162">
        <v>45</v>
      </c>
      <c r="E93" s="162">
        <v>0</v>
      </c>
      <c r="F93" s="162">
        <v>45</v>
      </c>
      <c r="G93" s="162">
        <v>0</v>
      </c>
      <c r="H93" s="168">
        <v>1.198246701</v>
      </c>
      <c r="I93" s="145">
        <v>53.9</v>
      </c>
      <c r="J93" s="162">
        <v>0</v>
      </c>
      <c r="K93" s="162">
        <v>440658</v>
      </c>
      <c r="L93" s="162">
        <v>0</v>
      </c>
      <c r="M93" s="162">
        <v>440658</v>
      </c>
      <c r="N93" s="162">
        <v>9</v>
      </c>
      <c r="O93" s="145">
        <v>797</v>
      </c>
      <c r="P93" s="162">
        <v>19141</v>
      </c>
      <c r="Q93" s="162">
        <v>459799</v>
      </c>
      <c r="R93" s="162">
        <v>24656</v>
      </c>
    </row>
    <row r="94" spans="1:18" x14ac:dyDescent="0.25">
      <c r="A94" s="55" t="s">
        <v>313</v>
      </c>
      <c r="B94" t="s">
        <v>98</v>
      </c>
      <c r="C94" t="s">
        <v>236</v>
      </c>
      <c r="D94" s="162">
        <v>81</v>
      </c>
      <c r="E94" s="162">
        <v>5</v>
      </c>
      <c r="F94" s="162">
        <v>86</v>
      </c>
      <c r="G94" s="162">
        <v>0</v>
      </c>
      <c r="H94" s="168">
        <v>0.88694674100000004</v>
      </c>
      <c r="I94" s="145">
        <v>76.3</v>
      </c>
      <c r="J94" s="162">
        <v>0</v>
      </c>
      <c r="K94" s="162">
        <v>623789</v>
      </c>
      <c r="L94" s="162">
        <v>0</v>
      </c>
      <c r="M94" s="162">
        <v>623789</v>
      </c>
      <c r="N94" s="162">
        <v>82</v>
      </c>
      <c r="O94" s="145">
        <v>1593.1</v>
      </c>
      <c r="P94" s="162">
        <v>38260</v>
      </c>
      <c r="Q94" s="162">
        <v>662049</v>
      </c>
      <c r="R94" s="162">
        <v>34902</v>
      </c>
    </row>
    <row r="95" spans="1:18" x14ac:dyDescent="0.25">
      <c r="A95" s="55" t="s">
        <v>312</v>
      </c>
      <c r="B95" t="s">
        <v>99</v>
      </c>
      <c r="C95" t="s">
        <v>236</v>
      </c>
      <c r="D95" s="162">
        <v>47</v>
      </c>
      <c r="E95" s="162">
        <v>15</v>
      </c>
      <c r="F95" s="162">
        <v>62</v>
      </c>
      <c r="G95" s="162">
        <v>0</v>
      </c>
      <c r="H95" s="168">
        <v>0.91336991899999997</v>
      </c>
      <c r="I95" s="145">
        <v>56.6</v>
      </c>
      <c r="J95" s="162">
        <v>0</v>
      </c>
      <c r="K95" s="162">
        <v>462732</v>
      </c>
      <c r="L95" s="162">
        <v>0</v>
      </c>
      <c r="M95" s="162">
        <v>462732</v>
      </c>
      <c r="N95" s="162">
        <v>83</v>
      </c>
      <c r="O95" s="145">
        <v>1776.5</v>
      </c>
      <c r="P95" s="162">
        <v>42665</v>
      </c>
      <c r="Q95" s="162">
        <v>505397</v>
      </c>
      <c r="R95" s="162">
        <v>25891</v>
      </c>
    </row>
    <row r="96" spans="1:18" x14ac:dyDescent="0.25">
      <c r="A96" s="55" t="s">
        <v>311</v>
      </c>
      <c r="B96" t="s">
        <v>100</v>
      </c>
      <c r="C96" t="s">
        <v>252</v>
      </c>
      <c r="D96" s="162">
        <v>945</v>
      </c>
      <c r="E96" s="162">
        <v>39</v>
      </c>
      <c r="F96" s="162">
        <v>984</v>
      </c>
      <c r="G96" s="162">
        <v>10</v>
      </c>
      <c r="H96" s="168">
        <v>1.2141770110000001</v>
      </c>
      <c r="I96" s="145">
        <v>1194.8</v>
      </c>
      <c r="J96" s="162">
        <v>-88983</v>
      </c>
      <c r="K96" s="162">
        <v>9679071</v>
      </c>
      <c r="L96" s="162">
        <v>0</v>
      </c>
      <c r="M96" s="162">
        <v>9679071</v>
      </c>
      <c r="N96" s="162">
        <v>412</v>
      </c>
      <c r="O96" s="145">
        <v>22304.2</v>
      </c>
      <c r="P96" s="162">
        <v>535666</v>
      </c>
      <c r="Q96" s="162">
        <v>10214737</v>
      </c>
      <c r="R96" s="162">
        <v>0</v>
      </c>
    </row>
    <row r="97" spans="1:18" x14ac:dyDescent="0.25">
      <c r="A97" s="55" t="s">
        <v>310</v>
      </c>
      <c r="B97" t="s">
        <v>101</v>
      </c>
      <c r="C97" t="s">
        <v>236</v>
      </c>
      <c r="D97" s="162">
        <v>1332</v>
      </c>
      <c r="E97" s="162">
        <v>95</v>
      </c>
      <c r="F97" s="162">
        <v>1427</v>
      </c>
      <c r="G97" s="162">
        <v>15</v>
      </c>
      <c r="H97" s="168">
        <v>0.883606632</v>
      </c>
      <c r="I97" s="145">
        <v>1260.9000000000001</v>
      </c>
      <c r="J97" s="162">
        <v>0</v>
      </c>
      <c r="K97" s="162">
        <v>10308453</v>
      </c>
      <c r="L97" s="162">
        <v>0</v>
      </c>
      <c r="M97" s="162">
        <v>10308453</v>
      </c>
      <c r="N97" s="162">
        <v>588</v>
      </c>
      <c r="O97" s="145">
        <v>30821.5</v>
      </c>
      <c r="P97" s="162">
        <v>740220</v>
      </c>
      <c r="Q97" s="162">
        <v>11048673</v>
      </c>
      <c r="R97" s="162">
        <v>576781</v>
      </c>
    </row>
    <row r="98" spans="1:18" x14ac:dyDescent="0.25">
      <c r="A98" s="55" t="s">
        <v>309</v>
      </c>
      <c r="B98" t="s">
        <v>102</v>
      </c>
      <c r="C98" t="s">
        <v>294</v>
      </c>
      <c r="D98" s="162">
        <v>64</v>
      </c>
      <c r="E98" s="162">
        <v>3</v>
      </c>
      <c r="F98" s="162">
        <v>67</v>
      </c>
      <c r="G98" s="162">
        <v>0</v>
      </c>
      <c r="H98" s="168">
        <v>1.0679928860000001</v>
      </c>
      <c r="I98" s="145">
        <v>71.599999999999994</v>
      </c>
      <c r="J98" s="162">
        <v>0</v>
      </c>
      <c r="K98" s="162">
        <v>585364</v>
      </c>
      <c r="L98" s="162">
        <v>0</v>
      </c>
      <c r="M98" s="162">
        <v>585364</v>
      </c>
      <c r="N98" s="162">
        <v>27</v>
      </c>
      <c r="O98" s="145">
        <v>1400.7</v>
      </c>
      <c r="P98" s="162">
        <v>33640</v>
      </c>
      <c r="Q98" s="162">
        <v>619004</v>
      </c>
      <c r="R98" s="162">
        <v>32752</v>
      </c>
    </row>
    <row r="99" spans="1:18" x14ac:dyDescent="0.25">
      <c r="A99" s="55" t="s">
        <v>316</v>
      </c>
      <c r="B99" t="s">
        <v>103</v>
      </c>
      <c r="C99" t="s">
        <v>315</v>
      </c>
      <c r="D99" s="162">
        <v>4815</v>
      </c>
      <c r="E99" s="162">
        <v>359</v>
      </c>
      <c r="F99" s="162">
        <v>5174</v>
      </c>
      <c r="G99" s="162">
        <v>140</v>
      </c>
      <c r="H99" s="168">
        <v>1.1085556620000001</v>
      </c>
      <c r="I99" s="145">
        <v>5735.7</v>
      </c>
      <c r="J99" s="162">
        <v>-427168</v>
      </c>
      <c r="K99" s="162">
        <v>46464887</v>
      </c>
      <c r="L99" s="162">
        <v>0</v>
      </c>
      <c r="M99" s="162">
        <v>46464887</v>
      </c>
      <c r="N99" s="162">
        <v>2240</v>
      </c>
      <c r="O99" s="145">
        <v>116515.5</v>
      </c>
      <c r="P99" s="162">
        <v>2798277</v>
      </c>
      <c r="Q99" s="162">
        <v>49263164</v>
      </c>
      <c r="R99" s="162">
        <v>0</v>
      </c>
    </row>
    <row r="100" spans="1:18" x14ac:dyDescent="0.25">
      <c r="A100" s="55" t="s">
        <v>306</v>
      </c>
      <c r="B100" t="s">
        <v>104</v>
      </c>
      <c r="C100" t="s">
        <v>285</v>
      </c>
      <c r="D100" s="162">
        <v>117</v>
      </c>
      <c r="E100" s="162">
        <v>0</v>
      </c>
      <c r="F100" s="162">
        <v>117</v>
      </c>
      <c r="G100" s="162">
        <v>0</v>
      </c>
      <c r="H100" s="168">
        <v>1.0647510060000001</v>
      </c>
      <c r="I100" s="145">
        <v>124.6</v>
      </c>
      <c r="J100" s="162">
        <v>0</v>
      </c>
      <c r="K100" s="162">
        <v>1018664</v>
      </c>
      <c r="L100" s="162">
        <v>0</v>
      </c>
      <c r="M100" s="162">
        <v>1018664</v>
      </c>
      <c r="N100" s="162">
        <v>56</v>
      </c>
      <c r="O100" s="145">
        <v>1601.5</v>
      </c>
      <c r="P100" s="162">
        <v>38462</v>
      </c>
      <c r="Q100" s="162">
        <v>1057126</v>
      </c>
      <c r="R100" s="162">
        <v>56997</v>
      </c>
    </row>
    <row r="101" spans="1:18" x14ac:dyDescent="0.25">
      <c r="A101" s="55" t="s">
        <v>305</v>
      </c>
      <c r="B101" t="s">
        <v>105</v>
      </c>
      <c r="C101" t="s">
        <v>240</v>
      </c>
      <c r="D101" s="162">
        <v>50</v>
      </c>
      <c r="E101" s="162">
        <v>2</v>
      </c>
      <c r="F101" s="162">
        <v>52</v>
      </c>
      <c r="G101" s="162">
        <v>0</v>
      </c>
      <c r="H101" s="168">
        <v>1.139943978</v>
      </c>
      <c r="I101" s="145">
        <v>59.3</v>
      </c>
      <c r="J101" s="162">
        <v>0</v>
      </c>
      <c r="K101" s="162">
        <v>484805</v>
      </c>
      <c r="L101" s="162">
        <v>0</v>
      </c>
      <c r="M101" s="162">
        <v>484805</v>
      </c>
      <c r="N101" s="162">
        <v>23</v>
      </c>
      <c r="O101" s="145">
        <v>1104.8</v>
      </c>
      <c r="P101" s="162">
        <v>26533</v>
      </c>
      <c r="Q101" s="162">
        <v>511338</v>
      </c>
      <c r="R101" s="162">
        <v>27126</v>
      </c>
    </row>
    <row r="102" spans="1:18" x14ac:dyDescent="0.25">
      <c r="A102" s="55" t="s">
        <v>304</v>
      </c>
      <c r="B102" t="s">
        <v>106</v>
      </c>
      <c r="C102" t="s">
        <v>244</v>
      </c>
      <c r="D102" s="162">
        <v>194</v>
      </c>
      <c r="E102" s="162">
        <v>75</v>
      </c>
      <c r="F102" s="162">
        <v>269</v>
      </c>
      <c r="G102" s="162">
        <v>55</v>
      </c>
      <c r="H102" s="168">
        <v>0.81011179300000002</v>
      </c>
      <c r="I102" s="145">
        <v>217.9</v>
      </c>
      <c r="J102" s="162">
        <v>0</v>
      </c>
      <c r="K102" s="162">
        <v>1781435</v>
      </c>
      <c r="L102" s="162">
        <v>0</v>
      </c>
      <c r="M102" s="162">
        <v>1781435</v>
      </c>
      <c r="N102" s="162">
        <v>128</v>
      </c>
      <c r="O102" s="145">
        <v>2287.4</v>
      </c>
      <c r="P102" s="162">
        <v>54935</v>
      </c>
      <c r="Q102" s="162">
        <v>1836370</v>
      </c>
      <c r="R102" s="162">
        <v>99675</v>
      </c>
    </row>
    <row r="103" spans="1:18" x14ac:dyDescent="0.25">
      <c r="A103" s="55" t="s">
        <v>308</v>
      </c>
      <c r="B103" t="s">
        <v>107</v>
      </c>
      <c r="C103" t="s">
        <v>236</v>
      </c>
      <c r="D103" s="162">
        <v>105</v>
      </c>
      <c r="E103" s="162">
        <v>8</v>
      </c>
      <c r="F103" s="162">
        <v>113</v>
      </c>
      <c r="G103" s="162">
        <v>0</v>
      </c>
      <c r="H103" s="168">
        <v>1.592227488</v>
      </c>
      <c r="I103" s="145">
        <v>179.9</v>
      </c>
      <c r="J103" s="162">
        <v>0</v>
      </c>
      <c r="K103" s="162">
        <v>1470767</v>
      </c>
      <c r="L103" s="162">
        <v>0</v>
      </c>
      <c r="M103" s="162">
        <v>1470767</v>
      </c>
      <c r="N103" s="162">
        <v>54</v>
      </c>
      <c r="O103" s="145">
        <v>5151.6000000000004</v>
      </c>
      <c r="P103" s="162">
        <v>123723</v>
      </c>
      <c r="Q103" s="162">
        <v>1594490</v>
      </c>
      <c r="R103" s="162">
        <v>82293</v>
      </c>
    </row>
    <row r="104" spans="1:18" x14ac:dyDescent="0.25">
      <c r="A104" s="55" t="s">
        <v>307</v>
      </c>
      <c r="B104" t="s">
        <v>108</v>
      </c>
      <c r="C104" t="s">
        <v>240</v>
      </c>
      <c r="D104" s="162">
        <v>77</v>
      </c>
      <c r="E104" s="162">
        <v>0</v>
      </c>
      <c r="F104" s="162">
        <v>77</v>
      </c>
      <c r="G104" s="162">
        <v>0</v>
      </c>
      <c r="H104" s="168">
        <v>1.0680350279999999</v>
      </c>
      <c r="I104" s="145">
        <v>82.2</v>
      </c>
      <c r="J104" s="162">
        <v>0</v>
      </c>
      <c r="K104" s="162">
        <v>672024</v>
      </c>
      <c r="L104" s="162">
        <v>0</v>
      </c>
      <c r="M104" s="162">
        <v>672024</v>
      </c>
      <c r="N104" s="162">
        <v>49</v>
      </c>
      <c r="O104" s="145">
        <v>1942.4</v>
      </c>
      <c r="P104" s="162">
        <v>46649</v>
      </c>
      <c r="Q104" s="162">
        <v>718673</v>
      </c>
      <c r="R104" s="162">
        <v>37601</v>
      </c>
    </row>
    <row r="105" spans="1:18" x14ac:dyDescent="0.25">
      <c r="A105" s="55" t="s">
        <v>303</v>
      </c>
      <c r="B105" t="s">
        <v>109</v>
      </c>
      <c r="C105" t="s">
        <v>244</v>
      </c>
      <c r="D105" s="162">
        <v>890</v>
      </c>
      <c r="E105" s="162">
        <v>117</v>
      </c>
      <c r="F105" s="162">
        <v>1007</v>
      </c>
      <c r="G105" s="162">
        <v>65</v>
      </c>
      <c r="H105" s="168">
        <v>1.1052195419999999</v>
      </c>
      <c r="I105" s="145">
        <v>1113</v>
      </c>
      <c r="J105" s="162">
        <v>-82891</v>
      </c>
      <c r="K105" s="162">
        <v>9016409</v>
      </c>
      <c r="L105" s="162">
        <v>0</v>
      </c>
      <c r="M105" s="162">
        <v>9016409</v>
      </c>
      <c r="N105" s="162">
        <v>319</v>
      </c>
      <c r="O105" s="145">
        <v>19598.099999999999</v>
      </c>
      <c r="P105" s="162">
        <v>470675</v>
      </c>
      <c r="Q105" s="162">
        <v>9487084</v>
      </c>
      <c r="R105" s="162">
        <v>0</v>
      </c>
    </row>
    <row r="106" spans="1:18" x14ac:dyDescent="0.25">
      <c r="A106" s="55" t="s">
        <v>302</v>
      </c>
      <c r="B106" t="s">
        <v>110</v>
      </c>
      <c r="C106" t="s">
        <v>244</v>
      </c>
      <c r="D106" s="162">
        <v>179</v>
      </c>
      <c r="E106" s="162">
        <v>0</v>
      </c>
      <c r="F106" s="162">
        <v>179</v>
      </c>
      <c r="G106" s="162">
        <v>0</v>
      </c>
      <c r="H106" s="168">
        <v>0.78111783999999995</v>
      </c>
      <c r="I106" s="145">
        <v>139.80000000000001</v>
      </c>
      <c r="J106" s="162">
        <v>0</v>
      </c>
      <c r="K106" s="162">
        <v>1142931</v>
      </c>
      <c r="L106" s="162">
        <v>0</v>
      </c>
      <c r="M106" s="162">
        <v>1142931</v>
      </c>
      <c r="N106" s="162">
        <v>78</v>
      </c>
      <c r="O106" s="145">
        <v>3198.6</v>
      </c>
      <c r="P106" s="162">
        <v>76819</v>
      </c>
      <c r="Q106" s="162">
        <v>1219750</v>
      </c>
      <c r="R106" s="162">
        <v>63950</v>
      </c>
    </row>
    <row r="107" spans="1:18" x14ac:dyDescent="0.25">
      <c r="A107" s="55" t="s">
        <v>301</v>
      </c>
      <c r="B107" t="s">
        <v>111</v>
      </c>
      <c r="C107" t="s">
        <v>252</v>
      </c>
      <c r="D107" s="162">
        <v>1630</v>
      </c>
      <c r="E107" s="162">
        <v>170</v>
      </c>
      <c r="F107" s="162">
        <v>1800</v>
      </c>
      <c r="G107" s="162">
        <v>90</v>
      </c>
      <c r="H107" s="168">
        <v>0.92866406099999999</v>
      </c>
      <c r="I107" s="145">
        <v>1671.6</v>
      </c>
      <c r="J107" s="162">
        <v>-124493</v>
      </c>
      <c r="K107" s="162">
        <v>13541626</v>
      </c>
      <c r="L107" s="162">
        <v>0</v>
      </c>
      <c r="M107" s="162">
        <v>13541626</v>
      </c>
      <c r="N107" s="162">
        <v>861</v>
      </c>
      <c r="O107" s="145">
        <v>37333.699999999997</v>
      </c>
      <c r="P107" s="162">
        <v>896619</v>
      </c>
      <c r="Q107" s="162">
        <v>14438245</v>
      </c>
      <c r="R107" s="162">
        <v>0</v>
      </c>
    </row>
    <row r="108" spans="1:18" x14ac:dyDescent="0.25">
      <c r="A108" s="55" t="s">
        <v>300</v>
      </c>
      <c r="B108" t="s">
        <v>112</v>
      </c>
      <c r="C108" t="s">
        <v>236</v>
      </c>
      <c r="D108" s="162">
        <v>67</v>
      </c>
      <c r="E108" s="162">
        <v>11</v>
      </c>
      <c r="F108" s="162">
        <v>78</v>
      </c>
      <c r="G108" s="162">
        <v>0</v>
      </c>
      <c r="H108" s="168">
        <v>0.73816071400000005</v>
      </c>
      <c r="I108" s="145">
        <v>57.6</v>
      </c>
      <c r="J108" s="162">
        <v>0</v>
      </c>
      <c r="K108" s="162">
        <v>470907</v>
      </c>
      <c r="L108" s="162">
        <v>100000</v>
      </c>
      <c r="M108" s="162">
        <v>570907</v>
      </c>
      <c r="N108" s="162">
        <v>33</v>
      </c>
      <c r="O108" s="145">
        <v>352.8</v>
      </c>
      <c r="P108" s="162">
        <v>8473</v>
      </c>
      <c r="Q108" s="162">
        <v>579380</v>
      </c>
      <c r="R108" s="162">
        <v>31944</v>
      </c>
    </row>
    <row r="109" spans="1:18" x14ac:dyDescent="0.25">
      <c r="A109" s="55" t="s">
        <v>590</v>
      </c>
      <c r="B109" t="s">
        <v>113</v>
      </c>
      <c r="C109" t="s">
        <v>236</v>
      </c>
      <c r="D109" s="162">
        <v>477</v>
      </c>
      <c r="E109" s="162">
        <v>40</v>
      </c>
      <c r="F109" s="162">
        <v>517</v>
      </c>
      <c r="G109" s="162">
        <v>0</v>
      </c>
      <c r="H109" s="168">
        <v>0.71465982299999997</v>
      </c>
      <c r="I109" s="145">
        <v>369.5</v>
      </c>
      <c r="J109" s="162">
        <v>0</v>
      </c>
      <c r="K109" s="162">
        <v>3020837</v>
      </c>
      <c r="L109" s="162">
        <v>100000</v>
      </c>
      <c r="M109" s="162">
        <v>3120837</v>
      </c>
      <c r="N109" s="162">
        <v>450</v>
      </c>
      <c r="O109" s="145">
        <v>5715</v>
      </c>
      <c r="P109" s="162">
        <v>137253</v>
      </c>
      <c r="Q109" s="162">
        <v>3258090</v>
      </c>
      <c r="R109" s="162">
        <v>174618</v>
      </c>
    </row>
    <row r="110" spans="1:18" x14ac:dyDescent="0.25">
      <c r="A110" s="55" t="s">
        <v>299</v>
      </c>
      <c r="B110" t="s">
        <v>114</v>
      </c>
      <c r="C110" t="s">
        <v>244</v>
      </c>
      <c r="D110" s="162">
        <v>30</v>
      </c>
      <c r="E110" s="162">
        <v>3</v>
      </c>
      <c r="F110" s="162">
        <v>33</v>
      </c>
      <c r="G110" s="162">
        <v>0</v>
      </c>
      <c r="H110" s="168">
        <v>0.84030845099999996</v>
      </c>
      <c r="I110" s="145">
        <v>27.7</v>
      </c>
      <c r="J110" s="162">
        <v>0</v>
      </c>
      <c r="K110" s="162">
        <v>226461</v>
      </c>
      <c r="L110" s="162">
        <v>0</v>
      </c>
      <c r="M110" s="162">
        <v>226461</v>
      </c>
      <c r="N110" s="162">
        <v>24</v>
      </c>
      <c r="O110" s="145">
        <v>417</v>
      </c>
      <c r="P110" s="162">
        <v>10015</v>
      </c>
      <c r="Q110" s="162">
        <v>236476</v>
      </c>
      <c r="R110" s="162">
        <v>12671</v>
      </c>
    </row>
    <row r="111" spans="1:18" x14ac:dyDescent="0.25">
      <c r="A111" s="55" t="s">
        <v>298</v>
      </c>
      <c r="B111" t="s">
        <v>183</v>
      </c>
      <c r="C111" t="s">
        <v>236</v>
      </c>
      <c r="D111" s="162">
        <v>37</v>
      </c>
      <c r="E111" s="162">
        <v>0</v>
      </c>
      <c r="F111" s="162">
        <v>37</v>
      </c>
      <c r="G111" s="162">
        <v>0</v>
      </c>
      <c r="H111" s="168">
        <v>0.315</v>
      </c>
      <c r="I111" s="145">
        <v>11.7</v>
      </c>
      <c r="J111" s="162">
        <v>0</v>
      </c>
      <c r="K111" s="162">
        <v>95653</v>
      </c>
      <c r="L111" s="162">
        <v>0</v>
      </c>
      <c r="M111" s="162">
        <v>95653</v>
      </c>
      <c r="N111" s="162">
        <v>0</v>
      </c>
      <c r="O111" s="145">
        <v>0</v>
      </c>
      <c r="P111" s="162">
        <v>0</v>
      </c>
      <c r="Q111" s="162">
        <v>95653</v>
      </c>
      <c r="R111" s="162">
        <v>5352</v>
      </c>
    </row>
    <row r="112" spans="1:18" x14ac:dyDescent="0.25">
      <c r="A112" s="55" t="s">
        <v>297</v>
      </c>
      <c r="B112" t="s">
        <v>174</v>
      </c>
      <c r="C112" t="s">
        <v>244</v>
      </c>
      <c r="D112" s="162">
        <v>0</v>
      </c>
      <c r="E112" s="162">
        <v>10</v>
      </c>
      <c r="F112" s="162">
        <v>10</v>
      </c>
      <c r="G112" s="162">
        <v>0</v>
      </c>
      <c r="H112" s="168">
        <v>0.84150000000000003</v>
      </c>
      <c r="I112" s="145">
        <v>8.4</v>
      </c>
      <c r="J112" s="162">
        <v>0</v>
      </c>
      <c r="K112" s="162">
        <v>68674</v>
      </c>
      <c r="L112" s="162">
        <v>0</v>
      </c>
      <c r="M112" s="162">
        <v>68674</v>
      </c>
      <c r="N112" s="162">
        <v>0</v>
      </c>
      <c r="O112" s="145">
        <v>0</v>
      </c>
      <c r="P112" s="162">
        <v>0</v>
      </c>
      <c r="Q112" s="162">
        <v>68674</v>
      </c>
      <c r="R112" s="162">
        <v>3842</v>
      </c>
    </row>
    <row r="113" spans="1:18" x14ac:dyDescent="0.25">
      <c r="A113" s="55" t="s">
        <v>296</v>
      </c>
      <c r="B113" t="s">
        <v>115</v>
      </c>
      <c r="C113" t="s">
        <v>294</v>
      </c>
      <c r="D113" s="162">
        <v>50</v>
      </c>
      <c r="E113" s="162">
        <v>0</v>
      </c>
      <c r="F113" s="162">
        <v>50</v>
      </c>
      <c r="G113" s="162">
        <v>0</v>
      </c>
      <c r="H113" s="168">
        <v>1.048245951</v>
      </c>
      <c r="I113" s="145">
        <v>52.4</v>
      </c>
      <c r="J113" s="162">
        <v>0</v>
      </c>
      <c r="K113" s="162">
        <v>428395</v>
      </c>
      <c r="L113" s="162">
        <v>0</v>
      </c>
      <c r="M113" s="162">
        <v>428395</v>
      </c>
      <c r="N113" s="162">
        <v>37</v>
      </c>
      <c r="O113" s="145">
        <v>1343.6</v>
      </c>
      <c r="P113" s="162">
        <v>32268</v>
      </c>
      <c r="Q113" s="162">
        <v>460663</v>
      </c>
      <c r="R113" s="162">
        <v>23970</v>
      </c>
    </row>
    <row r="114" spans="1:18" x14ac:dyDescent="0.25">
      <c r="A114" s="55" t="s">
        <v>295</v>
      </c>
      <c r="B114" t="s">
        <v>116</v>
      </c>
      <c r="C114" t="s">
        <v>294</v>
      </c>
      <c r="D114" s="162">
        <v>3139</v>
      </c>
      <c r="E114" s="162">
        <v>328</v>
      </c>
      <c r="F114" s="162">
        <v>3467</v>
      </c>
      <c r="G114" s="162">
        <v>200</v>
      </c>
      <c r="H114" s="168">
        <v>1.1558256309999999</v>
      </c>
      <c r="I114" s="145">
        <v>4007.2</v>
      </c>
      <c r="J114" s="162">
        <v>-298438</v>
      </c>
      <c r="K114" s="162">
        <v>32462314</v>
      </c>
      <c r="L114" s="162">
        <v>90000</v>
      </c>
      <c r="M114" s="162">
        <v>32552314</v>
      </c>
      <c r="N114" s="162">
        <v>1569</v>
      </c>
      <c r="O114" s="145">
        <v>77349.600000000006</v>
      </c>
      <c r="P114" s="162">
        <v>1857655</v>
      </c>
      <c r="Q114" s="162">
        <v>34409969</v>
      </c>
      <c r="R114" s="162">
        <v>0</v>
      </c>
    </row>
    <row r="115" spans="1:18" x14ac:dyDescent="0.25">
      <c r="A115" s="55" t="s">
        <v>293</v>
      </c>
      <c r="B115" t="s">
        <v>117</v>
      </c>
      <c r="C115" t="s">
        <v>252</v>
      </c>
      <c r="D115" s="162">
        <v>1889</v>
      </c>
      <c r="E115" s="162">
        <v>199</v>
      </c>
      <c r="F115" s="162">
        <v>2088</v>
      </c>
      <c r="G115" s="162">
        <v>149</v>
      </c>
      <c r="H115" s="168">
        <v>1.060283485</v>
      </c>
      <c r="I115" s="145">
        <v>2213.9</v>
      </c>
      <c r="J115" s="162">
        <v>-164881</v>
      </c>
      <c r="K115" s="162">
        <v>17934797</v>
      </c>
      <c r="L115" s="162">
        <v>0</v>
      </c>
      <c r="M115" s="162">
        <v>17934797</v>
      </c>
      <c r="N115" s="162">
        <v>896</v>
      </c>
      <c r="O115" s="145">
        <v>45955.4</v>
      </c>
      <c r="P115" s="162">
        <v>1103681</v>
      </c>
      <c r="Q115" s="162">
        <v>19038478</v>
      </c>
      <c r="R115" s="162">
        <v>0</v>
      </c>
    </row>
    <row r="116" spans="1:18" x14ac:dyDescent="0.25">
      <c r="A116" s="55" t="s">
        <v>591</v>
      </c>
      <c r="B116" t="s">
        <v>175</v>
      </c>
      <c r="C116" t="s">
        <v>236</v>
      </c>
      <c r="D116" s="162">
        <v>214</v>
      </c>
      <c r="E116" s="162">
        <v>7</v>
      </c>
      <c r="F116" s="162">
        <v>221</v>
      </c>
      <c r="G116" s="162">
        <v>0</v>
      </c>
      <c r="H116" s="168">
        <v>1.2148516469999999</v>
      </c>
      <c r="I116" s="145">
        <v>268.5</v>
      </c>
      <c r="J116" s="162">
        <v>-19997</v>
      </c>
      <c r="K116" s="162">
        <v>2175117</v>
      </c>
      <c r="L116" s="162">
        <v>100000</v>
      </c>
      <c r="M116" s="162">
        <v>2275117</v>
      </c>
      <c r="N116" s="162">
        <v>77</v>
      </c>
      <c r="O116" s="145">
        <v>5830.4</v>
      </c>
      <c r="P116" s="162">
        <v>140025</v>
      </c>
      <c r="Q116" s="162">
        <v>2415142</v>
      </c>
      <c r="R116" s="162">
        <v>0</v>
      </c>
    </row>
    <row r="117" spans="1:18" x14ac:dyDescent="0.25">
      <c r="A117" s="55" t="s">
        <v>292</v>
      </c>
      <c r="B117" t="s">
        <v>213</v>
      </c>
      <c r="C117" t="s">
        <v>236</v>
      </c>
      <c r="D117" s="162">
        <v>0</v>
      </c>
      <c r="E117" s="162">
        <v>0</v>
      </c>
      <c r="F117" s="162">
        <v>0</v>
      </c>
      <c r="G117" s="162">
        <v>0</v>
      </c>
      <c r="H117" s="168">
        <v>0.315</v>
      </c>
      <c r="I117" s="145">
        <v>0</v>
      </c>
      <c r="J117" s="162">
        <v>0</v>
      </c>
      <c r="K117" s="162">
        <v>0</v>
      </c>
      <c r="L117" s="162">
        <v>0</v>
      </c>
      <c r="M117" s="162">
        <v>0</v>
      </c>
      <c r="N117" s="162">
        <v>0</v>
      </c>
      <c r="O117" s="145">
        <v>0</v>
      </c>
      <c r="P117" s="162">
        <v>0</v>
      </c>
      <c r="Q117" s="162">
        <v>0</v>
      </c>
      <c r="R117" s="162">
        <v>0</v>
      </c>
    </row>
    <row r="118" spans="1:18" x14ac:dyDescent="0.25">
      <c r="A118" s="55" t="s">
        <v>291</v>
      </c>
      <c r="B118" t="s">
        <v>118</v>
      </c>
      <c r="C118" t="s">
        <v>247</v>
      </c>
      <c r="D118" s="162">
        <v>3324</v>
      </c>
      <c r="E118" s="162">
        <v>306</v>
      </c>
      <c r="F118" s="162">
        <v>3630</v>
      </c>
      <c r="G118" s="162">
        <v>60</v>
      </c>
      <c r="H118" s="168">
        <v>1.059778162</v>
      </c>
      <c r="I118" s="145">
        <v>3847</v>
      </c>
      <c r="J118" s="162">
        <v>-286507</v>
      </c>
      <c r="K118" s="162">
        <v>31164534</v>
      </c>
      <c r="L118" s="162">
        <v>0</v>
      </c>
      <c r="M118" s="162">
        <v>31164534</v>
      </c>
      <c r="N118" s="162">
        <v>1304</v>
      </c>
      <c r="O118" s="145">
        <v>63638.6</v>
      </c>
      <c r="P118" s="162">
        <v>1528367</v>
      </c>
      <c r="Q118" s="162">
        <v>32692901</v>
      </c>
      <c r="R118" s="162">
        <v>0</v>
      </c>
    </row>
    <row r="119" spans="1:18" x14ac:dyDescent="0.25">
      <c r="A119" s="55" t="s">
        <v>290</v>
      </c>
      <c r="B119" t="s">
        <v>119</v>
      </c>
      <c r="C119" t="s">
        <v>285</v>
      </c>
      <c r="D119" s="162">
        <v>1814</v>
      </c>
      <c r="E119" s="162">
        <v>257</v>
      </c>
      <c r="F119" s="162">
        <v>2071</v>
      </c>
      <c r="G119" s="162">
        <v>165</v>
      </c>
      <c r="H119" s="168">
        <v>1.081573315</v>
      </c>
      <c r="I119" s="145">
        <v>2239.9</v>
      </c>
      <c r="J119" s="162">
        <v>-166817</v>
      </c>
      <c r="K119" s="162">
        <v>18145423</v>
      </c>
      <c r="L119" s="162">
        <v>0</v>
      </c>
      <c r="M119" s="162">
        <v>18145423</v>
      </c>
      <c r="N119" s="162">
        <v>788</v>
      </c>
      <c r="O119" s="145">
        <v>40173.800000000003</v>
      </c>
      <c r="P119" s="162">
        <v>964828</v>
      </c>
      <c r="Q119" s="162">
        <v>19110251</v>
      </c>
      <c r="R119" s="162">
        <v>0</v>
      </c>
    </row>
    <row r="120" spans="1:18" x14ac:dyDescent="0.25">
      <c r="A120" s="55" t="s">
        <v>289</v>
      </c>
      <c r="B120" t="s">
        <v>120</v>
      </c>
      <c r="C120" t="s">
        <v>240</v>
      </c>
      <c r="D120" s="162">
        <v>5755</v>
      </c>
      <c r="E120" s="162">
        <v>416</v>
      </c>
      <c r="F120" s="162">
        <v>6171</v>
      </c>
      <c r="G120" s="162">
        <v>150</v>
      </c>
      <c r="H120" s="168">
        <v>1.045866593</v>
      </c>
      <c r="I120" s="145">
        <v>6454</v>
      </c>
      <c r="J120" s="162">
        <v>-480664</v>
      </c>
      <c r="K120" s="162">
        <v>52283833</v>
      </c>
      <c r="L120" s="162">
        <v>90000</v>
      </c>
      <c r="M120" s="162">
        <v>52373833</v>
      </c>
      <c r="N120" s="162">
        <v>2526</v>
      </c>
      <c r="O120" s="145">
        <v>118370</v>
      </c>
      <c r="P120" s="162">
        <v>2842816</v>
      </c>
      <c r="Q120" s="162">
        <v>55216649</v>
      </c>
      <c r="R120" s="162">
        <v>0</v>
      </c>
    </row>
    <row r="121" spans="1:18" x14ac:dyDescent="0.25">
      <c r="A121" s="55" t="s">
        <v>288</v>
      </c>
      <c r="B121" t="s">
        <v>121</v>
      </c>
      <c r="C121" t="s">
        <v>269</v>
      </c>
      <c r="D121" s="162">
        <v>4109</v>
      </c>
      <c r="E121" s="162">
        <v>658</v>
      </c>
      <c r="F121" s="162">
        <v>4767</v>
      </c>
      <c r="G121" s="162">
        <v>500</v>
      </c>
      <c r="H121" s="168">
        <v>1.0401869450000001</v>
      </c>
      <c r="I121" s="145">
        <v>4958.6000000000004</v>
      </c>
      <c r="J121" s="162">
        <v>-369294</v>
      </c>
      <c r="K121" s="162">
        <v>40169602</v>
      </c>
      <c r="L121" s="162">
        <v>470000</v>
      </c>
      <c r="M121" s="162">
        <v>40639602</v>
      </c>
      <c r="N121" s="162">
        <v>1933</v>
      </c>
      <c r="O121" s="145">
        <v>96309.5</v>
      </c>
      <c r="P121" s="162">
        <v>2313003</v>
      </c>
      <c r="Q121" s="162">
        <v>42952605</v>
      </c>
      <c r="R121" s="162">
        <v>0</v>
      </c>
    </row>
    <row r="122" spans="1:18" x14ac:dyDescent="0.25">
      <c r="A122" s="55" t="s">
        <v>287</v>
      </c>
      <c r="B122" t="s">
        <v>122</v>
      </c>
      <c r="C122" t="s">
        <v>236</v>
      </c>
      <c r="D122" s="162">
        <v>1564</v>
      </c>
      <c r="E122" s="162">
        <v>295</v>
      </c>
      <c r="F122" s="162">
        <v>1859</v>
      </c>
      <c r="G122" s="162">
        <v>80</v>
      </c>
      <c r="H122" s="168">
        <v>1.085639598</v>
      </c>
      <c r="I122" s="145">
        <v>2018.2</v>
      </c>
      <c r="J122" s="162">
        <v>0</v>
      </c>
      <c r="K122" s="162">
        <v>16499738</v>
      </c>
      <c r="L122" s="162">
        <v>0</v>
      </c>
      <c r="M122" s="162">
        <v>16499738</v>
      </c>
      <c r="N122" s="162">
        <v>627</v>
      </c>
      <c r="O122" s="145">
        <v>29980.400000000001</v>
      </c>
      <c r="P122" s="162">
        <v>720020</v>
      </c>
      <c r="Q122" s="162">
        <v>17219758</v>
      </c>
      <c r="R122" s="162">
        <v>923198</v>
      </c>
    </row>
    <row r="123" spans="1:18" x14ac:dyDescent="0.25">
      <c r="A123" s="55" t="s">
        <v>286</v>
      </c>
      <c r="B123" t="s">
        <v>184</v>
      </c>
      <c r="C123" t="s">
        <v>285</v>
      </c>
      <c r="D123" s="162">
        <v>49</v>
      </c>
      <c r="E123" s="162">
        <v>34</v>
      </c>
      <c r="F123" s="162">
        <v>83</v>
      </c>
      <c r="G123" s="162">
        <v>0</v>
      </c>
      <c r="H123" s="168">
        <v>0.63</v>
      </c>
      <c r="I123" s="145">
        <v>52.3</v>
      </c>
      <c r="J123" s="162">
        <v>0</v>
      </c>
      <c r="K123" s="162">
        <v>427577</v>
      </c>
      <c r="L123" s="162">
        <v>6650000</v>
      </c>
      <c r="M123" s="162">
        <v>7077577</v>
      </c>
      <c r="N123" s="162">
        <v>0</v>
      </c>
      <c r="O123" s="145">
        <v>0</v>
      </c>
      <c r="P123" s="162">
        <v>0</v>
      </c>
      <c r="Q123" s="162">
        <v>7077577</v>
      </c>
      <c r="R123" s="162">
        <v>396007</v>
      </c>
    </row>
    <row r="124" spans="1:18" x14ac:dyDescent="0.25">
      <c r="A124" s="55" t="s">
        <v>284</v>
      </c>
      <c r="B124" t="s">
        <v>123</v>
      </c>
      <c r="C124" t="s">
        <v>236</v>
      </c>
      <c r="D124" s="162">
        <v>27</v>
      </c>
      <c r="E124" s="162">
        <v>0</v>
      </c>
      <c r="F124" s="162">
        <v>27</v>
      </c>
      <c r="G124" s="162">
        <v>0</v>
      </c>
      <c r="H124" s="168">
        <v>1.23</v>
      </c>
      <c r="I124" s="145">
        <v>33.200000000000003</v>
      </c>
      <c r="J124" s="162">
        <v>0</v>
      </c>
      <c r="K124" s="162">
        <v>271426</v>
      </c>
      <c r="L124" s="162">
        <v>280000</v>
      </c>
      <c r="M124" s="162">
        <v>551426</v>
      </c>
      <c r="N124" s="162">
        <v>9</v>
      </c>
      <c r="O124" s="145">
        <v>797</v>
      </c>
      <c r="P124" s="162">
        <v>19141</v>
      </c>
      <c r="Q124" s="162">
        <v>570567</v>
      </c>
      <c r="R124" s="162">
        <v>30854</v>
      </c>
    </row>
    <row r="125" spans="1:18" x14ac:dyDescent="0.25">
      <c r="A125" s="55" t="s">
        <v>283</v>
      </c>
      <c r="B125" t="s">
        <v>155</v>
      </c>
      <c r="C125" t="s">
        <v>236</v>
      </c>
      <c r="D125" s="162">
        <v>21</v>
      </c>
      <c r="E125" s="162">
        <v>0</v>
      </c>
      <c r="F125" s="162">
        <v>21</v>
      </c>
      <c r="G125" s="162">
        <v>0</v>
      </c>
      <c r="H125" s="168">
        <v>1.0455000000000001</v>
      </c>
      <c r="I125" s="145">
        <v>22</v>
      </c>
      <c r="J125" s="162">
        <v>0</v>
      </c>
      <c r="K125" s="162">
        <v>179860</v>
      </c>
      <c r="L125" s="162">
        <v>0</v>
      </c>
      <c r="M125" s="162">
        <v>179860</v>
      </c>
      <c r="N125" s="162">
        <v>10</v>
      </c>
      <c r="O125" s="145">
        <v>212.5</v>
      </c>
      <c r="P125" s="162">
        <v>5103</v>
      </c>
      <c r="Q125" s="162">
        <v>184963</v>
      </c>
      <c r="R125" s="162">
        <v>10064</v>
      </c>
    </row>
    <row r="126" spans="1:18" x14ac:dyDescent="0.25">
      <c r="A126" s="55" t="s">
        <v>282</v>
      </c>
      <c r="B126" t="s">
        <v>124</v>
      </c>
      <c r="C126" t="s">
        <v>270</v>
      </c>
      <c r="D126" s="162">
        <v>102</v>
      </c>
      <c r="E126" s="162">
        <v>0</v>
      </c>
      <c r="F126" s="162">
        <v>102</v>
      </c>
      <c r="G126" s="162">
        <v>0</v>
      </c>
      <c r="H126" s="168">
        <v>1.271532847</v>
      </c>
      <c r="I126" s="145">
        <v>129.69999999999999</v>
      </c>
      <c r="J126" s="162">
        <v>0</v>
      </c>
      <c r="K126" s="162">
        <v>1060359</v>
      </c>
      <c r="L126" s="162">
        <v>0</v>
      </c>
      <c r="M126" s="162">
        <v>1060359</v>
      </c>
      <c r="N126" s="162">
        <v>38</v>
      </c>
      <c r="O126" s="145">
        <v>2281</v>
      </c>
      <c r="P126" s="162">
        <v>54781</v>
      </c>
      <c r="Q126" s="162">
        <v>1115140</v>
      </c>
      <c r="R126" s="162">
        <v>59329</v>
      </c>
    </row>
    <row r="127" spans="1:18" x14ac:dyDescent="0.25">
      <c r="A127" s="55" t="s">
        <v>281</v>
      </c>
      <c r="B127" t="s">
        <v>125</v>
      </c>
      <c r="C127" t="s">
        <v>250</v>
      </c>
      <c r="D127" s="162">
        <v>218</v>
      </c>
      <c r="E127" s="162">
        <v>20</v>
      </c>
      <c r="F127" s="162">
        <v>238</v>
      </c>
      <c r="G127" s="162">
        <v>0</v>
      </c>
      <c r="H127" s="168">
        <v>1.369380281</v>
      </c>
      <c r="I127" s="145">
        <v>325.89999999999998</v>
      </c>
      <c r="J127" s="162">
        <v>0</v>
      </c>
      <c r="K127" s="162">
        <v>2664386</v>
      </c>
      <c r="L127" s="162">
        <v>0</v>
      </c>
      <c r="M127" s="162">
        <v>2664386</v>
      </c>
      <c r="N127" s="162">
        <v>137</v>
      </c>
      <c r="O127" s="145">
        <v>7392.9</v>
      </c>
      <c r="P127" s="162">
        <v>177550</v>
      </c>
      <c r="Q127" s="162">
        <v>2841936</v>
      </c>
      <c r="R127" s="162">
        <v>149079</v>
      </c>
    </row>
    <row r="128" spans="1:18" x14ac:dyDescent="0.25">
      <c r="A128" s="55" t="s">
        <v>280</v>
      </c>
      <c r="B128" t="s">
        <v>126</v>
      </c>
      <c r="C128" t="s">
        <v>236</v>
      </c>
      <c r="D128" s="162">
        <v>169</v>
      </c>
      <c r="E128" s="162">
        <v>37</v>
      </c>
      <c r="F128" s="162">
        <v>206</v>
      </c>
      <c r="G128" s="162">
        <v>20</v>
      </c>
      <c r="H128" s="168">
        <v>0.83814167299999998</v>
      </c>
      <c r="I128" s="145">
        <v>172.7</v>
      </c>
      <c r="J128" s="162">
        <v>0</v>
      </c>
      <c r="K128" s="162">
        <v>1411904</v>
      </c>
      <c r="L128" s="162">
        <v>0</v>
      </c>
      <c r="M128" s="162">
        <v>1411904</v>
      </c>
      <c r="N128" s="162">
        <v>98</v>
      </c>
      <c r="O128" s="145">
        <v>1240.3</v>
      </c>
      <c r="P128" s="162">
        <v>29787</v>
      </c>
      <c r="Q128" s="162">
        <v>1441691</v>
      </c>
      <c r="R128" s="162">
        <v>78999</v>
      </c>
    </row>
    <row r="129" spans="1:18" x14ac:dyDescent="0.25">
      <c r="A129" s="55" t="s">
        <v>279</v>
      </c>
      <c r="B129" t="s">
        <v>127</v>
      </c>
      <c r="C129" t="s">
        <v>269</v>
      </c>
      <c r="D129" s="162">
        <v>488</v>
      </c>
      <c r="E129" s="162">
        <v>160</v>
      </c>
      <c r="F129" s="162">
        <v>648</v>
      </c>
      <c r="G129" s="162">
        <v>110</v>
      </c>
      <c r="H129" s="168">
        <v>0.709182007</v>
      </c>
      <c r="I129" s="145">
        <v>459.5</v>
      </c>
      <c r="J129" s="162">
        <v>0</v>
      </c>
      <c r="K129" s="162">
        <v>3756629</v>
      </c>
      <c r="L129" s="162">
        <v>0</v>
      </c>
      <c r="M129" s="162">
        <v>3756629</v>
      </c>
      <c r="N129" s="162">
        <v>451</v>
      </c>
      <c r="O129" s="145">
        <v>7733</v>
      </c>
      <c r="P129" s="162">
        <v>185718</v>
      </c>
      <c r="Q129" s="162">
        <v>3942347</v>
      </c>
      <c r="R129" s="162">
        <v>210192</v>
      </c>
    </row>
    <row r="130" spans="1:18" x14ac:dyDescent="0.25">
      <c r="A130" s="55" t="s">
        <v>278</v>
      </c>
      <c r="B130" t="s">
        <v>128</v>
      </c>
      <c r="C130" t="s">
        <v>269</v>
      </c>
      <c r="D130" s="162">
        <v>563</v>
      </c>
      <c r="E130" s="162">
        <v>0</v>
      </c>
      <c r="F130" s="162">
        <v>563</v>
      </c>
      <c r="G130" s="162">
        <v>0</v>
      </c>
      <c r="H130" s="168">
        <v>1.0678462209999999</v>
      </c>
      <c r="I130" s="145">
        <v>601.20000000000005</v>
      </c>
      <c r="J130" s="162">
        <v>-44775</v>
      </c>
      <c r="K130" s="162">
        <v>4870319</v>
      </c>
      <c r="L130" s="162">
        <v>0</v>
      </c>
      <c r="M130" s="162">
        <v>4870319</v>
      </c>
      <c r="N130" s="162">
        <v>247</v>
      </c>
      <c r="O130" s="145">
        <v>14685.2</v>
      </c>
      <c r="P130" s="162">
        <v>352685</v>
      </c>
      <c r="Q130" s="162">
        <v>5223004</v>
      </c>
      <c r="R130" s="162">
        <v>0</v>
      </c>
    </row>
    <row r="131" spans="1:18" x14ac:dyDescent="0.25">
      <c r="A131" s="55" t="s">
        <v>592</v>
      </c>
      <c r="B131" t="s">
        <v>129</v>
      </c>
      <c r="C131" t="s">
        <v>236</v>
      </c>
      <c r="D131" s="162">
        <v>873</v>
      </c>
      <c r="E131" s="162">
        <v>10</v>
      </c>
      <c r="F131" s="162">
        <v>883</v>
      </c>
      <c r="G131" s="162">
        <v>0</v>
      </c>
      <c r="H131" s="168">
        <v>0.99732120899999999</v>
      </c>
      <c r="I131" s="145">
        <v>880.6</v>
      </c>
      <c r="J131" s="162">
        <v>0</v>
      </c>
      <c r="K131" s="162">
        <v>7199321</v>
      </c>
      <c r="L131" s="162">
        <v>0</v>
      </c>
      <c r="M131" s="162">
        <v>7199321</v>
      </c>
      <c r="N131" s="162">
        <v>280</v>
      </c>
      <c r="O131" s="145">
        <v>15448.1</v>
      </c>
      <c r="P131" s="162">
        <v>371007</v>
      </c>
      <c r="Q131" s="162">
        <v>7570328</v>
      </c>
      <c r="R131" s="162">
        <v>402818</v>
      </c>
    </row>
    <row r="132" spans="1:18" x14ac:dyDescent="0.25">
      <c r="A132" s="55" t="s">
        <v>276</v>
      </c>
      <c r="B132" t="s">
        <v>130</v>
      </c>
      <c r="C132" t="s">
        <v>242</v>
      </c>
      <c r="D132" s="162">
        <v>1394</v>
      </c>
      <c r="E132" s="162">
        <v>125</v>
      </c>
      <c r="F132" s="162">
        <v>1519</v>
      </c>
      <c r="G132" s="162">
        <v>80</v>
      </c>
      <c r="H132" s="168">
        <v>1.1380644170000001</v>
      </c>
      <c r="I132" s="145">
        <v>1728.7</v>
      </c>
      <c r="J132" s="162">
        <v>-128746</v>
      </c>
      <c r="K132" s="162">
        <v>14004193</v>
      </c>
      <c r="L132" s="162">
        <v>0</v>
      </c>
      <c r="M132" s="162">
        <v>14004193</v>
      </c>
      <c r="N132" s="162">
        <v>655</v>
      </c>
      <c r="O132" s="145">
        <v>34846.300000000003</v>
      </c>
      <c r="P132" s="162">
        <v>836881</v>
      </c>
      <c r="Q132" s="162">
        <v>14841074</v>
      </c>
      <c r="R132" s="162">
        <v>0</v>
      </c>
    </row>
    <row r="133" spans="1:18" x14ac:dyDescent="0.25">
      <c r="A133" s="55" t="s">
        <v>275</v>
      </c>
      <c r="B133" t="s">
        <v>131</v>
      </c>
      <c r="C133" t="s">
        <v>247</v>
      </c>
      <c r="D133" s="162">
        <v>956</v>
      </c>
      <c r="E133" s="162">
        <v>867</v>
      </c>
      <c r="F133" s="162">
        <v>1823</v>
      </c>
      <c r="G133" s="162">
        <v>672</v>
      </c>
      <c r="H133" s="168">
        <v>0.84988779400000003</v>
      </c>
      <c r="I133" s="145">
        <v>1549.3</v>
      </c>
      <c r="J133" s="162">
        <v>0</v>
      </c>
      <c r="K133" s="162">
        <v>12666259</v>
      </c>
      <c r="L133" s="162">
        <v>250000</v>
      </c>
      <c r="M133" s="162">
        <v>12916259</v>
      </c>
      <c r="N133" s="162">
        <v>845</v>
      </c>
      <c r="O133" s="145">
        <v>27869.3</v>
      </c>
      <c r="P133" s="162">
        <v>669319</v>
      </c>
      <c r="Q133" s="162">
        <v>13585578</v>
      </c>
      <c r="R133" s="162">
        <v>722694</v>
      </c>
    </row>
    <row r="134" spans="1:18" x14ac:dyDescent="0.25">
      <c r="A134" s="55" t="s">
        <v>274</v>
      </c>
      <c r="B134" t="s">
        <v>132</v>
      </c>
      <c r="C134" t="s">
        <v>247</v>
      </c>
      <c r="D134" s="162">
        <v>8065</v>
      </c>
      <c r="E134" s="162">
        <v>549</v>
      </c>
      <c r="F134" s="162">
        <v>8614</v>
      </c>
      <c r="G134" s="162">
        <v>105</v>
      </c>
      <c r="H134" s="168">
        <v>1.0298232570000001</v>
      </c>
      <c r="I134" s="145">
        <v>8870.9</v>
      </c>
      <c r="J134" s="162">
        <v>-660664</v>
      </c>
      <c r="K134" s="162">
        <v>71863132</v>
      </c>
      <c r="L134" s="162">
        <v>150000</v>
      </c>
      <c r="M134" s="162">
        <v>72013132</v>
      </c>
      <c r="N134" s="162">
        <v>3773</v>
      </c>
      <c r="O134" s="145">
        <v>185209.4</v>
      </c>
      <c r="P134" s="162">
        <v>4448054</v>
      </c>
      <c r="Q134" s="162">
        <v>76461186</v>
      </c>
      <c r="R134" s="162">
        <v>0</v>
      </c>
    </row>
    <row r="135" spans="1:18" x14ac:dyDescent="0.25">
      <c r="A135" s="55" t="s">
        <v>273</v>
      </c>
      <c r="B135" t="s">
        <v>133</v>
      </c>
      <c r="C135" t="s">
        <v>247</v>
      </c>
      <c r="D135" s="162">
        <v>61</v>
      </c>
      <c r="E135" s="162">
        <v>5</v>
      </c>
      <c r="F135" s="162">
        <v>66</v>
      </c>
      <c r="G135" s="162">
        <v>0</v>
      </c>
      <c r="H135" s="168">
        <v>1.455249169</v>
      </c>
      <c r="I135" s="145">
        <v>96</v>
      </c>
      <c r="J135" s="162">
        <v>0</v>
      </c>
      <c r="K135" s="162">
        <v>784845</v>
      </c>
      <c r="L135" s="162">
        <v>0</v>
      </c>
      <c r="M135" s="162">
        <v>784845</v>
      </c>
      <c r="N135" s="162">
        <v>29</v>
      </c>
      <c r="O135" s="145">
        <v>2699.5</v>
      </c>
      <c r="P135" s="162">
        <v>64832</v>
      </c>
      <c r="Q135" s="162">
        <v>849677</v>
      </c>
      <c r="R135" s="162">
        <v>43914</v>
      </c>
    </row>
    <row r="136" spans="1:18" x14ac:dyDescent="0.25">
      <c r="A136" s="55" t="s">
        <v>272</v>
      </c>
      <c r="B136" t="s">
        <v>176</v>
      </c>
      <c r="C136" t="s">
        <v>247</v>
      </c>
      <c r="D136" s="162">
        <v>0</v>
      </c>
      <c r="E136" s="162">
        <v>5</v>
      </c>
      <c r="F136" s="162">
        <v>5</v>
      </c>
      <c r="G136" s="162">
        <v>0</v>
      </c>
      <c r="H136" s="168">
        <v>0.84150000000000003</v>
      </c>
      <c r="I136" s="145">
        <v>4.2</v>
      </c>
      <c r="J136" s="162">
        <v>0</v>
      </c>
      <c r="K136" s="162">
        <v>34337</v>
      </c>
      <c r="L136" s="162">
        <v>0</v>
      </c>
      <c r="M136" s="162">
        <v>34337</v>
      </c>
      <c r="N136" s="162">
        <v>0</v>
      </c>
      <c r="O136" s="145">
        <v>0</v>
      </c>
      <c r="P136" s="162">
        <v>0</v>
      </c>
      <c r="Q136" s="162">
        <v>34337</v>
      </c>
      <c r="R136" s="162">
        <v>1921</v>
      </c>
    </row>
    <row r="137" spans="1:18" x14ac:dyDescent="0.25">
      <c r="A137" s="55" t="s">
        <v>271</v>
      </c>
      <c r="B137" t="s">
        <v>134</v>
      </c>
      <c r="C137" t="s">
        <v>270</v>
      </c>
      <c r="D137" s="162">
        <v>66</v>
      </c>
      <c r="E137" s="162">
        <v>4</v>
      </c>
      <c r="F137" s="162">
        <v>70</v>
      </c>
      <c r="G137" s="162">
        <v>0</v>
      </c>
      <c r="H137" s="168">
        <v>1.6990771920000001</v>
      </c>
      <c r="I137" s="145">
        <v>118.9</v>
      </c>
      <c r="J137" s="162">
        <v>0</v>
      </c>
      <c r="K137" s="162">
        <v>972064</v>
      </c>
      <c r="L137" s="162">
        <v>0</v>
      </c>
      <c r="M137" s="162">
        <v>972064</v>
      </c>
      <c r="N137" s="162">
        <v>26</v>
      </c>
      <c r="O137" s="145">
        <v>2976.5</v>
      </c>
      <c r="P137" s="162">
        <v>71485</v>
      </c>
      <c r="Q137" s="162">
        <v>1043549</v>
      </c>
      <c r="R137" s="162">
        <v>54389</v>
      </c>
    </row>
    <row r="138" spans="1:18" x14ac:dyDescent="0.25">
      <c r="A138" s="55" t="s">
        <v>266</v>
      </c>
      <c r="B138" t="s">
        <v>135</v>
      </c>
      <c r="C138" t="s">
        <v>240</v>
      </c>
      <c r="D138" s="162">
        <v>184</v>
      </c>
      <c r="E138" s="162">
        <v>13</v>
      </c>
      <c r="F138" s="162">
        <v>197</v>
      </c>
      <c r="G138" s="162">
        <v>0</v>
      </c>
      <c r="H138" s="168">
        <v>1.4240868550000001</v>
      </c>
      <c r="I138" s="145">
        <v>280.5</v>
      </c>
      <c r="J138" s="162">
        <v>0</v>
      </c>
      <c r="K138" s="162">
        <v>2293220</v>
      </c>
      <c r="L138" s="162">
        <v>0</v>
      </c>
      <c r="M138" s="162">
        <v>2293220</v>
      </c>
      <c r="N138" s="162">
        <v>71</v>
      </c>
      <c r="O138" s="145">
        <v>5557.1</v>
      </c>
      <c r="P138" s="162">
        <v>133461</v>
      </c>
      <c r="Q138" s="162">
        <v>2426681</v>
      </c>
      <c r="R138" s="162">
        <v>128311</v>
      </c>
    </row>
    <row r="139" spans="1:18" x14ac:dyDescent="0.25">
      <c r="A139" s="55" t="s">
        <v>268</v>
      </c>
      <c r="B139" t="s">
        <v>177</v>
      </c>
      <c r="C139" t="s">
        <v>236</v>
      </c>
      <c r="D139" s="162">
        <v>35</v>
      </c>
      <c r="E139" s="162">
        <v>0</v>
      </c>
      <c r="F139" s="162">
        <v>35</v>
      </c>
      <c r="G139" s="162">
        <v>0</v>
      </c>
      <c r="H139" s="168">
        <v>0.75586134500000002</v>
      </c>
      <c r="I139" s="145">
        <v>26.5</v>
      </c>
      <c r="J139" s="162">
        <v>0</v>
      </c>
      <c r="K139" s="162">
        <v>216650</v>
      </c>
      <c r="L139" s="162">
        <v>0</v>
      </c>
      <c r="M139" s="162">
        <v>216650</v>
      </c>
      <c r="N139" s="162">
        <v>31</v>
      </c>
      <c r="O139" s="145">
        <v>339.2</v>
      </c>
      <c r="P139" s="162">
        <v>8146</v>
      </c>
      <c r="Q139" s="162">
        <v>224796</v>
      </c>
      <c r="R139" s="162">
        <v>12122</v>
      </c>
    </row>
    <row r="140" spans="1:18" x14ac:dyDescent="0.25">
      <c r="A140" s="55" t="s">
        <v>267</v>
      </c>
      <c r="B140" t="s">
        <v>136</v>
      </c>
      <c r="C140" t="s">
        <v>240</v>
      </c>
      <c r="D140" s="162">
        <v>0</v>
      </c>
      <c r="E140" s="162">
        <v>10</v>
      </c>
      <c r="F140" s="162">
        <v>10</v>
      </c>
      <c r="G140" s="162">
        <v>10</v>
      </c>
      <c r="H140" s="168">
        <v>1</v>
      </c>
      <c r="I140" s="145">
        <v>10</v>
      </c>
      <c r="J140" s="162">
        <v>0</v>
      </c>
      <c r="K140" s="162">
        <v>81755</v>
      </c>
      <c r="L140" s="162">
        <v>60000</v>
      </c>
      <c r="M140" s="162">
        <v>141755</v>
      </c>
      <c r="N140" s="162">
        <v>0</v>
      </c>
      <c r="O140" s="145">
        <v>0</v>
      </c>
      <c r="P140" s="162">
        <v>0</v>
      </c>
      <c r="Q140" s="162">
        <v>141755</v>
      </c>
      <c r="R140" s="162">
        <v>7932</v>
      </c>
    </row>
    <row r="141" spans="1:18" x14ac:dyDescent="0.25">
      <c r="A141" s="55" t="s">
        <v>265</v>
      </c>
      <c r="B141" t="s">
        <v>178</v>
      </c>
      <c r="C141" t="s">
        <v>236</v>
      </c>
      <c r="D141" s="162">
        <v>5</v>
      </c>
      <c r="E141" s="162">
        <v>0</v>
      </c>
      <c r="F141" s="162">
        <v>5</v>
      </c>
      <c r="G141" s="162">
        <v>0</v>
      </c>
      <c r="H141" s="168">
        <v>0.84150000000000003</v>
      </c>
      <c r="I141" s="145">
        <v>4.2</v>
      </c>
      <c r="J141" s="162">
        <v>0</v>
      </c>
      <c r="K141" s="162">
        <v>34337</v>
      </c>
      <c r="L141" s="162">
        <v>0</v>
      </c>
      <c r="M141" s="162">
        <v>34337</v>
      </c>
      <c r="N141" s="162">
        <v>7</v>
      </c>
      <c r="O141" s="145">
        <v>106.9</v>
      </c>
      <c r="P141" s="162">
        <v>2567</v>
      </c>
      <c r="Q141" s="162">
        <v>36904</v>
      </c>
      <c r="R141" s="162">
        <v>1921</v>
      </c>
    </row>
    <row r="142" spans="1:18" x14ac:dyDescent="0.25">
      <c r="A142" s="55" t="s">
        <v>264</v>
      </c>
      <c r="B142" t="s">
        <v>137</v>
      </c>
      <c r="C142" t="s">
        <v>252</v>
      </c>
      <c r="D142" s="162">
        <v>610</v>
      </c>
      <c r="E142" s="162">
        <v>561</v>
      </c>
      <c r="F142" s="162">
        <v>1171</v>
      </c>
      <c r="G142" s="162">
        <v>540</v>
      </c>
      <c r="H142" s="168">
        <v>0.84328893599999999</v>
      </c>
      <c r="I142" s="145">
        <v>987.5</v>
      </c>
      <c r="J142" s="162">
        <v>0</v>
      </c>
      <c r="K142" s="162">
        <v>8073279</v>
      </c>
      <c r="L142" s="162">
        <v>210000</v>
      </c>
      <c r="M142" s="162">
        <v>8283279</v>
      </c>
      <c r="N142" s="162">
        <v>585</v>
      </c>
      <c r="O142" s="145">
        <v>17307.400000000001</v>
      </c>
      <c r="P142" s="162">
        <v>415661</v>
      </c>
      <c r="Q142" s="162">
        <v>8698940</v>
      </c>
      <c r="R142" s="162">
        <v>463468</v>
      </c>
    </row>
    <row r="143" spans="1:18" x14ac:dyDescent="0.25">
      <c r="A143" s="55" t="s">
        <v>263</v>
      </c>
      <c r="B143" t="s">
        <v>138</v>
      </c>
      <c r="C143" t="s">
        <v>252</v>
      </c>
      <c r="D143" s="162">
        <v>302</v>
      </c>
      <c r="E143" s="162">
        <v>36</v>
      </c>
      <c r="F143" s="162">
        <v>338</v>
      </c>
      <c r="G143" s="162">
        <v>26</v>
      </c>
      <c r="H143" s="168">
        <v>1.115000309</v>
      </c>
      <c r="I143" s="145">
        <v>376.9</v>
      </c>
      <c r="J143" s="162">
        <v>0</v>
      </c>
      <c r="K143" s="162">
        <v>3081335</v>
      </c>
      <c r="L143" s="162">
        <v>0</v>
      </c>
      <c r="M143" s="162">
        <v>3081335</v>
      </c>
      <c r="N143" s="162">
        <v>118</v>
      </c>
      <c r="O143" s="145">
        <v>6443.7</v>
      </c>
      <c r="P143" s="162">
        <v>154754</v>
      </c>
      <c r="Q143" s="162">
        <v>3236089</v>
      </c>
      <c r="R143" s="162">
        <v>172408</v>
      </c>
    </row>
    <row r="144" spans="1:18" x14ac:dyDescent="0.25">
      <c r="A144" s="55" t="s">
        <v>262</v>
      </c>
      <c r="B144" t="s">
        <v>139</v>
      </c>
      <c r="C144" t="s">
        <v>252</v>
      </c>
      <c r="D144" s="162">
        <v>4466</v>
      </c>
      <c r="E144" s="162">
        <v>623</v>
      </c>
      <c r="F144" s="162">
        <v>5089</v>
      </c>
      <c r="G144" s="162">
        <v>240</v>
      </c>
      <c r="H144" s="168">
        <v>0.97482506300000005</v>
      </c>
      <c r="I144" s="145">
        <v>4960.8999999999996</v>
      </c>
      <c r="J144" s="162">
        <v>-369465</v>
      </c>
      <c r="K144" s="162">
        <v>40188235</v>
      </c>
      <c r="L144" s="162">
        <v>0</v>
      </c>
      <c r="M144" s="162">
        <v>40188235</v>
      </c>
      <c r="N144" s="162">
        <v>2049</v>
      </c>
      <c r="O144" s="145">
        <v>99926.5</v>
      </c>
      <c r="P144" s="162">
        <v>2399870</v>
      </c>
      <c r="Q144" s="162">
        <v>42588105</v>
      </c>
      <c r="R144" s="162">
        <v>0</v>
      </c>
    </row>
    <row r="145" spans="1:18" x14ac:dyDescent="0.25">
      <c r="A145" s="55" t="s">
        <v>593</v>
      </c>
      <c r="B145" t="s">
        <v>140</v>
      </c>
      <c r="C145" t="s">
        <v>252</v>
      </c>
      <c r="D145" s="162">
        <v>79</v>
      </c>
      <c r="E145" s="162">
        <v>5</v>
      </c>
      <c r="F145" s="162">
        <v>84</v>
      </c>
      <c r="G145" s="162">
        <v>0</v>
      </c>
      <c r="H145" s="168">
        <v>1.59</v>
      </c>
      <c r="I145" s="145">
        <v>133.6</v>
      </c>
      <c r="J145" s="162">
        <v>0</v>
      </c>
      <c r="K145" s="162">
        <v>1092243</v>
      </c>
      <c r="L145" s="162">
        <v>0</v>
      </c>
      <c r="M145" s="162">
        <v>1092243</v>
      </c>
      <c r="N145" s="162">
        <v>54</v>
      </c>
      <c r="O145" s="145">
        <v>5151.6000000000004</v>
      </c>
      <c r="P145" s="162">
        <v>123723</v>
      </c>
      <c r="Q145" s="162">
        <v>1215966</v>
      </c>
      <c r="R145" s="162">
        <v>61113</v>
      </c>
    </row>
    <row r="146" spans="1:18" x14ac:dyDescent="0.25">
      <c r="A146" s="55" t="s">
        <v>261</v>
      </c>
      <c r="B146" t="s">
        <v>141</v>
      </c>
      <c r="C146" t="s">
        <v>252</v>
      </c>
      <c r="D146" s="162">
        <v>218</v>
      </c>
      <c r="E146" s="162">
        <v>11</v>
      </c>
      <c r="F146" s="162">
        <v>229</v>
      </c>
      <c r="G146" s="162">
        <v>0</v>
      </c>
      <c r="H146" s="168">
        <v>1.0005351629999999</v>
      </c>
      <c r="I146" s="145">
        <v>229.1</v>
      </c>
      <c r="J146" s="162">
        <v>0</v>
      </c>
      <c r="K146" s="162">
        <v>1873001</v>
      </c>
      <c r="L146" s="162">
        <v>0</v>
      </c>
      <c r="M146" s="162">
        <v>1873001</v>
      </c>
      <c r="N146" s="162">
        <v>98</v>
      </c>
      <c r="O146" s="145">
        <v>3644.7</v>
      </c>
      <c r="P146" s="162">
        <v>87532</v>
      </c>
      <c r="Q146" s="162">
        <v>1960533</v>
      </c>
      <c r="R146" s="162">
        <v>104799</v>
      </c>
    </row>
    <row r="147" spans="1:18" x14ac:dyDescent="0.25">
      <c r="A147" s="55" t="s">
        <v>328</v>
      </c>
      <c r="B147" t="s">
        <v>156</v>
      </c>
      <c r="C147" t="s">
        <v>252</v>
      </c>
      <c r="D147" s="162">
        <v>28</v>
      </c>
      <c r="E147" s="162">
        <v>0</v>
      </c>
      <c r="F147" s="162">
        <v>28</v>
      </c>
      <c r="G147" s="162">
        <v>0</v>
      </c>
      <c r="H147" s="168">
        <v>0.84150000000000003</v>
      </c>
      <c r="I147" s="145">
        <v>23.6</v>
      </c>
      <c r="J147" s="162">
        <v>0</v>
      </c>
      <c r="K147" s="162">
        <v>192941</v>
      </c>
      <c r="L147" s="162">
        <v>0</v>
      </c>
      <c r="M147" s="162">
        <v>192941</v>
      </c>
      <c r="N147" s="162">
        <v>28</v>
      </c>
      <c r="O147" s="145">
        <v>780.5</v>
      </c>
      <c r="P147" s="162">
        <v>18745</v>
      </c>
      <c r="Q147" s="162">
        <v>211686</v>
      </c>
      <c r="R147" s="162">
        <v>10795</v>
      </c>
    </row>
    <row r="148" spans="1:18" x14ac:dyDescent="0.25">
      <c r="A148" s="55" t="s">
        <v>260</v>
      </c>
      <c r="B148" t="s">
        <v>142</v>
      </c>
      <c r="C148" t="s">
        <v>236</v>
      </c>
      <c r="D148" s="162">
        <v>702</v>
      </c>
      <c r="E148" s="162">
        <v>490</v>
      </c>
      <c r="F148" s="162">
        <v>1192</v>
      </c>
      <c r="G148" s="162">
        <v>250</v>
      </c>
      <c r="H148" s="168">
        <v>1.083907779</v>
      </c>
      <c r="I148" s="145">
        <v>1292</v>
      </c>
      <c r="J148" s="162">
        <v>0</v>
      </c>
      <c r="K148" s="162">
        <v>10562710</v>
      </c>
      <c r="L148" s="162">
        <v>100000</v>
      </c>
      <c r="M148" s="162">
        <v>10662710</v>
      </c>
      <c r="N148" s="162">
        <v>542</v>
      </c>
      <c r="O148" s="145">
        <v>21622.6</v>
      </c>
      <c r="P148" s="162">
        <v>519296</v>
      </c>
      <c r="Q148" s="162">
        <v>11182006</v>
      </c>
      <c r="R148" s="162">
        <v>596603</v>
      </c>
    </row>
    <row r="149" spans="1:18" x14ac:dyDescent="0.25">
      <c r="A149" s="55" t="s">
        <v>259</v>
      </c>
      <c r="B149" t="s">
        <v>193</v>
      </c>
      <c r="C149" t="s">
        <v>236</v>
      </c>
      <c r="D149" s="162">
        <v>0</v>
      </c>
      <c r="E149" s="162">
        <v>45</v>
      </c>
      <c r="F149" s="162">
        <v>45</v>
      </c>
      <c r="G149" s="162">
        <v>0</v>
      </c>
      <c r="H149" s="168">
        <v>0.63</v>
      </c>
      <c r="I149" s="145">
        <v>28.4</v>
      </c>
      <c r="J149" s="162">
        <v>0</v>
      </c>
      <c r="K149" s="162">
        <v>232183</v>
      </c>
      <c r="L149" s="162">
        <v>0</v>
      </c>
      <c r="M149" s="162">
        <v>232183</v>
      </c>
      <c r="N149" s="162">
        <v>0</v>
      </c>
      <c r="O149" s="145">
        <v>0</v>
      </c>
      <c r="P149" s="162">
        <v>0</v>
      </c>
      <c r="Q149" s="162">
        <v>232183</v>
      </c>
      <c r="R149" s="162">
        <v>12991</v>
      </c>
    </row>
    <row r="150" spans="1:18" x14ac:dyDescent="0.25">
      <c r="A150" s="55" t="s">
        <v>258</v>
      </c>
      <c r="B150" t="s">
        <v>185</v>
      </c>
      <c r="C150" t="s">
        <v>236</v>
      </c>
      <c r="D150" s="162">
        <v>0</v>
      </c>
      <c r="E150" s="162">
        <v>44</v>
      </c>
      <c r="F150" s="162">
        <v>44</v>
      </c>
      <c r="G150" s="162">
        <v>0</v>
      </c>
      <c r="H150" s="168">
        <v>0.315</v>
      </c>
      <c r="I150" s="145">
        <v>13.9</v>
      </c>
      <c r="J150" s="162">
        <v>0</v>
      </c>
      <c r="K150" s="162">
        <v>113639</v>
      </c>
      <c r="L150" s="162">
        <v>277500</v>
      </c>
      <c r="M150" s="162">
        <v>391139</v>
      </c>
      <c r="N150" s="162">
        <v>0</v>
      </c>
      <c r="O150" s="145">
        <v>0</v>
      </c>
      <c r="P150" s="162">
        <v>0</v>
      </c>
      <c r="Q150" s="162">
        <v>391139</v>
      </c>
      <c r="R150" s="162">
        <v>21885</v>
      </c>
    </row>
    <row r="151" spans="1:18" x14ac:dyDescent="0.25">
      <c r="A151" s="55" t="s">
        <v>257</v>
      </c>
      <c r="B151" t="s">
        <v>143</v>
      </c>
      <c r="C151" t="s">
        <v>242</v>
      </c>
      <c r="D151" s="162">
        <v>2401</v>
      </c>
      <c r="E151" s="162">
        <v>198</v>
      </c>
      <c r="F151" s="162">
        <v>2599</v>
      </c>
      <c r="G151" s="162">
        <v>100</v>
      </c>
      <c r="H151" s="168">
        <v>1.0223535130000001</v>
      </c>
      <c r="I151" s="145">
        <v>2657.1</v>
      </c>
      <c r="J151" s="162">
        <v>-197888</v>
      </c>
      <c r="K151" s="162">
        <v>21525159</v>
      </c>
      <c r="L151" s="162">
        <v>0</v>
      </c>
      <c r="M151" s="162">
        <v>21525159</v>
      </c>
      <c r="N151" s="162">
        <v>1110</v>
      </c>
      <c r="O151" s="145">
        <v>52636.7</v>
      </c>
      <c r="P151" s="162">
        <v>1264142</v>
      </c>
      <c r="Q151" s="162">
        <v>22789301</v>
      </c>
      <c r="R151" s="162">
        <v>0</v>
      </c>
    </row>
    <row r="152" spans="1:18" x14ac:dyDescent="0.25">
      <c r="A152" s="55" t="s">
        <v>256</v>
      </c>
      <c r="B152" t="s">
        <v>144</v>
      </c>
      <c r="C152" t="s">
        <v>247</v>
      </c>
      <c r="D152" s="162">
        <v>1000</v>
      </c>
      <c r="E152" s="162">
        <v>55</v>
      </c>
      <c r="F152" s="162">
        <v>1055</v>
      </c>
      <c r="G152" s="162">
        <v>20</v>
      </c>
      <c r="H152" s="168">
        <v>1.003643356</v>
      </c>
      <c r="I152" s="145">
        <v>1058.8</v>
      </c>
      <c r="J152" s="162">
        <v>-78855</v>
      </c>
      <c r="K152" s="162">
        <v>8577335</v>
      </c>
      <c r="L152" s="162">
        <v>0</v>
      </c>
      <c r="M152" s="162">
        <v>8577335</v>
      </c>
      <c r="N152" s="162">
        <v>331</v>
      </c>
      <c r="O152" s="145">
        <v>17463.5</v>
      </c>
      <c r="P152" s="162">
        <v>419410</v>
      </c>
      <c r="Q152" s="162">
        <v>8996745</v>
      </c>
      <c r="R152" s="162">
        <v>0</v>
      </c>
    </row>
    <row r="153" spans="1:18" x14ac:dyDescent="0.25">
      <c r="A153" s="55" t="s">
        <v>255</v>
      </c>
      <c r="B153" t="s">
        <v>145</v>
      </c>
      <c r="C153" t="s">
        <v>254</v>
      </c>
      <c r="D153" s="162">
        <v>17</v>
      </c>
      <c r="E153" s="162">
        <v>2</v>
      </c>
      <c r="F153" s="162">
        <v>19</v>
      </c>
      <c r="G153" s="162">
        <v>0</v>
      </c>
      <c r="H153" s="168">
        <v>0.84150000000000003</v>
      </c>
      <c r="I153" s="145">
        <v>16</v>
      </c>
      <c r="J153" s="162">
        <v>0</v>
      </c>
      <c r="K153" s="162">
        <v>130808</v>
      </c>
      <c r="L153" s="162">
        <v>0</v>
      </c>
      <c r="M153" s="162">
        <v>130808</v>
      </c>
      <c r="N153" s="162">
        <v>20</v>
      </c>
      <c r="O153" s="145">
        <v>278</v>
      </c>
      <c r="P153" s="162">
        <v>6677</v>
      </c>
      <c r="Q153" s="162">
        <v>137485</v>
      </c>
      <c r="R153" s="162">
        <v>7319</v>
      </c>
    </row>
    <row r="154" spans="1:18" x14ac:dyDescent="0.25">
      <c r="A154" s="55" t="s">
        <v>253</v>
      </c>
      <c r="B154" t="s">
        <v>186</v>
      </c>
      <c r="C154" t="s">
        <v>252</v>
      </c>
      <c r="D154" s="162">
        <v>0</v>
      </c>
      <c r="E154" s="162">
        <v>0</v>
      </c>
      <c r="F154" s="162">
        <v>0</v>
      </c>
      <c r="G154" s="162">
        <v>0</v>
      </c>
      <c r="H154" s="168">
        <v>1</v>
      </c>
      <c r="I154" s="145">
        <v>0</v>
      </c>
      <c r="J154" s="162">
        <v>0</v>
      </c>
      <c r="K154" s="162">
        <v>0</v>
      </c>
      <c r="L154" s="162">
        <v>0</v>
      </c>
      <c r="M154" s="162">
        <v>0</v>
      </c>
      <c r="N154" s="162">
        <v>0</v>
      </c>
      <c r="O154" s="145">
        <v>0</v>
      </c>
      <c r="P154" s="162">
        <v>0</v>
      </c>
      <c r="Q154" s="162">
        <v>0</v>
      </c>
      <c r="R154" s="162">
        <v>0</v>
      </c>
    </row>
    <row r="155" spans="1:18" x14ac:dyDescent="0.25">
      <c r="A155" s="55" t="s">
        <v>251</v>
      </c>
      <c r="B155" t="s">
        <v>146</v>
      </c>
      <c r="C155" t="s">
        <v>250</v>
      </c>
      <c r="D155" s="162">
        <v>158</v>
      </c>
      <c r="E155" s="162">
        <v>15</v>
      </c>
      <c r="F155" s="162">
        <v>173</v>
      </c>
      <c r="G155" s="162">
        <v>0</v>
      </c>
      <c r="H155" s="168">
        <v>1.431143592</v>
      </c>
      <c r="I155" s="145">
        <v>247.6</v>
      </c>
      <c r="J155" s="162">
        <v>0</v>
      </c>
      <c r="K155" s="162">
        <v>2024247</v>
      </c>
      <c r="L155" s="162">
        <v>0</v>
      </c>
      <c r="M155" s="162">
        <v>2024247</v>
      </c>
      <c r="N155" s="162">
        <v>70</v>
      </c>
      <c r="O155" s="145">
        <v>6123.7</v>
      </c>
      <c r="P155" s="162">
        <v>147069</v>
      </c>
      <c r="Q155" s="162">
        <v>2171316</v>
      </c>
      <c r="R155" s="162">
        <v>113261</v>
      </c>
    </row>
    <row r="156" spans="1:18" x14ac:dyDescent="0.25">
      <c r="A156" s="55" t="s">
        <v>249</v>
      </c>
      <c r="B156" t="s">
        <v>147</v>
      </c>
      <c r="C156" t="s">
        <v>236</v>
      </c>
      <c r="D156" s="162">
        <v>3063</v>
      </c>
      <c r="E156" s="162">
        <v>297</v>
      </c>
      <c r="F156" s="162">
        <v>3360</v>
      </c>
      <c r="G156" s="162">
        <v>100</v>
      </c>
      <c r="H156" s="168">
        <v>1.0986407659999999</v>
      </c>
      <c r="I156" s="145">
        <v>3691.4</v>
      </c>
      <c r="J156" s="162">
        <v>-274918</v>
      </c>
      <c r="K156" s="162">
        <v>29904020</v>
      </c>
      <c r="L156" s="162">
        <v>0</v>
      </c>
      <c r="M156" s="162">
        <v>29904020</v>
      </c>
      <c r="N156" s="162">
        <v>1163</v>
      </c>
      <c r="O156" s="145">
        <v>66359.199999999997</v>
      </c>
      <c r="P156" s="162">
        <v>1593706</v>
      </c>
      <c r="Q156" s="162">
        <v>31497726</v>
      </c>
      <c r="R156" s="162">
        <v>0</v>
      </c>
    </row>
    <row r="157" spans="1:18" x14ac:dyDescent="0.25">
      <c r="A157" s="55" t="s">
        <v>248</v>
      </c>
      <c r="B157" t="s">
        <v>148</v>
      </c>
      <c r="C157" t="s">
        <v>247</v>
      </c>
      <c r="D157" s="162">
        <v>128</v>
      </c>
      <c r="E157" s="162">
        <v>0</v>
      </c>
      <c r="F157" s="162">
        <v>128</v>
      </c>
      <c r="G157" s="162">
        <v>0</v>
      </c>
      <c r="H157" s="168">
        <v>1.620336641</v>
      </c>
      <c r="I157" s="145">
        <v>207.4</v>
      </c>
      <c r="J157" s="162">
        <v>0</v>
      </c>
      <c r="K157" s="162">
        <v>1695593</v>
      </c>
      <c r="L157" s="162">
        <v>0</v>
      </c>
      <c r="M157" s="162">
        <v>1695593</v>
      </c>
      <c r="N157" s="162">
        <v>49</v>
      </c>
      <c r="O157" s="145">
        <v>5090.6000000000004</v>
      </c>
      <c r="P157" s="162">
        <v>122258</v>
      </c>
      <c r="Q157" s="162">
        <v>1817851</v>
      </c>
      <c r="R157" s="162">
        <v>94872</v>
      </c>
    </row>
    <row r="158" spans="1:18" x14ac:dyDescent="0.25">
      <c r="A158" s="55" t="s">
        <v>245</v>
      </c>
      <c r="B158" t="s">
        <v>187</v>
      </c>
      <c r="C158" t="s">
        <v>244</v>
      </c>
      <c r="D158" s="162">
        <v>0</v>
      </c>
      <c r="E158" s="162">
        <v>0</v>
      </c>
      <c r="F158" s="162">
        <v>0</v>
      </c>
      <c r="G158" s="162">
        <v>0</v>
      </c>
      <c r="H158" s="168">
        <v>0.84150000000000003</v>
      </c>
      <c r="I158" s="145">
        <v>0</v>
      </c>
      <c r="J158" s="162">
        <v>0</v>
      </c>
      <c r="K158" s="162">
        <v>0</v>
      </c>
      <c r="L158" s="162">
        <v>0</v>
      </c>
      <c r="M158" s="162">
        <v>0</v>
      </c>
      <c r="N158" s="162">
        <v>0</v>
      </c>
      <c r="O158" s="145">
        <v>0</v>
      </c>
      <c r="P158" s="162">
        <v>0</v>
      </c>
      <c r="Q158" s="162">
        <v>0</v>
      </c>
      <c r="R158" s="162">
        <v>0</v>
      </c>
    </row>
    <row r="159" spans="1:18" x14ac:dyDescent="0.25">
      <c r="A159" s="55" t="s">
        <v>243</v>
      </c>
      <c r="B159" t="s">
        <v>188</v>
      </c>
      <c r="C159" t="s">
        <v>242</v>
      </c>
      <c r="D159" s="162">
        <v>0</v>
      </c>
      <c r="E159" s="162">
        <v>35</v>
      </c>
      <c r="F159" s="162">
        <v>35</v>
      </c>
      <c r="G159" s="162">
        <v>0</v>
      </c>
      <c r="H159" s="168">
        <v>0.315</v>
      </c>
      <c r="I159" s="145">
        <v>11</v>
      </c>
      <c r="J159" s="162">
        <v>0</v>
      </c>
      <c r="K159" s="162">
        <v>89930</v>
      </c>
      <c r="L159" s="162">
        <v>243750</v>
      </c>
      <c r="M159" s="162">
        <v>333680</v>
      </c>
      <c r="N159" s="162">
        <v>0</v>
      </c>
      <c r="O159" s="145">
        <v>0</v>
      </c>
      <c r="P159" s="162">
        <v>0</v>
      </c>
      <c r="Q159" s="162">
        <v>333680</v>
      </c>
      <c r="R159" s="162">
        <v>18670</v>
      </c>
    </row>
    <row r="160" spans="1:18" x14ac:dyDescent="0.25">
      <c r="A160" s="55" t="s">
        <v>241</v>
      </c>
      <c r="B160" t="s">
        <v>149</v>
      </c>
      <c r="C160" t="s">
        <v>240</v>
      </c>
      <c r="D160" s="162">
        <v>1320</v>
      </c>
      <c r="E160" s="162">
        <v>230</v>
      </c>
      <c r="F160" s="162">
        <v>1550</v>
      </c>
      <c r="G160" s="162">
        <v>100</v>
      </c>
      <c r="H160" s="168">
        <v>1.194693953</v>
      </c>
      <c r="I160" s="145">
        <v>1851.8</v>
      </c>
      <c r="J160" s="162">
        <v>-137913</v>
      </c>
      <c r="K160" s="162">
        <v>15001426</v>
      </c>
      <c r="L160" s="162">
        <v>0</v>
      </c>
      <c r="M160" s="162">
        <v>15001426</v>
      </c>
      <c r="N160" s="162">
        <v>759</v>
      </c>
      <c r="O160" s="145">
        <v>38022.800000000003</v>
      </c>
      <c r="P160" s="162">
        <v>913169</v>
      </c>
      <c r="Q160" s="162">
        <v>15914595</v>
      </c>
      <c r="R160" s="162">
        <v>0</v>
      </c>
    </row>
    <row r="161" spans="1:18" x14ac:dyDescent="0.25">
      <c r="A161" s="55" t="s">
        <v>239</v>
      </c>
      <c r="B161" t="s">
        <v>150</v>
      </c>
      <c r="C161" t="s">
        <v>238</v>
      </c>
      <c r="D161" s="162">
        <v>1472</v>
      </c>
      <c r="E161" s="162">
        <v>150</v>
      </c>
      <c r="F161" s="162">
        <v>1622</v>
      </c>
      <c r="G161" s="162">
        <v>50</v>
      </c>
      <c r="H161" s="168">
        <v>1.0653143110000001</v>
      </c>
      <c r="I161" s="145">
        <v>1727.9</v>
      </c>
      <c r="J161" s="162">
        <v>-128686</v>
      </c>
      <c r="K161" s="162">
        <v>13997712</v>
      </c>
      <c r="L161" s="162">
        <v>0</v>
      </c>
      <c r="M161" s="162">
        <v>13997712</v>
      </c>
      <c r="N161" s="162">
        <v>693</v>
      </c>
      <c r="O161" s="145">
        <v>32003.3</v>
      </c>
      <c r="P161" s="162">
        <v>768603</v>
      </c>
      <c r="Q161" s="162">
        <v>14766315</v>
      </c>
      <c r="R161" s="162">
        <v>0</v>
      </c>
    </row>
    <row r="162" spans="1:18" x14ac:dyDescent="0.25">
      <c r="A162" s="169" t="s">
        <v>21</v>
      </c>
      <c r="B162" s="170"/>
      <c r="C162" s="170"/>
      <c r="D162" s="171">
        <v>159335</v>
      </c>
      <c r="E162" s="171">
        <v>19135</v>
      </c>
      <c r="F162" s="171">
        <v>178470</v>
      </c>
      <c r="G162" s="171">
        <v>8600</v>
      </c>
      <c r="H162" s="172">
        <v>171.63577834800006</v>
      </c>
      <c r="I162" s="173">
        <v>195426.50000000006</v>
      </c>
      <c r="J162" s="171">
        <v>-10272002</v>
      </c>
      <c r="K162" s="171">
        <v>1587431903</v>
      </c>
      <c r="L162" s="171">
        <v>14501250</v>
      </c>
      <c r="M162" s="171">
        <v>1601933153</v>
      </c>
      <c r="N162" s="171">
        <v>75073</v>
      </c>
      <c r="O162" s="173">
        <v>3536917.3000000003</v>
      </c>
      <c r="P162" s="171">
        <v>84943846</v>
      </c>
      <c r="Q162" s="171">
        <v>1686876999</v>
      </c>
      <c r="R162" s="174">
        <v>26998359</v>
      </c>
    </row>
    <row r="163" spans="1:18" x14ac:dyDescent="0.25">
      <c r="A163"/>
      <c r="B163"/>
      <c r="C163"/>
      <c r="D163" s="162"/>
      <c r="E163" s="162"/>
      <c r="F163" s="162"/>
      <c r="G163" s="162"/>
      <c r="H163" s="162"/>
      <c r="I163" s="162"/>
      <c r="J163" s="162"/>
      <c r="K163" s="162"/>
      <c r="L163" s="162"/>
      <c r="M163" s="162"/>
      <c r="N163" s="162"/>
      <c r="O163" s="162"/>
      <c r="P163" s="162"/>
      <c r="Q163" s="162"/>
      <c r="R163" s="162"/>
    </row>
    <row r="164" spans="1:18" x14ac:dyDescent="0.25">
      <c r="A164" t="s">
        <v>699</v>
      </c>
      <c r="B164"/>
      <c r="C164"/>
      <c r="D164"/>
      <c r="E164"/>
      <c r="F164"/>
      <c r="G164"/>
      <c r="H164"/>
      <c r="I164"/>
      <c r="J164"/>
      <c r="K164"/>
      <c r="L164"/>
      <c r="M164"/>
      <c r="N164"/>
      <c r="O164"/>
      <c r="P164"/>
      <c r="Q164"/>
      <c r="R164"/>
    </row>
    <row r="165" spans="1:18" x14ac:dyDescent="0.25">
      <c r="A165" s="157" t="s">
        <v>583</v>
      </c>
      <c r="B165" s="45" t="s">
        <v>584</v>
      </c>
      <c r="C165" s="8"/>
      <c r="D165" s="8">
        <f>_xlfn.IFNA(VLOOKUP("0213612-0X",$A:$Y,COLUMN(D:D),FALSE),0)+_xlfn.IFNA(VLOOKUP("0116354-9X",$A:$Y,COLUMN(D:D),FALSE),0)</f>
        <v>2484</v>
      </c>
      <c r="E165" s="8">
        <f>_xlfn.IFNA(VLOOKUP("0213612-0X",$A:$Y,COLUMN(E:E),FALSE),0)+_xlfn.IFNA(VLOOKUP("0116354-9X",$A:$Y,COLUMN(E:E),FALSE),0)</f>
        <v>1172</v>
      </c>
      <c r="F165" s="8">
        <f>_xlfn.IFNA(VLOOKUP("0213612-0X",$A:$Y,COLUMN(F:F),FALSE),0)+_xlfn.IFNA(VLOOKUP("0116354-9X",$A:$Y,COLUMN(F:F),FALSE),0)</f>
        <v>3656</v>
      </c>
      <c r="G165" s="8">
        <f>_xlfn.IFNA(VLOOKUP("0213612-0X",$A:$Y,COLUMN(G:G),FALSE),0)+_xlfn.IFNA(VLOOKUP("0116354-9X",$A:$Y,COLUMN(G:G),FALSE),0)</f>
        <v>580</v>
      </c>
      <c r="H165">
        <f>I165/F165</f>
        <v>0.799644420131291</v>
      </c>
      <c r="I165" s="8">
        <f t="shared" ref="I165:R165" si="0">_xlfn.IFNA(VLOOKUP("0213612-0X",$A:$Y,COLUMN(I:I),FALSE),0)+_xlfn.IFNA(VLOOKUP("0116354-9X",$A:$Y,COLUMN(I:I),FALSE),0)</f>
        <v>2923.5</v>
      </c>
      <c r="J165" s="8">
        <f t="shared" si="0"/>
        <v>0</v>
      </c>
      <c r="K165" s="8">
        <f t="shared" si="0"/>
        <v>23900993</v>
      </c>
      <c r="L165" s="8">
        <f t="shared" si="0"/>
        <v>0</v>
      </c>
      <c r="M165" s="9">
        <f t="shared" si="0"/>
        <v>23900993</v>
      </c>
      <c r="N165" s="8">
        <f t="shared" si="0"/>
        <v>2302</v>
      </c>
      <c r="O165" s="8">
        <f t="shared" si="0"/>
        <v>63536.1</v>
      </c>
      <c r="P165" s="8">
        <f t="shared" si="0"/>
        <v>1525906</v>
      </c>
      <c r="Q165">
        <f t="shared" si="0"/>
        <v>25426899</v>
      </c>
      <c r="R165">
        <f t="shared" si="0"/>
        <v>1337315</v>
      </c>
    </row>
    <row r="166" spans="1:18" x14ac:dyDescent="0.25">
      <c r="A166" s="157" t="s">
        <v>326</v>
      </c>
      <c r="B166" s="45" t="s">
        <v>92</v>
      </c>
      <c r="C166" s="8"/>
      <c r="D166" s="8">
        <f>_xlfn.IFNA(VLOOKUP("0201689-0X",$A:$Y,COLUMN(D:D),FALSE),0)+_xlfn.IFNA(VLOOKUP("0114371-6X",$A:$Y,COLUMN(D:D),FALSE),0)</f>
        <v>1430</v>
      </c>
      <c r="E166" s="8">
        <f>_xlfn.IFNA(VLOOKUP("0201689-0X",$A:$Y,COLUMN(E:E),FALSE),0)+_xlfn.IFNA(VLOOKUP("0114371-6X",$A:$Y,COLUMN(E:E),FALSE),0)</f>
        <v>110</v>
      </c>
      <c r="F166" s="8">
        <f>_xlfn.IFNA(VLOOKUP("0201689-0X",$A:$Y,COLUMN(F:F),FALSE),0)+_xlfn.IFNA(VLOOKUP("0114371-6X",$A:$Y,COLUMN(F:F),FALSE),0)</f>
        <v>1540</v>
      </c>
      <c r="G166" s="8">
        <f>_xlfn.IFNA(VLOOKUP("0201689-0X",$A:$Y,COLUMN(G:G),FALSE),0)+_xlfn.IFNA(VLOOKUP("0114371-6X",$A:$Y,COLUMN(G:G),FALSE),0)</f>
        <v>0</v>
      </c>
      <c r="H166">
        <f t="shared" ref="H166:H168" si="1">I166/F166</f>
        <v>0.67019480519480512</v>
      </c>
      <c r="I166" s="8">
        <f t="shared" ref="I166:R166" si="2">_xlfn.IFNA(VLOOKUP("0201689-0X",$A:$Y,COLUMN(I:I),FALSE),0)+_xlfn.IFNA(VLOOKUP("0114371-6X",$A:$Y,COLUMN(I:I),FALSE),0)</f>
        <v>1032.0999999999999</v>
      </c>
      <c r="J166" s="8">
        <f t="shared" si="2"/>
        <v>0</v>
      </c>
      <c r="K166" s="8">
        <f t="shared" si="2"/>
        <v>8437905</v>
      </c>
      <c r="L166" s="8">
        <f t="shared" si="2"/>
        <v>600000</v>
      </c>
      <c r="M166" s="9">
        <f t="shared" si="2"/>
        <v>9037905</v>
      </c>
      <c r="N166" s="8">
        <f t="shared" si="2"/>
        <v>1072</v>
      </c>
      <c r="O166" s="8">
        <f t="shared" si="2"/>
        <v>15867.9</v>
      </c>
      <c r="P166" s="8">
        <f t="shared" si="2"/>
        <v>381089</v>
      </c>
      <c r="Q166">
        <f t="shared" si="2"/>
        <v>9418994</v>
      </c>
      <c r="R166">
        <f t="shared" si="2"/>
        <v>505691</v>
      </c>
    </row>
    <row r="167" spans="1:18" x14ac:dyDescent="0.25">
      <c r="A167" s="157" t="s">
        <v>277</v>
      </c>
      <c r="B167" s="157" t="s">
        <v>129</v>
      </c>
      <c r="C167" s="8"/>
      <c r="D167" s="8">
        <f>_xlfn.IFNA(VLOOKUP("0214081-6X",$A:$Y,COLUMN(D:D),FALSE),0)+_xlfn.IFNA(VLOOKUP("1648362-5X",$A:$Y,COLUMN(D:D),FALSE),0)</f>
        <v>1087</v>
      </c>
      <c r="E167" s="8">
        <f>_xlfn.IFNA(VLOOKUP("0214081-6X",$A:$Y,COLUMN(E:E),FALSE),0)+_xlfn.IFNA(VLOOKUP("1648362-5X",$A:$Y,COLUMN(E:E),FALSE),0)</f>
        <v>17</v>
      </c>
      <c r="F167" s="8">
        <f>_xlfn.IFNA(VLOOKUP("0214081-6X",$A:$Y,COLUMN(F:F),FALSE),0)+_xlfn.IFNA(VLOOKUP("1648362-5X",$A:$Y,COLUMN(F:F),FALSE),0)</f>
        <v>1104</v>
      </c>
      <c r="G167" s="8">
        <f>_xlfn.IFNA(VLOOKUP("0214081-6X",$A:$Y,COLUMN(G:G),FALSE),0)+_xlfn.IFNA(VLOOKUP("1648362-5X",$A:$Y,COLUMN(G:G),FALSE),0)</f>
        <v>0</v>
      </c>
      <c r="H167">
        <f t="shared" si="1"/>
        <v>1.0408514492753622</v>
      </c>
      <c r="I167" s="8">
        <f t="shared" ref="I167:R167" si="3">_xlfn.IFNA(VLOOKUP("0214081-6X",$A:$Y,COLUMN(I:I),FALSE),0)+_xlfn.IFNA(VLOOKUP("1648362-5X",$A:$Y,COLUMN(I:I),FALSE),0)</f>
        <v>1149.0999999999999</v>
      </c>
      <c r="J167" s="8">
        <f t="shared" si="3"/>
        <v>-19997</v>
      </c>
      <c r="K167" s="8">
        <f t="shared" si="3"/>
        <v>9374438</v>
      </c>
      <c r="L167" s="8">
        <f t="shared" si="3"/>
        <v>100000</v>
      </c>
      <c r="M167" s="9">
        <f t="shared" si="3"/>
        <v>9474438</v>
      </c>
      <c r="N167" s="8">
        <f t="shared" si="3"/>
        <v>357</v>
      </c>
      <c r="O167" s="8">
        <f t="shared" si="3"/>
        <v>21278.5</v>
      </c>
      <c r="P167" s="8">
        <f t="shared" si="3"/>
        <v>511032</v>
      </c>
      <c r="Q167">
        <f t="shared" si="3"/>
        <v>9985470</v>
      </c>
      <c r="R167">
        <f t="shared" si="3"/>
        <v>402818</v>
      </c>
    </row>
    <row r="168" spans="1:18" x14ac:dyDescent="0.25">
      <c r="A168" s="157" t="s">
        <v>585</v>
      </c>
      <c r="B168" s="45" t="s">
        <v>586</v>
      </c>
      <c r="C168" s="8"/>
      <c r="D168" s="8">
        <f>_xlfn.IFNA(VLOOKUP("0204843-8X",$A:$Y,COLUMN(D:D),FALSE),0)</f>
        <v>79</v>
      </c>
      <c r="E168" s="8">
        <f>_xlfn.IFNA(VLOOKUP("0204843-8X",$A:$Y,COLUMN(E:E),FALSE),0)</f>
        <v>5</v>
      </c>
      <c r="F168" s="8">
        <f>_xlfn.IFNA(VLOOKUP("0204843-8X",$A:$Y,COLUMN(F:F),FALSE),0)</f>
        <v>84</v>
      </c>
      <c r="G168" s="8">
        <f>_xlfn.IFNA(VLOOKUP("0204843-8X",$A:$Y,COLUMN(G:G),FALSE),0)</f>
        <v>0</v>
      </c>
      <c r="H168">
        <f t="shared" si="1"/>
        <v>1.5904761904761904</v>
      </c>
      <c r="I168" s="8">
        <f t="shared" ref="I168:R168" si="4">_xlfn.IFNA(VLOOKUP("0204843-8X",$A:$Y,COLUMN(I:I),FALSE),0)</f>
        <v>133.6</v>
      </c>
      <c r="J168" s="8">
        <f t="shared" si="4"/>
        <v>0</v>
      </c>
      <c r="K168" s="8">
        <f t="shared" si="4"/>
        <v>1092243</v>
      </c>
      <c r="L168" s="8">
        <f t="shared" si="4"/>
        <v>0</v>
      </c>
      <c r="M168" s="9">
        <f t="shared" si="4"/>
        <v>1092243</v>
      </c>
      <c r="N168" s="8">
        <f t="shared" si="4"/>
        <v>54</v>
      </c>
      <c r="O168" s="8">
        <f t="shared" si="4"/>
        <v>5151.6000000000004</v>
      </c>
      <c r="P168" s="8">
        <f t="shared" si="4"/>
        <v>123723</v>
      </c>
      <c r="Q168">
        <f t="shared" si="4"/>
        <v>1215966</v>
      </c>
      <c r="R168">
        <f t="shared" si="4"/>
        <v>61113</v>
      </c>
    </row>
    <row r="169" spans="1:18" x14ac:dyDescent="0.25">
      <c r="A169"/>
      <c r="B169"/>
      <c r="C169"/>
      <c r="D169"/>
      <c r="E169"/>
      <c r="F169"/>
      <c r="G169" s="10"/>
      <c r="H169" s="10"/>
      <c r="I169"/>
      <c r="J169"/>
      <c r="K169"/>
      <c r="L169"/>
      <c r="M169"/>
      <c r="N169"/>
      <c r="O169"/>
      <c r="P169"/>
      <c r="Q169"/>
      <c r="R16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7"/>
  <sheetViews>
    <sheetView zoomScale="90" zoomScaleNormal="90" workbookViewId="0"/>
  </sheetViews>
  <sheetFormatPr defaultRowHeight="14.25" x14ac:dyDescent="0.2"/>
  <cols>
    <col min="1" max="1" width="11.140625" style="34" customWidth="1"/>
    <col min="2" max="2" width="53.42578125" style="34" customWidth="1"/>
    <col min="3" max="3" width="26.7109375" style="34" customWidth="1"/>
    <col min="4" max="4" width="27.28515625" style="34" customWidth="1"/>
    <col min="5" max="5" width="23.28515625" style="34" customWidth="1"/>
    <col min="6" max="6" width="27.85546875" style="34" customWidth="1"/>
    <col min="7" max="7" width="14.5703125" style="34" customWidth="1"/>
    <col min="8" max="8" width="15.5703125" style="34" customWidth="1"/>
    <col min="9" max="9" width="14.5703125" style="34" customWidth="1"/>
    <col min="10" max="10" width="17.5703125" style="34" customWidth="1"/>
    <col min="11" max="16384" width="9.140625" style="34"/>
  </cols>
  <sheetData>
    <row r="1" spans="1:14" ht="15" x14ac:dyDescent="0.25">
      <c r="A1" s="96" t="s">
        <v>698</v>
      </c>
      <c r="B1"/>
      <c r="C1"/>
      <c r="D1"/>
      <c r="E1"/>
      <c r="F1"/>
      <c r="G1"/>
      <c r="H1"/>
      <c r="I1"/>
      <c r="J1"/>
      <c r="K1"/>
      <c r="L1"/>
      <c r="M1"/>
      <c r="N1"/>
    </row>
    <row r="2" spans="1:14" ht="15" x14ac:dyDescent="0.25">
      <c r="A2" s="138"/>
      <c r="B2"/>
      <c r="C2"/>
      <c r="D2"/>
      <c r="E2"/>
      <c r="F2"/>
      <c r="G2"/>
      <c r="H2"/>
      <c r="I2"/>
      <c r="J2"/>
      <c r="K2" s="10"/>
      <c r="L2"/>
      <c r="M2"/>
      <c r="N2"/>
    </row>
    <row r="3" spans="1:14" ht="43.5" customHeight="1" x14ac:dyDescent="0.25">
      <c r="A3" s="110" t="s">
        <v>409</v>
      </c>
      <c r="B3" s="111" t="s">
        <v>0</v>
      </c>
      <c r="C3" s="111" t="s">
        <v>448</v>
      </c>
      <c r="D3" s="111" t="s">
        <v>441</v>
      </c>
      <c r="E3" s="111" t="s">
        <v>449</v>
      </c>
      <c r="F3" s="111" t="s">
        <v>450</v>
      </c>
      <c r="G3" s="111" t="s">
        <v>451</v>
      </c>
      <c r="H3" s="111" t="s">
        <v>418</v>
      </c>
      <c r="I3" s="111" t="s">
        <v>473</v>
      </c>
      <c r="J3" s="111" t="s">
        <v>472</v>
      </c>
      <c r="K3" s="10"/>
      <c r="L3"/>
      <c r="M3"/>
      <c r="N3"/>
    </row>
    <row r="4" spans="1:14" ht="15" x14ac:dyDescent="0.25">
      <c r="A4" t="s">
        <v>407</v>
      </c>
      <c r="B4" t="s">
        <v>179</v>
      </c>
      <c r="C4">
        <v>1</v>
      </c>
      <c r="D4" t="s">
        <v>236</v>
      </c>
      <c r="E4">
        <v>99</v>
      </c>
      <c r="F4" t="s">
        <v>452</v>
      </c>
      <c r="G4">
        <v>1</v>
      </c>
      <c r="H4" t="s">
        <v>412</v>
      </c>
      <c r="I4">
        <v>0</v>
      </c>
      <c r="J4" t="s">
        <v>474</v>
      </c>
      <c r="K4" s="10"/>
      <c r="L4"/>
      <c r="M4"/>
      <c r="N4"/>
    </row>
    <row r="5" spans="1:14" ht="15" x14ac:dyDescent="0.25">
      <c r="A5" t="s">
        <v>406</v>
      </c>
      <c r="B5" t="s">
        <v>23</v>
      </c>
      <c r="C5">
        <v>6</v>
      </c>
      <c r="D5" t="s">
        <v>247</v>
      </c>
      <c r="E5">
        <v>6</v>
      </c>
      <c r="F5" t="s">
        <v>247</v>
      </c>
      <c r="G5">
        <v>1</v>
      </c>
      <c r="H5" t="s">
        <v>412</v>
      </c>
      <c r="I5" s="141">
        <v>0</v>
      </c>
      <c r="J5" s="141" t="s">
        <v>474</v>
      </c>
      <c r="K5" s="10"/>
      <c r="L5"/>
      <c r="M5"/>
      <c r="N5"/>
    </row>
    <row r="6" spans="1:14" ht="15" x14ac:dyDescent="0.25">
      <c r="A6" t="s">
        <v>403</v>
      </c>
      <c r="B6" t="s">
        <v>189</v>
      </c>
      <c r="C6">
        <v>1</v>
      </c>
      <c r="D6" t="s">
        <v>236</v>
      </c>
      <c r="E6">
        <v>99</v>
      </c>
      <c r="F6" t="s">
        <v>452</v>
      </c>
      <c r="G6">
        <v>1</v>
      </c>
      <c r="H6" t="s">
        <v>412</v>
      </c>
      <c r="I6" s="141">
        <v>0</v>
      </c>
      <c r="J6" s="141" t="s">
        <v>474</v>
      </c>
      <c r="K6" s="10"/>
      <c r="L6"/>
      <c r="M6"/>
      <c r="N6"/>
    </row>
    <row r="7" spans="1:14" ht="15" x14ac:dyDescent="0.25">
      <c r="A7" t="s">
        <v>405</v>
      </c>
      <c r="B7" t="s">
        <v>24</v>
      </c>
      <c r="C7">
        <v>6</v>
      </c>
      <c r="D7" t="s">
        <v>247</v>
      </c>
      <c r="E7">
        <v>6</v>
      </c>
      <c r="F7" t="s">
        <v>247</v>
      </c>
      <c r="G7">
        <v>1</v>
      </c>
      <c r="H7" t="s">
        <v>412</v>
      </c>
      <c r="I7" s="141">
        <v>0</v>
      </c>
      <c r="J7" s="141" t="s">
        <v>474</v>
      </c>
      <c r="K7" s="10"/>
      <c r="L7"/>
      <c r="M7"/>
      <c r="N7"/>
    </row>
    <row r="8" spans="1:14" ht="15" x14ac:dyDescent="0.25">
      <c r="A8" t="s">
        <v>583</v>
      </c>
      <c r="B8" t="s">
        <v>584</v>
      </c>
      <c r="C8">
        <v>1</v>
      </c>
      <c r="D8" t="s">
        <v>236</v>
      </c>
      <c r="E8">
        <v>1</v>
      </c>
      <c r="F8" t="s">
        <v>236</v>
      </c>
      <c r="G8">
        <v>1</v>
      </c>
      <c r="H8" t="s">
        <v>412</v>
      </c>
      <c r="I8" s="141">
        <v>0</v>
      </c>
      <c r="J8" s="141" t="s">
        <v>474</v>
      </c>
      <c r="K8" s="10"/>
      <c r="L8"/>
      <c r="M8"/>
      <c r="N8"/>
    </row>
    <row r="9" spans="1:14" ht="15" x14ac:dyDescent="0.25">
      <c r="A9" t="s">
        <v>404</v>
      </c>
      <c r="B9" t="s">
        <v>27</v>
      </c>
      <c r="C9">
        <v>1</v>
      </c>
      <c r="D9" t="s">
        <v>236</v>
      </c>
      <c r="E9">
        <v>1</v>
      </c>
      <c r="F9" t="s">
        <v>236</v>
      </c>
      <c r="G9">
        <v>1</v>
      </c>
      <c r="H9" t="s">
        <v>412</v>
      </c>
      <c r="I9" s="141">
        <v>0</v>
      </c>
      <c r="J9" s="141" t="s">
        <v>474</v>
      </c>
      <c r="K9" s="10"/>
      <c r="L9"/>
      <c r="M9"/>
      <c r="N9"/>
    </row>
    <row r="10" spans="1:14" ht="15" x14ac:dyDescent="0.25">
      <c r="A10" t="s">
        <v>402</v>
      </c>
      <c r="B10" t="s">
        <v>207</v>
      </c>
      <c r="C10">
        <v>1</v>
      </c>
      <c r="D10" t="s">
        <v>236</v>
      </c>
      <c r="E10">
        <v>1</v>
      </c>
      <c r="F10" t="s">
        <v>236</v>
      </c>
      <c r="G10">
        <v>1</v>
      </c>
      <c r="H10" t="s">
        <v>412</v>
      </c>
      <c r="I10" s="141">
        <v>0</v>
      </c>
      <c r="J10" s="141" t="s">
        <v>474</v>
      </c>
      <c r="K10" s="10"/>
      <c r="L10"/>
      <c r="M10"/>
      <c r="N10"/>
    </row>
    <row r="11" spans="1:14" ht="15" x14ac:dyDescent="0.25">
      <c r="A11" t="s">
        <v>401</v>
      </c>
      <c r="B11" t="s">
        <v>29</v>
      </c>
      <c r="C11">
        <v>1</v>
      </c>
      <c r="D11" t="s">
        <v>236</v>
      </c>
      <c r="E11">
        <v>1</v>
      </c>
      <c r="F11" t="s">
        <v>236</v>
      </c>
      <c r="G11">
        <v>1</v>
      </c>
      <c r="H11" t="s">
        <v>412</v>
      </c>
      <c r="I11" s="141">
        <v>1</v>
      </c>
      <c r="J11" s="141" t="s">
        <v>475</v>
      </c>
      <c r="K11" s="10"/>
      <c r="L11"/>
      <c r="M11"/>
      <c r="N11"/>
    </row>
    <row r="12" spans="1:14" ht="15" x14ac:dyDescent="0.25">
      <c r="A12" t="s">
        <v>237</v>
      </c>
      <c r="B12" t="s">
        <v>208</v>
      </c>
      <c r="C12">
        <v>1</v>
      </c>
      <c r="D12" t="s">
        <v>236</v>
      </c>
      <c r="E12">
        <v>1</v>
      </c>
      <c r="F12" t="s">
        <v>236</v>
      </c>
      <c r="G12">
        <v>1</v>
      </c>
      <c r="H12" t="s">
        <v>412</v>
      </c>
      <c r="I12" s="141">
        <v>4</v>
      </c>
      <c r="J12" s="141" t="s">
        <v>476</v>
      </c>
      <c r="K12" s="10"/>
      <c r="L12"/>
      <c r="M12"/>
      <c r="N12"/>
    </row>
    <row r="13" spans="1:14" ht="15" x14ac:dyDescent="0.25">
      <c r="A13" t="s">
        <v>400</v>
      </c>
      <c r="B13" t="s">
        <v>180</v>
      </c>
      <c r="C13">
        <v>1</v>
      </c>
      <c r="D13" t="s">
        <v>236</v>
      </c>
      <c r="E13">
        <v>99</v>
      </c>
      <c r="F13" t="s">
        <v>452</v>
      </c>
      <c r="G13">
        <v>1</v>
      </c>
      <c r="H13" t="s">
        <v>412</v>
      </c>
      <c r="I13" s="141">
        <v>0</v>
      </c>
      <c r="J13" s="141" t="s">
        <v>474</v>
      </c>
      <c r="K13" s="10"/>
      <c r="L13"/>
      <c r="M13"/>
      <c r="N13"/>
    </row>
    <row r="14" spans="1:14" ht="15" x14ac:dyDescent="0.25">
      <c r="A14" t="s">
        <v>399</v>
      </c>
      <c r="B14" t="s">
        <v>30</v>
      </c>
      <c r="C14">
        <v>1</v>
      </c>
      <c r="D14" t="s">
        <v>236</v>
      </c>
      <c r="E14">
        <v>1</v>
      </c>
      <c r="F14" t="s">
        <v>236</v>
      </c>
      <c r="G14">
        <v>1</v>
      </c>
      <c r="H14" t="s">
        <v>412</v>
      </c>
      <c r="I14" s="141">
        <v>0</v>
      </c>
      <c r="J14" s="141" t="s">
        <v>474</v>
      </c>
      <c r="K14" s="10"/>
      <c r="L14"/>
      <c r="M14"/>
      <c r="N14"/>
    </row>
    <row r="15" spans="1:14" ht="15" x14ac:dyDescent="0.25">
      <c r="A15" t="s">
        <v>398</v>
      </c>
      <c r="B15" t="s">
        <v>31</v>
      </c>
      <c r="C15">
        <v>1</v>
      </c>
      <c r="D15" t="s">
        <v>236</v>
      </c>
      <c r="E15">
        <v>1</v>
      </c>
      <c r="F15" t="s">
        <v>236</v>
      </c>
      <c r="G15">
        <v>4</v>
      </c>
      <c r="H15" t="s">
        <v>411</v>
      </c>
      <c r="I15" s="141">
        <v>0</v>
      </c>
      <c r="J15" s="141" t="s">
        <v>474</v>
      </c>
      <c r="K15" s="10"/>
      <c r="L15"/>
      <c r="M15"/>
      <c r="N15"/>
    </row>
    <row r="16" spans="1:14" ht="15" x14ac:dyDescent="0.25">
      <c r="A16" t="s">
        <v>397</v>
      </c>
      <c r="B16" t="s">
        <v>32</v>
      </c>
      <c r="C16">
        <v>9</v>
      </c>
      <c r="D16" t="s">
        <v>396</v>
      </c>
      <c r="E16">
        <v>9</v>
      </c>
      <c r="F16" t="s">
        <v>396</v>
      </c>
      <c r="G16">
        <v>4</v>
      </c>
      <c r="H16" t="s">
        <v>411</v>
      </c>
      <c r="I16" s="141">
        <v>0</v>
      </c>
      <c r="J16" s="141" t="s">
        <v>474</v>
      </c>
      <c r="K16" s="10"/>
      <c r="L16"/>
      <c r="M16"/>
      <c r="N16"/>
    </row>
    <row r="17" spans="1:14" ht="15" x14ac:dyDescent="0.25">
      <c r="A17" t="s">
        <v>395</v>
      </c>
      <c r="B17" t="s">
        <v>33</v>
      </c>
      <c r="C17">
        <v>10</v>
      </c>
      <c r="D17" t="s">
        <v>270</v>
      </c>
      <c r="E17">
        <v>10</v>
      </c>
      <c r="F17" t="s">
        <v>270</v>
      </c>
      <c r="G17">
        <v>1</v>
      </c>
      <c r="H17" t="s">
        <v>412</v>
      </c>
      <c r="I17" s="141">
        <v>0</v>
      </c>
      <c r="J17" s="141" t="s">
        <v>474</v>
      </c>
      <c r="K17" s="10"/>
      <c r="L17"/>
      <c r="M17"/>
      <c r="N17"/>
    </row>
    <row r="18" spans="1:14" ht="15" x14ac:dyDescent="0.25">
      <c r="A18" t="s">
        <v>394</v>
      </c>
      <c r="B18" t="s">
        <v>34</v>
      </c>
      <c r="C18">
        <v>4</v>
      </c>
      <c r="D18" t="s">
        <v>285</v>
      </c>
      <c r="E18">
        <v>4</v>
      </c>
      <c r="F18" t="s">
        <v>285</v>
      </c>
      <c r="G18">
        <v>1</v>
      </c>
      <c r="H18" t="s">
        <v>412</v>
      </c>
      <c r="I18" s="141">
        <v>0</v>
      </c>
      <c r="J18" s="141" t="s">
        <v>474</v>
      </c>
      <c r="K18" s="10"/>
      <c r="L18"/>
      <c r="M18"/>
      <c r="N18"/>
    </row>
    <row r="19" spans="1:14" ht="15" x14ac:dyDescent="0.25">
      <c r="A19" t="s">
        <v>393</v>
      </c>
      <c r="B19" t="s">
        <v>181</v>
      </c>
      <c r="C19">
        <v>1</v>
      </c>
      <c r="D19" t="s">
        <v>236</v>
      </c>
      <c r="E19">
        <v>99</v>
      </c>
      <c r="F19" t="s">
        <v>452</v>
      </c>
      <c r="G19">
        <v>1</v>
      </c>
      <c r="H19" t="s">
        <v>412</v>
      </c>
      <c r="I19" s="141">
        <v>0</v>
      </c>
      <c r="J19" s="141" t="s">
        <v>474</v>
      </c>
      <c r="K19" s="10"/>
      <c r="L19"/>
      <c r="M19"/>
      <c r="N19"/>
    </row>
    <row r="20" spans="1:14" ht="15" x14ac:dyDescent="0.25">
      <c r="A20" t="s">
        <v>392</v>
      </c>
      <c r="B20" t="s">
        <v>35</v>
      </c>
      <c r="C20">
        <v>1</v>
      </c>
      <c r="D20" t="s">
        <v>236</v>
      </c>
      <c r="E20">
        <v>1</v>
      </c>
      <c r="F20" t="s">
        <v>236</v>
      </c>
      <c r="G20">
        <v>1</v>
      </c>
      <c r="H20" t="s">
        <v>412</v>
      </c>
      <c r="I20" s="141">
        <v>1</v>
      </c>
      <c r="J20" s="141" t="s">
        <v>475</v>
      </c>
      <c r="K20" s="10"/>
      <c r="L20"/>
      <c r="M20"/>
      <c r="N20"/>
    </row>
    <row r="21" spans="1:14" ht="15" x14ac:dyDescent="0.25">
      <c r="A21" t="s">
        <v>391</v>
      </c>
      <c r="B21" t="s">
        <v>209</v>
      </c>
      <c r="C21">
        <v>15</v>
      </c>
      <c r="D21" t="s">
        <v>242</v>
      </c>
      <c r="E21">
        <v>15</v>
      </c>
      <c r="F21" t="s">
        <v>242</v>
      </c>
      <c r="G21">
        <v>1</v>
      </c>
      <c r="H21" t="s">
        <v>412</v>
      </c>
      <c r="I21" s="141">
        <v>1</v>
      </c>
      <c r="J21" s="141" t="s">
        <v>475</v>
      </c>
      <c r="K21" s="10"/>
      <c r="L21"/>
      <c r="M21"/>
      <c r="N21"/>
    </row>
    <row r="22" spans="1:14" ht="15" x14ac:dyDescent="0.25">
      <c r="A22" t="s">
        <v>390</v>
      </c>
      <c r="B22" t="s">
        <v>153</v>
      </c>
      <c r="C22">
        <v>6</v>
      </c>
      <c r="D22" t="s">
        <v>247</v>
      </c>
      <c r="E22">
        <v>6</v>
      </c>
      <c r="F22" t="s">
        <v>247</v>
      </c>
      <c r="G22">
        <v>1</v>
      </c>
      <c r="H22" t="s">
        <v>412</v>
      </c>
      <c r="I22" s="141">
        <v>0</v>
      </c>
      <c r="J22" s="141" t="s">
        <v>474</v>
      </c>
      <c r="K22" s="10"/>
      <c r="L22"/>
      <c r="M22"/>
      <c r="N22"/>
    </row>
    <row r="23" spans="1:14" ht="15" x14ac:dyDescent="0.25">
      <c r="A23" t="s">
        <v>389</v>
      </c>
      <c r="B23" t="s">
        <v>36</v>
      </c>
      <c r="C23">
        <v>17</v>
      </c>
      <c r="D23" t="s">
        <v>244</v>
      </c>
      <c r="E23">
        <v>17</v>
      </c>
      <c r="F23" t="s">
        <v>244</v>
      </c>
      <c r="G23">
        <v>1</v>
      </c>
      <c r="H23" t="s">
        <v>412</v>
      </c>
      <c r="I23" s="141">
        <v>0</v>
      </c>
      <c r="J23" s="141" t="s">
        <v>474</v>
      </c>
      <c r="K23" s="10"/>
      <c r="L23"/>
      <c r="M23"/>
      <c r="N23"/>
    </row>
    <row r="24" spans="1:14" ht="15" x14ac:dyDescent="0.25">
      <c r="A24" t="s">
        <v>388</v>
      </c>
      <c r="B24" t="s">
        <v>37</v>
      </c>
      <c r="C24">
        <v>8</v>
      </c>
      <c r="D24" t="s">
        <v>254</v>
      </c>
      <c r="E24">
        <v>8</v>
      </c>
      <c r="F24" t="s">
        <v>254</v>
      </c>
      <c r="G24">
        <v>1</v>
      </c>
      <c r="H24" t="s">
        <v>412</v>
      </c>
      <c r="I24" s="141">
        <v>0</v>
      </c>
      <c r="J24" s="141" t="s">
        <v>474</v>
      </c>
      <c r="K24" s="10"/>
      <c r="L24"/>
      <c r="M24"/>
      <c r="N24"/>
    </row>
    <row r="25" spans="1:14" ht="15" x14ac:dyDescent="0.25">
      <c r="A25" t="s">
        <v>387</v>
      </c>
      <c r="B25" t="s">
        <v>210</v>
      </c>
      <c r="C25">
        <v>1</v>
      </c>
      <c r="D25" t="s">
        <v>236</v>
      </c>
      <c r="E25">
        <v>1</v>
      </c>
      <c r="F25" t="s">
        <v>236</v>
      </c>
      <c r="G25">
        <v>1</v>
      </c>
      <c r="H25" t="s">
        <v>412</v>
      </c>
      <c r="I25" s="141">
        <v>0</v>
      </c>
      <c r="J25" s="141" t="s">
        <v>474</v>
      </c>
      <c r="K25" s="10"/>
      <c r="L25"/>
      <c r="M25"/>
      <c r="N25"/>
    </row>
    <row r="26" spans="1:14" ht="15" x14ac:dyDescent="0.25">
      <c r="A26" t="s">
        <v>386</v>
      </c>
      <c r="B26" t="s">
        <v>38</v>
      </c>
      <c r="C26">
        <v>1</v>
      </c>
      <c r="D26" t="s">
        <v>236</v>
      </c>
      <c r="E26">
        <v>1</v>
      </c>
      <c r="F26" t="s">
        <v>236</v>
      </c>
      <c r="G26">
        <v>3</v>
      </c>
      <c r="H26" t="s">
        <v>413</v>
      </c>
      <c r="I26" s="141">
        <v>4</v>
      </c>
      <c r="J26" s="141" t="s">
        <v>476</v>
      </c>
      <c r="K26" s="10"/>
      <c r="L26"/>
      <c r="M26"/>
      <c r="N26"/>
    </row>
    <row r="27" spans="1:14" ht="15" x14ac:dyDescent="0.25">
      <c r="A27" t="s">
        <v>382</v>
      </c>
      <c r="B27" t="s">
        <v>39</v>
      </c>
      <c r="C27">
        <v>1</v>
      </c>
      <c r="D27" t="s">
        <v>236</v>
      </c>
      <c r="E27">
        <v>1</v>
      </c>
      <c r="F27" t="s">
        <v>236</v>
      </c>
      <c r="G27">
        <v>1</v>
      </c>
      <c r="H27" t="s">
        <v>412</v>
      </c>
      <c r="I27" s="141">
        <v>0</v>
      </c>
      <c r="J27" s="141" t="s">
        <v>474</v>
      </c>
      <c r="K27" s="10"/>
      <c r="L27"/>
      <c r="M27"/>
      <c r="N27"/>
    </row>
    <row r="28" spans="1:14" ht="15" x14ac:dyDescent="0.25">
      <c r="A28" t="s">
        <v>385</v>
      </c>
      <c r="B28" t="s">
        <v>40</v>
      </c>
      <c r="C28">
        <v>1</v>
      </c>
      <c r="D28" t="s">
        <v>236</v>
      </c>
      <c r="E28">
        <v>1</v>
      </c>
      <c r="F28" t="s">
        <v>236</v>
      </c>
      <c r="G28">
        <v>1</v>
      </c>
      <c r="H28" t="s">
        <v>412</v>
      </c>
      <c r="I28" s="141">
        <v>0</v>
      </c>
      <c r="J28" s="141" t="s">
        <v>474</v>
      </c>
      <c r="K28" s="10"/>
      <c r="L28"/>
      <c r="M28"/>
      <c r="N28"/>
    </row>
    <row r="29" spans="1:14" ht="15" x14ac:dyDescent="0.25">
      <c r="A29" t="s">
        <v>384</v>
      </c>
      <c r="B29" t="s">
        <v>41</v>
      </c>
      <c r="C29">
        <v>1</v>
      </c>
      <c r="D29" t="s">
        <v>236</v>
      </c>
      <c r="E29">
        <v>17</v>
      </c>
      <c r="F29" t="s">
        <v>244</v>
      </c>
      <c r="G29">
        <v>1</v>
      </c>
      <c r="H29" t="s">
        <v>412</v>
      </c>
      <c r="I29" s="141">
        <v>0</v>
      </c>
      <c r="J29" s="141" t="s">
        <v>474</v>
      </c>
      <c r="K29" s="10"/>
      <c r="L29"/>
      <c r="M29"/>
      <c r="N29"/>
    </row>
    <row r="30" spans="1:14" ht="15" x14ac:dyDescent="0.25">
      <c r="A30" t="s">
        <v>383</v>
      </c>
      <c r="B30" t="s">
        <v>42</v>
      </c>
      <c r="C30">
        <v>5</v>
      </c>
      <c r="D30" t="s">
        <v>332</v>
      </c>
      <c r="E30">
        <v>5</v>
      </c>
      <c r="F30" t="s">
        <v>332</v>
      </c>
      <c r="G30">
        <v>1</v>
      </c>
      <c r="H30" t="s">
        <v>412</v>
      </c>
      <c r="I30" s="141">
        <v>0</v>
      </c>
      <c r="J30" s="141" t="s">
        <v>474</v>
      </c>
      <c r="K30" s="10"/>
      <c r="L30"/>
      <c r="M30"/>
      <c r="N30"/>
    </row>
    <row r="31" spans="1:14" ht="15" x14ac:dyDescent="0.25">
      <c r="A31" t="s">
        <v>380</v>
      </c>
      <c r="B31" t="s">
        <v>43</v>
      </c>
      <c r="C31">
        <v>1</v>
      </c>
      <c r="D31" t="s">
        <v>236</v>
      </c>
      <c r="E31">
        <v>1</v>
      </c>
      <c r="F31" t="s">
        <v>236</v>
      </c>
      <c r="G31">
        <v>1</v>
      </c>
      <c r="H31" t="s">
        <v>412</v>
      </c>
      <c r="I31" s="141">
        <v>0</v>
      </c>
      <c r="J31" s="141" t="s">
        <v>474</v>
      </c>
      <c r="K31" s="10"/>
      <c r="L31"/>
      <c r="M31"/>
      <c r="N31"/>
    </row>
    <row r="32" spans="1:14" ht="15" x14ac:dyDescent="0.25">
      <c r="A32" t="s">
        <v>379</v>
      </c>
      <c r="B32" t="s">
        <v>44</v>
      </c>
      <c r="C32">
        <v>5</v>
      </c>
      <c r="D32" t="s">
        <v>332</v>
      </c>
      <c r="E32">
        <v>5</v>
      </c>
      <c r="F32" t="s">
        <v>332</v>
      </c>
      <c r="G32">
        <v>1</v>
      </c>
      <c r="H32" t="s">
        <v>412</v>
      </c>
      <c r="I32" s="141">
        <v>0</v>
      </c>
      <c r="J32" s="141" t="s">
        <v>474</v>
      </c>
      <c r="K32" s="10"/>
      <c r="L32"/>
      <c r="M32"/>
      <c r="N32"/>
    </row>
    <row r="33" spans="1:14" ht="15" x14ac:dyDescent="0.25">
      <c r="A33" t="s">
        <v>378</v>
      </c>
      <c r="B33" t="s">
        <v>45</v>
      </c>
      <c r="C33">
        <v>1</v>
      </c>
      <c r="D33" t="s">
        <v>236</v>
      </c>
      <c r="E33">
        <v>1</v>
      </c>
      <c r="F33" t="s">
        <v>236</v>
      </c>
      <c r="G33">
        <v>1</v>
      </c>
      <c r="H33" t="s">
        <v>412</v>
      </c>
      <c r="I33" s="141">
        <v>0</v>
      </c>
      <c r="J33" s="141" t="s">
        <v>474</v>
      </c>
      <c r="K33" s="10"/>
      <c r="L33"/>
      <c r="M33"/>
      <c r="N33"/>
    </row>
    <row r="34" spans="1:14" ht="15" x14ac:dyDescent="0.25">
      <c r="A34" t="s">
        <v>377</v>
      </c>
      <c r="B34" t="s">
        <v>46</v>
      </c>
      <c r="C34">
        <v>10</v>
      </c>
      <c r="D34" t="s">
        <v>270</v>
      </c>
      <c r="E34">
        <v>10</v>
      </c>
      <c r="F34" t="s">
        <v>270</v>
      </c>
      <c r="G34">
        <v>1</v>
      </c>
      <c r="H34" t="s">
        <v>412</v>
      </c>
      <c r="I34" s="141">
        <v>0</v>
      </c>
      <c r="J34" s="141" t="s">
        <v>474</v>
      </c>
      <c r="K34" s="10"/>
      <c r="L34"/>
      <c r="M34"/>
      <c r="N34"/>
    </row>
    <row r="35" spans="1:14" ht="15" x14ac:dyDescent="0.25">
      <c r="A35" t="s">
        <v>376</v>
      </c>
      <c r="B35" t="s">
        <v>47</v>
      </c>
      <c r="C35">
        <v>10</v>
      </c>
      <c r="D35" t="s">
        <v>270</v>
      </c>
      <c r="E35">
        <v>10</v>
      </c>
      <c r="F35" t="s">
        <v>270</v>
      </c>
      <c r="G35">
        <v>4</v>
      </c>
      <c r="H35" t="s">
        <v>411</v>
      </c>
      <c r="I35" s="141">
        <v>0</v>
      </c>
      <c r="J35" s="141" t="s">
        <v>474</v>
      </c>
      <c r="K35" s="10"/>
      <c r="L35"/>
      <c r="M35"/>
      <c r="N35"/>
    </row>
    <row r="36" spans="1:14" ht="15" x14ac:dyDescent="0.25">
      <c r="A36" t="s">
        <v>375</v>
      </c>
      <c r="B36" t="s">
        <v>48</v>
      </c>
      <c r="C36">
        <v>12</v>
      </c>
      <c r="D36" t="s">
        <v>315</v>
      </c>
      <c r="E36">
        <v>12</v>
      </c>
      <c r="F36" t="s">
        <v>315</v>
      </c>
      <c r="G36">
        <v>1</v>
      </c>
      <c r="H36" t="s">
        <v>412</v>
      </c>
      <c r="I36" s="141">
        <v>0</v>
      </c>
      <c r="J36" s="141" t="s">
        <v>474</v>
      </c>
      <c r="K36" s="10"/>
      <c r="L36"/>
      <c r="M36"/>
      <c r="N36"/>
    </row>
    <row r="37" spans="1:14" ht="15" x14ac:dyDescent="0.25">
      <c r="A37" t="s">
        <v>372</v>
      </c>
      <c r="B37" t="s">
        <v>49</v>
      </c>
      <c r="C37">
        <v>12</v>
      </c>
      <c r="D37" t="s">
        <v>315</v>
      </c>
      <c r="E37">
        <v>12</v>
      </c>
      <c r="F37" t="s">
        <v>315</v>
      </c>
      <c r="G37">
        <v>3</v>
      </c>
      <c r="H37" t="s">
        <v>413</v>
      </c>
      <c r="I37" s="141">
        <v>0</v>
      </c>
      <c r="J37" s="141" t="s">
        <v>474</v>
      </c>
      <c r="K37" s="10"/>
      <c r="L37"/>
      <c r="M37"/>
      <c r="N37"/>
    </row>
    <row r="38" spans="1:14" ht="15" x14ac:dyDescent="0.25">
      <c r="A38" t="s">
        <v>371</v>
      </c>
      <c r="B38" t="s">
        <v>50</v>
      </c>
      <c r="C38">
        <v>17</v>
      </c>
      <c r="D38" t="s">
        <v>244</v>
      </c>
      <c r="E38">
        <v>17</v>
      </c>
      <c r="F38" t="s">
        <v>244</v>
      </c>
      <c r="G38">
        <v>4</v>
      </c>
      <c r="H38" t="s">
        <v>411</v>
      </c>
      <c r="I38" s="141">
        <v>0</v>
      </c>
      <c r="J38" s="141" t="s">
        <v>474</v>
      </c>
      <c r="K38" s="10"/>
      <c r="L38"/>
      <c r="M38"/>
      <c r="N38"/>
    </row>
    <row r="39" spans="1:14" ht="15" x14ac:dyDescent="0.25">
      <c r="A39" t="s">
        <v>370</v>
      </c>
      <c r="B39" t="s">
        <v>51</v>
      </c>
      <c r="C39">
        <v>1</v>
      </c>
      <c r="D39" t="s">
        <v>236</v>
      </c>
      <c r="E39">
        <v>1</v>
      </c>
      <c r="F39" t="s">
        <v>236</v>
      </c>
      <c r="G39">
        <v>1</v>
      </c>
      <c r="H39" t="s">
        <v>412</v>
      </c>
      <c r="I39" s="141">
        <v>0</v>
      </c>
      <c r="J39" s="141" t="s">
        <v>474</v>
      </c>
      <c r="K39" s="10"/>
      <c r="L39"/>
      <c r="M39"/>
      <c r="N39"/>
    </row>
    <row r="40" spans="1:14" ht="15" x14ac:dyDescent="0.25">
      <c r="A40" t="s">
        <v>369</v>
      </c>
      <c r="B40" t="s">
        <v>52</v>
      </c>
      <c r="C40">
        <v>13</v>
      </c>
      <c r="D40" t="s">
        <v>238</v>
      </c>
      <c r="E40">
        <v>13</v>
      </c>
      <c r="F40" t="s">
        <v>238</v>
      </c>
      <c r="G40">
        <v>4</v>
      </c>
      <c r="H40" t="s">
        <v>411</v>
      </c>
      <c r="I40" s="141">
        <v>0</v>
      </c>
      <c r="J40" s="141" t="s">
        <v>474</v>
      </c>
      <c r="K40" s="10"/>
      <c r="L40"/>
      <c r="M40"/>
      <c r="N40"/>
    </row>
    <row r="41" spans="1:14" ht="15" x14ac:dyDescent="0.25">
      <c r="A41" t="s">
        <v>374</v>
      </c>
      <c r="B41" t="s">
        <v>53</v>
      </c>
      <c r="C41">
        <v>13</v>
      </c>
      <c r="D41" t="s">
        <v>238</v>
      </c>
      <c r="E41">
        <v>13</v>
      </c>
      <c r="F41" t="s">
        <v>238</v>
      </c>
      <c r="G41">
        <v>1</v>
      </c>
      <c r="H41" t="s">
        <v>412</v>
      </c>
      <c r="I41" s="141">
        <v>0</v>
      </c>
      <c r="J41" s="141" t="s">
        <v>474</v>
      </c>
      <c r="K41" s="10"/>
      <c r="L41"/>
      <c r="M41"/>
      <c r="N41"/>
    </row>
    <row r="42" spans="1:14" ht="15" x14ac:dyDescent="0.25">
      <c r="A42" t="s">
        <v>373</v>
      </c>
      <c r="B42" t="s">
        <v>54</v>
      </c>
      <c r="C42">
        <v>13</v>
      </c>
      <c r="D42" t="s">
        <v>238</v>
      </c>
      <c r="E42">
        <v>13</v>
      </c>
      <c r="F42" t="s">
        <v>238</v>
      </c>
      <c r="G42">
        <v>1</v>
      </c>
      <c r="H42" t="s">
        <v>412</v>
      </c>
      <c r="I42" s="141">
        <v>0</v>
      </c>
      <c r="J42" s="141" t="s">
        <v>474</v>
      </c>
      <c r="K42" s="10"/>
      <c r="L42"/>
      <c r="M42"/>
      <c r="N42"/>
    </row>
    <row r="43" spans="1:14" ht="15" x14ac:dyDescent="0.25">
      <c r="A43" t="s">
        <v>368</v>
      </c>
      <c r="B43" t="s">
        <v>55</v>
      </c>
      <c r="C43">
        <v>14</v>
      </c>
      <c r="D43" t="s">
        <v>269</v>
      </c>
      <c r="E43">
        <v>14</v>
      </c>
      <c r="F43" t="s">
        <v>269</v>
      </c>
      <c r="G43">
        <v>4</v>
      </c>
      <c r="H43" t="s">
        <v>411</v>
      </c>
      <c r="I43" s="141">
        <v>0</v>
      </c>
      <c r="J43" s="141" t="s">
        <v>474</v>
      </c>
      <c r="K43" s="10"/>
      <c r="L43"/>
      <c r="M43"/>
      <c r="N43"/>
    </row>
    <row r="44" spans="1:14" ht="15" x14ac:dyDescent="0.25">
      <c r="A44" t="s">
        <v>453</v>
      </c>
      <c r="B44" t="s">
        <v>454</v>
      </c>
      <c r="C44">
        <v>18</v>
      </c>
      <c r="D44" t="s">
        <v>246</v>
      </c>
      <c r="E44">
        <v>99</v>
      </c>
      <c r="F44" t="s">
        <v>452</v>
      </c>
      <c r="G44">
        <v>1</v>
      </c>
      <c r="H44" s="97" t="s">
        <v>412</v>
      </c>
      <c r="I44" s="141">
        <v>0</v>
      </c>
      <c r="J44" s="141" t="s">
        <v>474</v>
      </c>
      <c r="K44" s="10"/>
      <c r="L44"/>
      <c r="M44"/>
      <c r="N44"/>
    </row>
    <row r="45" spans="1:14" ht="15" x14ac:dyDescent="0.25">
      <c r="A45" t="s">
        <v>367</v>
      </c>
      <c r="B45" t="s">
        <v>56</v>
      </c>
      <c r="C45">
        <v>18</v>
      </c>
      <c r="D45" t="s">
        <v>246</v>
      </c>
      <c r="E45">
        <v>18</v>
      </c>
      <c r="F45" t="s">
        <v>246</v>
      </c>
      <c r="G45">
        <v>3</v>
      </c>
      <c r="H45" t="s">
        <v>413</v>
      </c>
      <c r="I45" s="141">
        <v>0</v>
      </c>
      <c r="J45" s="141" t="s">
        <v>474</v>
      </c>
      <c r="K45" s="10"/>
      <c r="L45"/>
      <c r="M45"/>
      <c r="N45"/>
    </row>
    <row r="46" spans="1:14" ht="15" x14ac:dyDescent="0.25">
      <c r="A46" t="s">
        <v>366</v>
      </c>
      <c r="B46" t="s">
        <v>211</v>
      </c>
      <c r="C46">
        <v>17</v>
      </c>
      <c r="D46" t="s">
        <v>244</v>
      </c>
      <c r="E46">
        <v>17</v>
      </c>
      <c r="F46" t="s">
        <v>244</v>
      </c>
      <c r="G46">
        <v>1</v>
      </c>
      <c r="H46" t="s">
        <v>412</v>
      </c>
      <c r="I46" s="141">
        <v>0</v>
      </c>
      <c r="J46" s="141" t="s">
        <v>474</v>
      </c>
      <c r="K46" s="10"/>
      <c r="L46"/>
      <c r="M46"/>
      <c r="N46"/>
    </row>
    <row r="47" spans="1:14" ht="15" x14ac:dyDescent="0.25">
      <c r="A47" t="s">
        <v>365</v>
      </c>
      <c r="B47" t="s">
        <v>58</v>
      </c>
      <c r="C47">
        <v>1</v>
      </c>
      <c r="D47" t="s">
        <v>236</v>
      </c>
      <c r="E47">
        <v>1</v>
      </c>
      <c r="F47" t="s">
        <v>236</v>
      </c>
      <c r="G47">
        <v>1</v>
      </c>
      <c r="H47" t="s">
        <v>412</v>
      </c>
      <c r="I47" s="141">
        <v>0</v>
      </c>
      <c r="J47" s="141" t="s">
        <v>474</v>
      </c>
      <c r="K47" s="10"/>
      <c r="L47"/>
      <c r="M47"/>
      <c r="N47"/>
    </row>
    <row r="48" spans="1:14" ht="15" x14ac:dyDescent="0.25">
      <c r="A48" t="s">
        <v>364</v>
      </c>
      <c r="B48" t="s">
        <v>59</v>
      </c>
      <c r="C48">
        <v>1</v>
      </c>
      <c r="D48" t="s">
        <v>236</v>
      </c>
      <c r="E48">
        <v>99</v>
      </c>
      <c r="F48" t="s">
        <v>452</v>
      </c>
      <c r="G48">
        <v>1</v>
      </c>
      <c r="H48" t="s">
        <v>412</v>
      </c>
      <c r="I48" s="141">
        <v>0</v>
      </c>
      <c r="J48" s="141" t="s">
        <v>474</v>
      </c>
      <c r="K48" s="10"/>
      <c r="L48"/>
      <c r="M48"/>
      <c r="N48"/>
    </row>
    <row r="49" spans="1:14" ht="15" x14ac:dyDescent="0.25">
      <c r="A49" t="s">
        <v>363</v>
      </c>
      <c r="B49" t="s">
        <v>60</v>
      </c>
      <c r="C49">
        <v>13</v>
      </c>
      <c r="D49" t="s">
        <v>238</v>
      </c>
      <c r="E49">
        <v>13</v>
      </c>
      <c r="F49" t="s">
        <v>238</v>
      </c>
      <c r="G49">
        <v>1</v>
      </c>
      <c r="H49" t="s">
        <v>412</v>
      </c>
      <c r="I49" s="141">
        <v>0</v>
      </c>
      <c r="J49" s="141" t="s">
        <v>474</v>
      </c>
      <c r="K49" s="10"/>
      <c r="L49"/>
      <c r="M49"/>
      <c r="N49"/>
    </row>
    <row r="50" spans="1:14" ht="15" x14ac:dyDescent="0.25">
      <c r="A50" t="s">
        <v>362</v>
      </c>
      <c r="B50" t="s">
        <v>61</v>
      </c>
      <c r="C50">
        <v>1</v>
      </c>
      <c r="D50" t="s">
        <v>236</v>
      </c>
      <c r="E50">
        <v>1</v>
      </c>
      <c r="F50" t="s">
        <v>236</v>
      </c>
      <c r="G50">
        <v>1</v>
      </c>
      <c r="H50" t="s">
        <v>412</v>
      </c>
      <c r="I50" s="141">
        <v>0</v>
      </c>
      <c r="J50" s="141" t="s">
        <v>474</v>
      </c>
      <c r="K50" s="10"/>
      <c r="L50"/>
      <c r="M50"/>
      <c r="N50"/>
    </row>
    <row r="51" spans="1:14" ht="15" x14ac:dyDescent="0.25">
      <c r="A51" t="s">
        <v>361</v>
      </c>
      <c r="B51" t="s">
        <v>62</v>
      </c>
      <c r="C51">
        <v>16</v>
      </c>
      <c r="D51" t="s">
        <v>343</v>
      </c>
      <c r="E51">
        <v>16</v>
      </c>
      <c r="F51" t="s">
        <v>343</v>
      </c>
      <c r="G51">
        <v>1</v>
      </c>
      <c r="H51" t="s">
        <v>412</v>
      </c>
      <c r="I51" s="141">
        <v>0</v>
      </c>
      <c r="J51" s="141" t="s">
        <v>474</v>
      </c>
      <c r="K51" s="10"/>
      <c r="L51"/>
      <c r="M51"/>
      <c r="N51"/>
    </row>
    <row r="52" spans="1:14" ht="15" x14ac:dyDescent="0.25">
      <c r="A52" t="s">
        <v>360</v>
      </c>
      <c r="B52" t="s">
        <v>63</v>
      </c>
      <c r="C52">
        <v>1</v>
      </c>
      <c r="D52" t="s">
        <v>236</v>
      </c>
      <c r="E52">
        <v>1</v>
      </c>
      <c r="F52" t="s">
        <v>236</v>
      </c>
      <c r="G52">
        <v>1</v>
      </c>
      <c r="H52" t="s">
        <v>412</v>
      </c>
      <c r="I52" s="141">
        <v>0</v>
      </c>
      <c r="J52" s="141" t="s">
        <v>474</v>
      </c>
      <c r="K52" s="10"/>
      <c r="L52"/>
      <c r="M52"/>
      <c r="N52"/>
    </row>
    <row r="53" spans="1:14" ht="15" x14ac:dyDescent="0.25">
      <c r="A53" t="s">
        <v>359</v>
      </c>
      <c r="B53" t="s">
        <v>64</v>
      </c>
      <c r="C53">
        <v>19</v>
      </c>
      <c r="D53" t="s">
        <v>294</v>
      </c>
      <c r="E53">
        <v>19</v>
      </c>
      <c r="F53" t="s">
        <v>294</v>
      </c>
      <c r="G53">
        <v>4</v>
      </c>
      <c r="H53" t="s">
        <v>411</v>
      </c>
      <c r="I53" s="141">
        <v>0</v>
      </c>
      <c r="J53" s="141" t="s">
        <v>474</v>
      </c>
      <c r="K53" s="10"/>
      <c r="L53"/>
      <c r="M53"/>
      <c r="N53"/>
    </row>
    <row r="54" spans="1:14" ht="15" x14ac:dyDescent="0.25">
      <c r="A54" t="s">
        <v>345</v>
      </c>
      <c r="B54" t="s">
        <v>65</v>
      </c>
      <c r="C54">
        <v>16</v>
      </c>
      <c r="D54" t="s">
        <v>343</v>
      </c>
      <c r="E54">
        <v>16</v>
      </c>
      <c r="F54" t="s">
        <v>343</v>
      </c>
      <c r="G54">
        <v>1</v>
      </c>
      <c r="H54" t="s">
        <v>412</v>
      </c>
      <c r="I54" s="141">
        <v>0</v>
      </c>
      <c r="J54" s="141" t="s">
        <v>474</v>
      </c>
      <c r="K54" s="10"/>
      <c r="L54"/>
      <c r="M54"/>
      <c r="N54"/>
    </row>
    <row r="55" spans="1:14" ht="15" x14ac:dyDescent="0.25">
      <c r="A55" t="s">
        <v>344</v>
      </c>
      <c r="B55" t="s">
        <v>66</v>
      </c>
      <c r="C55">
        <v>16</v>
      </c>
      <c r="D55" t="s">
        <v>343</v>
      </c>
      <c r="E55">
        <v>16</v>
      </c>
      <c r="F55" t="s">
        <v>343</v>
      </c>
      <c r="G55">
        <v>4</v>
      </c>
      <c r="H55" t="s">
        <v>411</v>
      </c>
      <c r="I55" s="141">
        <v>0</v>
      </c>
      <c r="J55" s="141" t="s">
        <v>474</v>
      </c>
      <c r="K55" s="10"/>
      <c r="L55"/>
      <c r="M55"/>
      <c r="N55"/>
    </row>
    <row r="56" spans="1:14" ht="15" x14ac:dyDescent="0.25">
      <c r="A56" t="s">
        <v>338</v>
      </c>
      <c r="B56" t="s">
        <v>67</v>
      </c>
      <c r="C56">
        <v>1</v>
      </c>
      <c r="D56" t="s">
        <v>236</v>
      </c>
      <c r="E56">
        <v>1</v>
      </c>
      <c r="F56" t="s">
        <v>236</v>
      </c>
      <c r="G56">
        <v>4</v>
      </c>
      <c r="H56" t="s">
        <v>411</v>
      </c>
      <c r="I56" s="141">
        <v>0</v>
      </c>
      <c r="J56" s="141" t="s">
        <v>474</v>
      </c>
      <c r="K56" s="10"/>
      <c r="L56"/>
      <c r="M56"/>
      <c r="N56"/>
    </row>
    <row r="57" spans="1:14" ht="15" x14ac:dyDescent="0.25">
      <c r="A57" t="s">
        <v>358</v>
      </c>
      <c r="B57" t="s">
        <v>68</v>
      </c>
      <c r="C57">
        <v>1</v>
      </c>
      <c r="D57" t="s">
        <v>236</v>
      </c>
      <c r="E57">
        <v>1</v>
      </c>
      <c r="F57" t="s">
        <v>236</v>
      </c>
      <c r="G57">
        <v>1</v>
      </c>
      <c r="H57" t="s">
        <v>412</v>
      </c>
      <c r="I57" s="141">
        <v>0</v>
      </c>
      <c r="J57" s="141" t="s">
        <v>474</v>
      </c>
      <c r="K57" s="10"/>
      <c r="L57"/>
      <c r="M57"/>
      <c r="N57"/>
    </row>
    <row r="58" spans="1:14" ht="15" x14ac:dyDescent="0.25">
      <c r="A58" t="s">
        <v>357</v>
      </c>
      <c r="B58" t="s">
        <v>69</v>
      </c>
      <c r="C58">
        <v>5</v>
      </c>
      <c r="D58" t="s">
        <v>332</v>
      </c>
      <c r="E58">
        <v>5</v>
      </c>
      <c r="F58" t="s">
        <v>332</v>
      </c>
      <c r="G58">
        <v>1</v>
      </c>
      <c r="H58" t="s">
        <v>412</v>
      </c>
      <c r="I58" s="141">
        <v>0</v>
      </c>
      <c r="J58" s="141" t="s">
        <v>474</v>
      </c>
      <c r="K58" s="10"/>
      <c r="L58"/>
      <c r="M58"/>
      <c r="N58"/>
    </row>
    <row r="59" spans="1:14" ht="15" x14ac:dyDescent="0.25">
      <c r="A59" t="s">
        <v>356</v>
      </c>
      <c r="B59" t="s">
        <v>70</v>
      </c>
      <c r="C59">
        <v>1</v>
      </c>
      <c r="D59" t="s">
        <v>236</v>
      </c>
      <c r="E59">
        <v>1</v>
      </c>
      <c r="F59" t="s">
        <v>236</v>
      </c>
      <c r="G59">
        <v>1</v>
      </c>
      <c r="H59" t="s">
        <v>412</v>
      </c>
      <c r="I59" s="141">
        <v>0</v>
      </c>
      <c r="J59" s="141" t="s">
        <v>474</v>
      </c>
      <c r="K59" s="10"/>
      <c r="L59"/>
      <c r="M59"/>
      <c r="N59"/>
    </row>
    <row r="60" spans="1:14" ht="15" x14ac:dyDescent="0.25">
      <c r="A60" t="s">
        <v>355</v>
      </c>
      <c r="B60" t="s">
        <v>71</v>
      </c>
      <c r="C60">
        <v>1</v>
      </c>
      <c r="D60" t="s">
        <v>236</v>
      </c>
      <c r="E60">
        <v>1</v>
      </c>
      <c r="F60" t="s">
        <v>236</v>
      </c>
      <c r="G60">
        <v>1</v>
      </c>
      <c r="H60" t="s">
        <v>412</v>
      </c>
      <c r="I60" s="141">
        <v>0</v>
      </c>
      <c r="J60" s="141" t="s">
        <v>474</v>
      </c>
      <c r="K60" s="10"/>
      <c r="L60"/>
      <c r="M60"/>
      <c r="N60"/>
    </row>
    <row r="61" spans="1:14" ht="15" x14ac:dyDescent="0.25">
      <c r="A61" t="s">
        <v>354</v>
      </c>
      <c r="B61" t="s">
        <v>72</v>
      </c>
      <c r="C61">
        <v>12</v>
      </c>
      <c r="D61" t="s">
        <v>315</v>
      </c>
      <c r="E61">
        <v>12</v>
      </c>
      <c r="F61" t="s">
        <v>315</v>
      </c>
      <c r="G61">
        <v>1</v>
      </c>
      <c r="H61" t="s">
        <v>412</v>
      </c>
      <c r="I61" s="141">
        <v>0</v>
      </c>
      <c r="J61" s="141" t="s">
        <v>474</v>
      </c>
      <c r="K61" s="10"/>
      <c r="L61"/>
      <c r="M61"/>
      <c r="N61"/>
    </row>
    <row r="62" spans="1:14" ht="15" x14ac:dyDescent="0.25">
      <c r="A62" t="s">
        <v>353</v>
      </c>
      <c r="B62" t="s">
        <v>154</v>
      </c>
      <c r="C62">
        <v>1</v>
      </c>
      <c r="D62" t="s">
        <v>236</v>
      </c>
      <c r="E62">
        <v>1</v>
      </c>
      <c r="F62" t="s">
        <v>236</v>
      </c>
      <c r="G62">
        <v>1</v>
      </c>
      <c r="H62" t="s">
        <v>412</v>
      </c>
      <c r="I62" s="141">
        <v>0</v>
      </c>
      <c r="J62" s="141" t="s">
        <v>474</v>
      </c>
      <c r="K62" s="10"/>
      <c r="L62"/>
      <c r="M62"/>
      <c r="N62"/>
    </row>
    <row r="63" spans="1:14" ht="15" x14ac:dyDescent="0.25">
      <c r="A63" t="s">
        <v>352</v>
      </c>
      <c r="B63" t="s">
        <v>171</v>
      </c>
      <c r="C63">
        <v>1</v>
      </c>
      <c r="D63" t="s">
        <v>236</v>
      </c>
      <c r="E63">
        <v>99</v>
      </c>
      <c r="F63" t="s">
        <v>452</v>
      </c>
      <c r="G63">
        <v>1</v>
      </c>
      <c r="H63" t="s">
        <v>412</v>
      </c>
      <c r="I63" s="141">
        <v>0</v>
      </c>
      <c r="J63" s="141" t="s">
        <v>474</v>
      </c>
      <c r="K63" s="10"/>
      <c r="L63"/>
      <c r="M63"/>
      <c r="N63"/>
    </row>
    <row r="64" spans="1:14" ht="15" x14ac:dyDescent="0.25">
      <c r="A64" t="s">
        <v>351</v>
      </c>
      <c r="B64" t="s">
        <v>73</v>
      </c>
      <c r="C64">
        <v>14</v>
      </c>
      <c r="D64" t="s">
        <v>269</v>
      </c>
      <c r="E64">
        <v>14</v>
      </c>
      <c r="F64" t="s">
        <v>269</v>
      </c>
      <c r="G64">
        <v>1</v>
      </c>
      <c r="H64" t="s">
        <v>412</v>
      </c>
      <c r="I64" s="141">
        <v>0</v>
      </c>
      <c r="J64" s="141" t="s">
        <v>474</v>
      </c>
      <c r="K64" s="10"/>
      <c r="L64"/>
      <c r="M64"/>
      <c r="N64"/>
    </row>
    <row r="65" spans="1:14" ht="15" x14ac:dyDescent="0.25">
      <c r="A65" t="s">
        <v>350</v>
      </c>
      <c r="B65" t="s">
        <v>74</v>
      </c>
      <c r="C65">
        <v>8</v>
      </c>
      <c r="D65" t="s">
        <v>254</v>
      </c>
      <c r="E65">
        <v>8</v>
      </c>
      <c r="F65" t="s">
        <v>254</v>
      </c>
      <c r="G65">
        <v>4</v>
      </c>
      <c r="H65" t="s">
        <v>411</v>
      </c>
      <c r="I65" s="141">
        <v>0</v>
      </c>
      <c r="J65" s="141" t="s">
        <v>474</v>
      </c>
      <c r="K65" s="10"/>
      <c r="L65"/>
      <c r="M65"/>
      <c r="N65"/>
    </row>
    <row r="66" spans="1:14" ht="15" x14ac:dyDescent="0.25">
      <c r="A66" t="s">
        <v>349</v>
      </c>
      <c r="B66" t="s">
        <v>75</v>
      </c>
      <c r="C66">
        <v>7</v>
      </c>
      <c r="D66" t="s">
        <v>250</v>
      </c>
      <c r="E66">
        <v>7</v>
      </c>
      <c r="F66" t="s">
        <v>250</v>
      </c>
      <c r="G66">
        <v>4</v>
      </c>
      <c r="H66" t="s">
        <v>411</v>
      </c>
      <c r="I66" s="141">
        <v>0</v>
      </c>
      <c r="J66" s="141" t="s">
        <v>474</v>
      </c>
      <c r="K66" s="10"/>
      <c r="L66"/>
      <c r="M66"/>
      <c r="N66"/>
    </row>
    <row r="67" spans="1:14" ht="15" x14ac:dyDescent="0.25">
      <c r="A67" t="s">
        <v>348</v>
      </c>
      <c r="B67" t="s">
        <v>76</v>
      </c>
      <c r="C67">
        <v>5</v>
      </c>
      <c r="D67" t="s">
        <v>332</v>
      </c>
      <c r="E67">
        <v>5</v>
      </c>
      <c r="F67" t="s">
        <v>332</v>
      </c>
      <c r="G67">
        <v>4</v>
      </c>
      <c r="H67" t="s">
        <v>411</v>
      </c>
      <c r="I67" s="141">
        <v>0</v>
      </c>
      <c r="J67" s="141" t="s">
        <v>474</v>
      </c>
      <c r="K67" s="10"/>
      <c r="L67"/>
      <c r="M67"/>
      <c r="N67"/>
    </row>
    <row r="68" spans="1:14" ht="15" x14ac:dyDescent="0.25">
      <c r="A68" t="s">
        <v>347</v>
      </c>
      <c r="B68" t="s">
        <v>77</v>
      </c>
      <c r="C68">
        <v>8</v>
      </c>
      <c r="D68" t="s">
        <v>254</v>
      </c>
      <c r="E68">
        <v>8</v>
      </c>
      <c r="F68" t="s">
        <v>254</v>
      </c>
      <c r="G68">
        <v>1</v>
      </c>
      <c r="H68" t="s">
        <v>412</v>
      </c>
      <c r="I68" s="141">
        <v>0</v>
      </c>
      <c r="J68" s="141" t="s">
        <v>474</v>
      </c>
      <c r="K68" s="10"/>
      <c r="L68"/>
      <c r="M68"/>
      <c r="N68"/>
    </row>
    <row r="69" spans="1:14" ht="15" x14ac:dyDescent="0.25">
      <c r="A69" t="s">
        <v>346</v>
      </c>
      <c r="B69" t="s">
        <v>78</v>
      </c>
      <c r="C69">
        <v>8</v>
      </c>
      <c r="D69" t="s">
        <v>254</v>
      </c>
      <c r="E69">
        <v>8</v>
      </c>
      <c r="F69" t="s">
        <v>254</v>
      </c>
      <c r="G69">
        <v>3</v>
      </c>
      <c r="H69" t="s">
        <v>413</v>
      </c>
      <c r="I69" s="141">
        <v>0</v>
      </c>
      <c r="J69" s="141" t="s">
        <v>474</v>
      </c>
      <c r="K69" s="10"/>
      <c r="L69"/>
      <c r="M69"/>
      <c r="N69"/>
    </row>
    <row r="70" spans="1:14" ht="15" x14ac:dyDescent="0.25">
      <c r="A70" t="s">
        <v>342</v>
      </c>
      <c r="B70" t="s">
        <v>79</v>
      </c>
      <c r="C70">
        <v>17</v>
      </c>
      <c r="D70" t="s">
        <v>244</v>
      </c>
      <c r="E70">
        <v>17</v>
      </c>
      <c r="F70" t="s">
        <v>244</v>
      </c>
      <c r="G70">
        <v>1</v>
      </c>
      <c r="H70" t="s">
        <v>412</v>
      </c>
      <c r="I70" s="141">
        <v>0</v>
      </c>
      <c r="J70" s="141" t="s">
        <v>474</v>
      </c>
      <c r="K70" s="10"/>
      <c r="L70"/>
      <c r="M70"/>
      <c r="N70"/>
    </row>
    <row r="71" spans="1:14" ht="15" x14ac:dyDescent="0.25">
      <c r="A71" t="s">
        <v>341</v>
      </c>
      <c r="B71" t="s">
        <v>80</v>
      </c>
      <c r="C71">
        <v>11</v>
      </c>
      <c r="D71" t="s">
        <v>240</v>
      </c>
      <c r="E71">
        <v>11</v>
      </c>
      <c r="F71" t="s">
        <v>240</v>
      </c>
      <c r="G71">
        <v>1</v>
      </c>
      <c r="H71" t="s">
        <v>412</v>
      </c>
      <c r="I71" s="141">
        <v>0</v>
      </c>
      <c r="J71" s="141" t="s">
        <v>474</v>
      </c>
      <c r="K71" s="10"/>
      <c r="L71"/>
      <c r="M71"/>
      <c r="N71"/>
    </row>
    <row r="72" spans="1:14" ht="15" x14ac:dyDescent="0.25">
      <c r="A72" t="s">
        <v>340</v>
      </c>
      <c r="B72" t="s">
        <v>440</v>
      </c>
      <c r="C72">
        <v>11</v>
      </c>
      <c r="D72" t="s">
        <v>240</v>
      </c>
      <c r="E72">
        <v>11</v>
      </c>
      <c r="F72" t="s">
        <v>240</v>
      </c>
      <c r="G72">
        <v>1</v>
      </c>
      <c r="H72" t="s">
        <v>412</v>
      </c>
      <c r="I72" s="141">
        <v>0</v>
      </c>
      <c r="J72" s="141" t="s">
        <v>474</v>
      </c>
      <c r="K72" s="10"/>
      <c r="L72"/>
      <c r="M72"/>
      <c r="N72"/>
    </row>
    <row r="73" spans="1:14" ht="15" x14ac:dyDescent="0.25">
      <c r="A73" t="s">
        <v>339</v>
      </c>
      <c r="B73" t="s">
        <v>82</v>
      </c>
      <c r="C73">
        <v>14</v>
      </c>
      <c r="D73" t="s">
        <v>269</v>
      </c>
      <c r="E73">
        <v>14</v>
      </c>
      <c r="F73" t="s">
        <v>269</v>
      </c>
      <c r="G73">
        <v>1</v>
      </c>
      <c r="H73" t="s">
        <v>412</v>
      </c>
      <c r="I73" s="141">
        <v>0</v>
      </c>
      <c r="J73" s="141" t="s">
        <v>474</v>
      </c>
      <c r="K73" s="10"/>
      <c r="L73"/>
      <c r="M73"/>
      <c r="N73"/>
    </row>
    <row r="74" spans="1:14" ht="15" x14ac:dyDescent="0.25">
      <c r="A74" t="s">
        <v>337</v>
      </c>
      <c r="B74" t="s">
        <v>172</v>
      </c>
      <c r="C74">
        <v>15</v>
      </c>
      <c r="D74" t="s">
        <v>242</v>
      </c>
      <c r="E74">
        <v>15</v>
      </c>
      <c r="F74" t="s">
        <v>242</v>
      </c>
      <c r="G74">
        <v>4</v>
      </c>
      <c r="H74" t="s">
        <v>411</v>
      </c>
      <c r="I74" s="141">
        <v>1</v>
      </c>
      <c r="J74" s="141" t="s">
        <v>475</v>
      </c>
      <c r="K74" s="10"/>
      <c r="L74"/>
      <c r="M74"/>
      <c r="N74"/>
    </row>
    <row r="75" spans="1:14" ht="15" x14ac:dyDescent="0.25">
      <c r="A75" t="s">
        <v>381</v>
      </c>
      <c r="B75" t="s">
        <v>83</v>
      </c>
      <c r="C75">
        <v>1</v>
      </c>
      <c r="D75" t="s">
        <v>236</v>
      </c>
      <c r="E75">
        <v>1</v>
      </c>
      <c r="F75" t="s">
        <v>236</v>
      </c>
      <c r="G75">
        <v>1</v>
      </c>
      <c r="H75" t="s">
        <v>412</v>
      </c>
      <c r="I75" s="141">
        <v>0</v>
      </c>
      <c r="J75" s="141" t="s">
        <v>474</v>
      </c>
      <c r="K75" s="10"/>
      <c r="L75"/>
      <c r="M75"/>
      <c r="N75"/>
    </row>
    <row r="76" spans="1:14" ht="15" x14ac:dyDescent="0.25">
      <c r="A76" t="s">
        <v>336</v>
      </c>
      <c r="B76" t="s">
        <v>84</v>
      </c>
      <c r="C76">
        <v>7</v>
      </c>
      <c r="D76" t="s">
        <v>250</v>
      </c>
      <c r="E76">
        <v>7</v>
      </c>
      <c r="F76" t="s">
        <v>250</v>
      </c>
      <c r="G76">
        <v>1</v>
      </c>
      <c r="H76" t="s">
        <v>412</v>
      </c>
      <c r="I76" s="141">
        <v>0</v>
      </c>
      <c r="J76" s="141" t="s">
        <v>474</v>
      </c>
      <c r="K76" s="10"/>
      <c r="L76"/>
      <c r="M76"/>
      <c r="N76"/>
    </row>
    <row r="77" spans="1:14" ht="15" x14ac:dyDescent="0.25">
      <c r="A77" t="s">
        <v>335</v>
      </c>
      <c r="B77" t="s">
        <v>85</v>
      </c>
      <c r="C77">
        <v>7</v>
      </c>
      <c r="D77" t="s">
        <v>250</v>
      </c>
      <c r="E77">
        <v>7</v>
      </c>
      <c r="F77" t="s">
        <v>250</v>
      </c>
      <c r="G77">
        <v>1</v>
      </c>
      <c r="H77" t="s">
        <v>412</v>
      </c>
      <c r="I77" s="141">
        <v>0</v>
      </c>
      <c r="J77" s="141" t="s">
        <v>474</v>
      </c>
      <c r="K77" s="10"/>
      <c r="L77"/>
      <c r="M77"/>
      <c r="N77"/>
    </row>
    <row r="78" spans="1:14" ht="15" x14ac:dyDescent="0.25">
      <c r="A78" t="s">
        <v>334</v>
      </c>
      <c r="B78" t="s">
        <v>190</v>
      </c>
      <c r="C78">
        <v>12</v>
      </c>
      <c r="D78" t="s">
        <v>315</v>
      </c>
      <c r="E78">
        <v>99</v>
      </c>
      <c r="F78" t="s">
        <v>452</v>
      </c>
      <c r="G78">
        <v>1</v>
      </c>
      <c r="H78" t="s">
        <v>412</v>
      </c>
      <c r="I78" s="141">
        <v>0</v>
      </c>
      <c r="J78" s="141" t="s">
        <v>474</v>
      </c>
      <c r="K78" s="10"/>
      <c r="L78"/>
      <c r="M78"/>
      <c r="N78"/>
    </row>
    <row r="79" spans="1:14" ht="15" x14ac:dyDescent="0.25">
      <c r="A79" t="s">
        <v>333</v>
      </c>
      <c r="B79" t="s">
        <v>86</v>
      </c>
      <c r="C79">
        <v>5</v>
      </c>
      <c r="D79" t="s">
        <v>332</v>
      </c>
      <c r="E79">
        <v>5</v>
      </c>
      <c r="F79" t="s">
        <v>332</v>
      </c>
      <c r="G79">
        <v>4</v>
      </c>
      <c r="H79" t="s">
        <v>411</v>
      </c>
      <c r="I79" s="141">
        <v>0</v>
      </c>
      <c r="J79" s="141" t="s">
        <v>474</v>
      </c>
      <c r="K79" s="10"/>
      <c r="L79"/>
      <c r="M79"/>
      <c r="N79"/>
    </row>
    <row r="80" spans="1:14" ht="15" x14ac:dyDescent="0.25">
      <c r="A80" t="s">
        <v>331</v>
      </c>
      <c r="B80" t="s">
        <v>87</v>
      </c>
      <c r="C80">
        <v>2</v>
      </c>
      <c r="D80" t="s">
        <v>252</v>
      </c>
      <c r="E80">
        <v>2</v>
      </c>
      <c r="F80" t="s">
        <v>252</v>
      </c>
      <c r="G80">
        <v>4</v>
      </c>
      <c r="H80" t="s">
        <v>411</v>
      </c>
      <c r="I80" s="141">
        <v>0</v>
      </c>
      <c r="J80" s="141" t="s">
        <v>474</v>
      </c>
      <c r="K80" s="10"/>
      <c r="L80"/>
      <c r="M80"/>
      <c r="N80"/>
    </row>
    <row r="81" spans="1:14" ht="15" x14ac:dyDescent="0.25">
      <c r="A81" t="s">
        <v>330</v>
      </c>
      <c r="B81" t="s">
        <v>88</v>
      </c>
      <c r="C81">
        <v>1</v>
      </c>
      <c r="D81" t="s">
        <v>236</v>
      </c>
      <c r="E81">
        <v>1</v>
      </c>
      <c r="F81" t="s">
        <v>236</v>
      </c>
      <c r="G81">
        <v>4</v>
      </c>
      <c r="H81" t="s">
        <v>411</v>
      </c>
      <c r="I81" s="141">
        <v>0</v>
      </c>
      <c r="J81" s="141" t="s">
        <v>474</v>
      </c>
      <c r="K81" s="10"/>
      <c r="L81"/>
      <c r="M81"/>
      <c r="N81"/>
    </row>
    <row r="82" spans="1:14" ht="15" x14ac:dyDescent="0.25">
      <c r="A82" t="s">
        <v>329</v>
      </c>
      <c r="B82" t="s">
        <v>89</v>
      </c>
      <c r="C82">
        <v>4</v>
      </c>
      <c r="D82" t="s">
        <v>285</v>
      </c>
      <c r="E82">
        <v>4</v>
      </c>
      <c r="F82" t="s">
        <v>285</v>
      </c>
      <c r="G82">
        <v>1</v>
      </c>
      <c r="H82" t="s">
        <v>412</v>
      </c>
      <c r="I82" s="141">
        <v>0</v>
      </c>
      <c r="J82" s="141" t="s">
        <v>474</v>
      </c>
      <c r="K82" s="10"/>
      <c r="L82"/>
      <c r="M82"/>
      <c r="N82"/>
    </row>
    <row r="83" spans="1:14" ht="15" x14ac:dyDescent="0.25">
      <c r="A83" t="s">
        <v>327</v>
      </c>
      <c r="B83" t="s">
        <v>90</v>
      </c>
      <c r="C83">
        <v>1</v>
      </c>
      <c r="D83" t="s">
        <v>236</v>
      </c>
      <c r="E83">
        <v>1</v>
      </c>
      <c r="F83" t="s">
        <v>236</v>
      </c>
      <c r="G83">
        <v>1</v>
      </c>
      <c r="H83" t="s">
        <v>412</v>
      </c>
      <c r="I83" s="141">
        <v>0</v>
      </c>
      <c r="J83" s="141" t="s">
        <v>474</v>
      </c>
      <c r="K83" s="10"/>
      <c r="L83"/>
      <c r="M83"/>
      <c r="N83"/>
    </row>
    <row r="84" spans="1:14" ht="15" x14ac:dyDescent="0.25">
      <c r="A84" t="s">
        <v>323</v>
      </c>
      <c r="B84" t="s">
        <v>91</v>
      </c>
      <c r="C84">
        <v>1</v>
      </c>
      <c r="D84" t="s">
        <v>236</v>
      </c>
      <c r="E84">
        <v>1</v>
      </c>
      <c r="F84" t="s">
        <v>236</v>
      </c>
      <c r="G84">
        <v>1</v>
      </c>
      <c r="H84" t="s">
        <v>412</v>
      </c>
      <c r="I84" s="141">
        <v>0</v>
      </c>
      <c r="J84" s="141" t="s">
        <v>474</v>
      </c>
      <c r="K84" s="10"/>
      <c r="L84"/>
      <c r="M84"/>
      <c r="N84"/>
    </row>
    <row r="85" spans="1:14" ht="15" x14ac:dyDescent="0.25">
      <c r="A85" t="s">
        <v>326</v>
      </c>
      <c r="B85" t="s">
        <v>92</v>
      </c>
      <c r="C85">
        <v>1</v>
      </c>
      <c r="D85" t="s">
        <v>236</v>
      </c>
      <c r="E85">
        <v>1</v>
      </c>
      <c r="F85" t="s">
        <v>236</v>
      </c>
      <c r="G85">
        <v>1</v>
      </c>
      <c r="H85" t="s">
        <v>412</v>
      </c>
      <c r="I85" s="141">
        <v>0</v>
      </c>
      <c r="J85" s="141" t="s">
        <v>474</v>
      </c>
      <c r="K85" s="10"/>
      <c r="L85"/>
      <c r="M85"/>
      <c r="N85"/>
    </row>
    <row r="86" spans="1:14" ht="15" x14ac:dyDescent="0.25">
      <c r="A86" t="s">
        <v>325</v>
      </c>
      <c r="B86" t="s">
        <v>93</v>
      </c>
      <c r="C86">
        <v>17</v>
      </c>
      <c r="D86" t="s">
        <v>244</v>
      </c>
      <c r="E86">
        <v>17</v>
      </c>
      <c r="F86" t="s">
        <v>244</v>
      </c>
      <c r="G86">
        <v>1</v>
      </c>
      <c r="H86" t="s">
        <v>412</v>
      </c>
      <c r="I86" s="141">
        <v>0</v>
      </c>
      <c r="J86" s="141" t="s">
        <v>474</v>
      </c>
      <c r="K86" s="10"/>
      <c r="L86"/>
      <c r="M86"/>
      <c r="N86"/>
    </row>
    <row r="87" spans="1:14" ht="15" x14ac:dyDescent="0.25">
      <c r="A87" t="s">
        <v>324</v>
      </c>
      <c r="B87" t="s">
        <v>173</v>
      </c>
      <c r="C87">
        <v>2</v>
      </c>
      <c r="D87" t="s">
        <v>252</v>
      </c>
      <c r="E87">
        <v>2</v>
      </c>
      <c r="F87" t="s">
        <v>252</v>
      </c>
      <c r="G87">
        <v>1</v>
      </c>
      <c r="H87" t="s">
        <v>412</v>
      </c>
      <c r="I87" s="141">
        <v>0</v>
      </c>
      <c r="J87" s="141" t="s">
        <v>474</v>
      </c>
      <c r="K87" s="10"/>
      <c r="L87"/>
      <c r="M87"/>
      <c r="N87"/>
    </row>
    <row r="88" spans="1:14" ht="15" x14ac:dyDescent="0.25">
      <c r="A88" t="s">
        <v>322</v>
      </c>
      <c r="B88" t="s">
        <v>182</v>
      </c>
      <c r="C88">
        <v>6</v>
      </c>
      <c r="D88" t="s">
        <v>247</v>
      </c>
      <c r="E88">
        <v>99</v>
      </c>
      <c r="F88" t="s">
        <v>452</v>
      </c>
      <c r="G88">
        <v>1</v>
      </c>
      <c r="H88" t="s">
        <v>412</v>
      </c>
      <c r="I88" s="141">
        <v>0</v>
      </c>
      <c r="J88" s="141" t="s">
        <v>474</v>
      </c>
      <c r="K88" s="10"/>
      <c r="L88"/>
      <c r="M88"/>
      <c r="N88"/>
    </row>
    <row r="89" spans="1:14" ht="15" x14ac:dyDescent="0.25">
      <c r="A89" t="s">
        <v>321</v>
      </c>
      <c r="B89" t="s">
        <v>192</v>
      </c>
      <c r="C89">
        <v>1</v>
      </c>
      <c r="D89" t="s">
        <v>236</v>
      </c>
      <c r="E89">
        <v>99</v>
      </c>
      <c r="F89" t="s">
        <v>452</v>
      </c>
      <c r="G89">
        <v>1</v>
      </c>
      <c r="H89" t="s">
        <v>412</v>
      </c>
      <c r="I89" s="141">
        <v>0</v>
      </c>
      <c r="J89" s="141" t="s">
        <v>474</v>
      </c>
      <c r="K89" s="10"/>
      <c r="L89"/>
      <c r="M89"/>
      <c r="N89"/>
    </row>
    <row r="90" spans="1:14" ht="15" x14ac:dyDescent="0.25">
      <c r="A90" t="s">
        <v>320</v>
      </c>
      <c r="B90" t="s">
        <v>212</v>
      </c>
      <c r="C90">
        <v>1</v>
      </c>
      <c r="D90" t="s">
        <v>236</v>
      </c>
      <c r="E90">
        <v>99</v>
      </c>
      <c r="F90" t="s">
        <v>452</v>
      </c>
      <c r="G90">
        <v>1</v>
      </c>
      <c r="H90" t="s">
        <v>412</v>
      </c>
      <c r="I90" s="141">
        <v>0</v>
      </c>
      <c r="J90" s="141" t="s">
        <v>474</v>
      </c>
      <c r="K90" s="10"/>
      <c r="L90"/>
      <c r="M90"/>
      <c r="N90"/>
    </row>
    <row r="91" spans="1:14" ht="15" x14ac:dyDescent="0.25">
      <c r="A91" t="s">
        <v>319</v>
      </c>
      <c r="B91" t="s">
        <v>94</v>
      </c>
      <c r="C91">
        <v>15</v>
      </c>
      <c r="D91" t="s">
        <v>242</v>
      </c>
      <c r="E91">
        <v>15</v>
      </c>
      <c r="F91" t="s">
        <v>242</v>
      </c>
      <c r="G91">
        <v>4</v>
      </c>
      <c r="H91" t="s">
        <v>411</v>
      </c>
      <c r="I91" s="141">
        <v>1</v>
      </c>
      <c r="J91" s="141" t="s">
        <v>475</v>
      </c>
      <c r="K91" s="10"/>
      <c r="L91"/>
      <c r="M91"/>
      <c r="N91"/>
    </row>
    <row r="92" spans="1:14" ht="15" x14ac:dyDescent="0.25">
      <c r="A92" t="s">
        <v>318</v>
      </c>
      <c r="B92" t="s">
        <v>95</v>
      </c>
      <c r="C92">
        <v>17</v>
      </c>
      <c r="D92" t="s">
        <v>244</v>
      </c>
      <c r="E92">
        <v>17</v>
      </c>
      <c r="F92" t="s">
        <v>244</v>
      </c>
      <c r="G92">
        <v>3</v>
      </c>
      <c r="H92" t="s">
        <v>413</v>
      </c>
      <c r="I92" s="141">
        <v>0</v>
      </c>
      <c r="J92" s="141" t="s">
        <v>474</v>
      </c>
      <c r="K92" s="10"/>
      <c r="L92"/>
      <c r="M92"/>
      <c r="N92"/>
    </row>
    <row r="93" spans="1:14" ht="15" x14ac:dyDescent="0.25">
      <c r="A93" t="s">
        <v>317</v>
      </c>
      <c r="B93" t="s">
        <v>96</v>
      </c>
      <c r="C93">
        <v>17</v>
      </c>
      <c r="D93" t="s">
        <v>244</v>
      </c>
      <c r="E93">
        <v>17</v>
      </c>
      <c r="F93" t="s">
        <v>244</v>
      </c>
      <c r="G93">
        <v>4</v>
      </c>
      <c r="H93" t="s">
        <v>411</v>
      </c>
      <c r="I93" s="141">
        <v>0</v>
      </c>
      <c r="J93" s="141" t="s">
        <v>474</v>
      </c>
      <c r="K93" s="10"/>
      <c r="L93"/>
      <c r="M93"/>
      <c r="N93"/>
    </row>
    <row r="94" spans="1:14" ht="15" x14ac:dyDescent="0.25">
      <c r="A94" t="s">
        <v>314</v>
      </c>
      <c r="B94" t="s">
        <v>97</v>
      </c>
      <c r="C94">
        <v>1</v>
      </c>
      <c r="D94" t="s">
        <v>236</v>
      </c>
      <c r="E94">
        <v>1</v>
      </c>
      <c r="F94" t="s">
        <v>236</v>
      </c>
      <c r="G94">
        <v>1</v>
      </c>
      <c r="H94" t="s">
        <v>412</v>
      </c>
      <c r="I94" s="141">
        <v>0</v>
      </c>
      <c r="J94" s="141" t="s">
        <v>474</v>
      </c>
      <c r="K94" s="10"/>
      <c r="L94"/>
      <c r="M94"/>
      <c r="N94"/>
    </row>
    <row r="95" spans="1:14" ht="15" x14ac:dyDescent="0.25">
      <c r="A95" t="s">
        <v>313</v>
      </c>
      <c r="B95" t="s">
        <v>98</v>
      </c>
      <c r="C95">
        <v>1</v>
      </c>
      <c r="D95" t="s">
        <v>236</v>
      </c>
      <c r="E95">
        <v>1</v>
      </c>
      <c r="F95" t="s">
        <v>236</v>
      </c>
      <c r="G95">
        <v>1</v>
      </c>
      <c r="H95" t="s">
        <v>412</v>
      </c>
      <c r="I95" s="141">
        <v>0</v>
      </c>
      <c r="J95" s="141" t="s">
        <v>474</v>
      </c>
      <c r="K95" s="10"/>
      <c r="L95"/>
      <c r="M95"/>
      <c r="N95"/>
    </row>
    <row r="96" spans="1:14" ht="15" x14ac:dyDescent="0.25">
      <c r="A96" t="s">
        <v>312</v>
      </c>
      <c r="B96" t="s">
        <v>99</v>
      </c>
      <c r="C96">
        <v>5</v>
      </c>
      <c r="D96" t="s">
        <v>332</v>
      </c>
      <c r="E96">
        <v>1</v>
      </c>
      <c r="F96" t="s">
        <v>236</v>
      </c>
      <c r="G96">
        <v>1</v>
      </c>
      <c r="H96" t="s">
        <v>412</v>
      </c>
      <c r="I96" s="141">
        <v>0</v>
      </c>
      <c r="J96" s="141" t="s">
        <v>474</v>
      </c>
      <c r="K96" s="10"/>
      <c r="L96"/>
      <c r="M96"/>
      <c r="N96"/>
    </row>
    <row r="97" spans="1:14" ht="15" x14ac:dyDescent="0.25">
      <c r="A97" t="s">
        <v>311</v>
      </c>
      <c r="B97" t="s">
        <v>100</v>
      </c>
      <c r="C97">
        <v>2</v>
      </c>
      <c r="D97" t="s">
        <v>252</v>
      </c>
      <c r="E97">
        <v>2</v>
      </c>
      <c r="F97" t="s">
        <v>252</v>
      </c>
      <c r="G97">
        <v>4</v>
      </c>
      <c r="H97" t="s">
        <v>411</v>
      </c>
      <c r="I97" s="141">
        <v>0</v>
      </c>
      <c r="J97" s="141" t="s">
        <v>474</v>
      </c>
      <c r="K97" s="10"/>
      <c r="L97"/>
      <c r="M97"/>
      <c r="N97"/>
    </row>
    <row r="98" spans="1:14" ht="15" x14ac:dyDescent="0.25">
      <c r="A98" t="s">
        <v>310</v>
      </c>
      <c r="B98" t="s">
        <v>101</v>
      </c>
      <c r="C98">
        <v>1</v>
      </c>
      <c r="D98" t="s">
        <v>236</v>
      </c>
      <c r="E98">
        <v>1</v>
      </c>
      <c r="F98" t="s">
        <v>236</v>
      </c>
      <c r="G98">
        <v>1</v>
      </c>
      <c r="H98" t="s">
        <v>412</v>
      </c>
      <c r="I98" s="141">
        <v>0</v>
      </c>
      <c r="J98" s="141" t="s">
        <v>474</v>
      </c>
      <c r="K98" s="10"/>
      <c r="L98"/>
      <c r="M98"/>
      <c r="N98"/>
    </row>
    <row r="99" spans="1:14" ht="15" x14ac:dyDescent="0.25">
      <c r="A99" t="s">
        <v>309</v>
      </c>
      <c r="B99" t="s">
        <v>102</v>
      </c>
      <c r="C99">
        <v>19</v>
      </c>
      <c r="D99" t="s">
        <v>294</v>
      </c>
      <c r="E99">
        <v>19</v>
      </c>
      <c r="F99" t="s">
        <v>294</v>
      </c>
      <c r="G99">
        <v>1</v>
      </c>
      <c r="H99" t="s">
        <v>412</v>
      </c>
      <c r="I99" s="141">
        <v>0</v>
      </c>
      <c r="J99" s="141" t="s">
        <v>474</v>
      </c>
      <c r="K99" s="10"/>
      <c r="L99"/>
      <c r="M99"/>
      <c r="N99"/>
    </row>
    <row r="100" spans="1:14" ht="15" x14ac:dyDescent="0.25">
      <c r="A100" t="s">
        <v>316</v>
      </c>
      <c r="B100" t="s">
        <v>103</v>
      </c>
      <c r="C100">
        <v>12</v>
      </c>
      <c r="D100" t="s">
        <v>315</v>
      </c>
      <c r="E100">
        <v>12</v>
      </c>
      <c r="F100" t="s">
        <v>315</v>
      </c>
      <c r="G100">
        <v>4</v>
      </c>
      <c r="H100" t="s">
        <v>411</v>
      </c>
      <c r="I100" s="141">
        <v>0</v>
      </c>
      <c r="J100" s="141" t="s">
        <v>474</v>
      </c>
      <c r="K100" s="10"/>
      <c r="L100"/>
      <c r="M100"/>
      <c r="N100"/>
    </row>
    <row r="101" spans="1:14" ht="15" x14ac:dyDescent="0.25">
      <c r="A101" t="s">
        <v>306</v>
      </c>
      <c r="B101" t="s">
        <v>104</v>
      </c>
      <c r="C101">
        <v>4</v>
      </c>
      <c r="D101" t="s">
        <v>285</v>
      </c>
      <c r="E101">
        <v>4</v>
      </c>
      <c r="F101" t="s">
        <v>285</v>
      </c>
      <c r="G101">
        <v>1</v>
      </c>
      <c r="H101" t="s">
        <v>412</v>
      </c>
      <c r="I101" s="141">
        <v>0</v>
      </c>
      <c r="J101" s="141" t="s">
        <v>474</v>
      </c>
      <c r="K101" s="10"/>
      <c r="L101"/>
      <c r="M101"/>
      <c r="N101"/>
    </row>
    <row r="102" spans="1:14" ht="15" x14ac:dyDescent="0.25">
      <c r="A102" t="s">
        <v>305</v>
      </c>
      <c r="B102" t="s">
        <v>105</v>
      </c>
      <c r="C102">
        <v>11</v>
      </c>
      <c r="D102" t="s">
        <v>240</v>
      </c>
      <c r="E102">
        <v>11</v>
      </c>
      <c r="F102" t="s">
        <v>240</v>
      </c>
      <c r="G102">
        <v>1</v>
      </c>
      <c r="H102" t="s">
        <v>412</v>
      </c>
      <c r="I102" s="141">
        <v>0</v>
      </c>
      <c r="J102" s="141" t="s">
        <v>474</v>
      </c>
      <c r="K102" s="10"/>
      <c r="L102"/>
      <c r="M102"/>
      <c r="N102"/>
    </row>
    <row r="103" spans="1:14" ht="15" x14ac:dyDescent="0.25">
      <c r="A103" t="s">
        <v>304</v>
      </c>
      <c r="B103" t="s">
        <v>106</v>
      </c>
      <c r="C103">
        <v>17</v>
      </c>
      <c r="D103" t="s">
        <v>244</v>
      </c>
      <c r="E103">
        <v>17</v>
      </c>
      <c r="F103" t="s">
        <v>244</v>
      </c>
      <c r="G103">
        <v>1</v>
      </c>
      <c r="H103" t="s">
        <v>412</v>
      </c>
      <c r="I103" s="141">
        <v>0</v>
      </c>
      <c r="J103" s="141" t="s">
        <v>474</v>
      </c>
      <c r="K103" s="10"/>
      <c r="L103"/>
      <c r="M103"/>
      <c r="N103"/>
    </row>
    <row r="104" spans="1:14" ht="15" x14ac:dyDescent="0.25">
      <c r="A104" t="s">
        <v>308</v>
      </c>
      <c r="B104" t="s">
        <v>107</v>
      </c>
      <c r="C104">
        <v>1</v>
      </c>
      <c r="D104" t="s">
        <v>236</v>
      </c>
      <c r="E104">
        <v>1</v>
      </c>
      <c r="F104" t="s">
        <v>236</v>
      </c>
      <c r="G104">
        <v>1</v>
      </c>
      <c r="H104" t="s">
        <v>412</v>
      </c>
      <c r="I104" s="141">
        <v>0</v>
      </c>
      <c r="J104" s="141" t="s">
        <v>474</v>
      </c>
      <c r="K104" s="10"/>
      <c r="L104"/>
      <c r="M104"/>
      <c r="N104"/>
    </row>
    <row r="105" spans="1:14" ht="15" x14ac:dyDescent="0.25">
      <c r="A105" t="s">
        <v>307</v>
      </c>
      <c r="B105" t="s">
        <v>108</v>
      </c>
      <c r="C105">
        <v>11</v>
      </c>
      <c r="D105" t="s">
        <v>240</v>
      </c>
      <c r="E105">
        <v>11</v>
      </c>
      <c r="F105" t="s">
        <v>240</v>
      </c>
      <c r="G105">
        <v>1</v>
      </c>
      <c r="H105" t="s">
        <v>412</v>
      </c>
      <c r="I105" s="141">
        <v>0</v>
      </c>
      <c r="J105" s="141" t="s">
        <v>474</v>
      </c>
      <c r="K105" s="10"/>
      <c r="L105"/>
      <c r="M105"/>
      <c r="N105"/>
    </row>
    <row r="106" spans="1:14" ht="15" x14ac:dyDescent="0.25">
      <c r="A106" t="s">
        <v>303</v>
      </c>
      <c r="B106" t="s">
        <v>109</v>
      </c>
      <c r="C106">
        <v>17</v>
      </c>
      <c r="D106" t="s">
        <v>244</v>
      </c>
      <c r="E106">
        <v>17</v>
      </c>
      <c r="F106" t="s">
        <v>244</v>
      </c>
      <c r="G106">
        <v>4</v>
      </c>
      <c r="H106" t="s">
        <v>411</v>
      </c>
      <c r="I106" s="141">
        <v>0</v>
      </c>
      <c r="J106" s="141" t="s">
        <v>474</v>
      </c>
      <c r="K106" s="10"/>
      <c r="L106"/>
      <c r="M106"/>
      <c r="N106"/>
    </row>
    <row r="107" spans="1:14" ht="15" x14ac:dyDescent="0.25">
      <c r="A107" t="s">
        <v>302</v>
      </c>
      <c r="B107" t="s">
        <v>110</v>
      </c>
      <c r="C107">
        <v>17</v>
      </c>
      <c r="D107" t="s">
        <v>244</v>
      </c>
      <c r="E107">
        <v>17</v>
      </c>
      <c r="F107" t="s">
        <v>244</v>
      </c>
      <c r="G107">
        <v>1</v>
      </c>
      <c r="H107" t="s">
        <v>412</v>
      </c>
      <c r="I107" s="141">
        <v>0</v>
      </c>
      <c r="J107" s="141" t="s">
        <v>474</v>
      </c>
      <c r="K107" s="10"/>
      <c r="L107"/>
      <c r="M107"/>
      <c r="N107"/>
    </row>
    <row r="108" spans="1:14" ht="15" x14ac:dyDescent="0.25">
      <c r="A108" t="s">
        <v>301</v>
      </c>
      <c r="B108" t="s">
        <v>111</v>
      </c>
      <c r="C108">
        <v>2</v>
      </c>
      <c r="D108" t="s">
        <v>252</v>
      </c>
      <c r="E108">
        <v>2</v>
      </c>
      <c r="F108" t="s">
        <v>252</v>
      </c>
      <c r="G108">
        <v>4</v>
      </c>
      <c r="H108" t="s">
        <v>411</v>
      </c>
      <c r="I108" s="141">
        <v>0</v>
      </c>
      <c r="J108" s="141" t="s">
        <v>474</v>
      </c>
      <c r="K108" s="10"/>
      <c r="L108"/>
      <c r="M108"/>
      <c r="N108"/>
    </row>
    <row r="109" spans="1:14" ht="15" x14ac:dyDescent="0.25">
      <c r="A109" t="s">
        <v>300</v>
      </c>
      <c r="B109" t="s">
        <v>112</v>
      </c>
      <c r="C109">
        <v>1</v>
      </c>
      <c r="D109" t="s">
        <v>236</v>
      </c>
      <c r="E109">
        <v>1</v>
      </c>
      <c r="F109" t="s">
        <v>236</v>
      </c>
      <c r="G109">
        <v>1</v>
      </c>
      <c r="H109" t="s">
        <v>412</v>
      </c>
      <c r="I109" s="141">
        <v>0</v>
      </c>
      <c r="J109" s="141" t="s">
        <v>474</v>
      </c>
      <c r="K109" s="10"/>
      <c r="L109"/>
      <c r="M109"/>
      <c r="N109"/>
    </row>
    <row r="110" spans="1:14" ht="15" x14ac:dyDescent="0.25">
      <c r="A110" t="s">
        <v>299</v>
      </c>
      <c r="B110" t="s">
        <v>114</v>
      </c>
      <c r="C110">
        <v>17</v>
      </c>
      <c r="D110" t="s">
        <v>244</v>
      </c>
      <c r="E110">
        <v>17</v>
      </c>
      <c r="F110" t="s">
        <v>244</v>
      </c>
      <c r="G110">
        <v>1</v>
      </c>
      <c r="H110" t="s">
        <v>412</v>
      </c>
      <c r="I110" s="141">
        <v>0</v>
      </c>
      <c r="J110" s="141" t="s">
        <v>474</v>
      </c>
      <c r="K110" s="10"/>
      <c r="L110"/>
      <c r="M110"/>
      <c r="N110"/>
    </row>
    <row r="111" spans="1:14" ht="15" x14ac:dyDescent="0.25">
      <c r="A111" t="s">
        <v>298</v>
      </c>
      <c r="B111" t="s">
        <v>183</v>
      </c>
      <c r="C111">
        <v>1</v>
      </c>
      <c r="D111" t="s">
        <v>236</v>
      </c>
      <c r="E111">
        <v>1</v>
      </c>
      <c r="F111" t="s">
        <v>236</v>
      </c>
      <c r="G111">
        <v>1</v>
      </c>
      <c r="H111" t="s">
        <v>412</v>
      </c>
      <c r="I111" s="141">
        <v>0</v>
      </c>
      <c r="J111" s="141" t="s">
        <v>474</v>
      </c>
      <c r="K111" s="10"/>
      <c r="L111"/>
      <c r="M111"/>
      <c r="N111"/>
    </row>
    <row r="112" spans="1:14" ht="15" x14ac:dyDescent="0.25">
      <c r="A112" t="s">
        <v>297</v>
      </c>
      <c r="B112" t="s">
        <v>174</v>
      </c>
      <c r="C112">
        <v>17</v>
      </c>
      <c r="D112" t="s">
        <v>244</v>
      </c>
      <c r="E112">
        <v>99</v>
      </c>
      <c r="F112" t="s">
        <v>452</v>
      </c>
      <c r="G112">
        <v>1</v>
      </c>
      <c r="H112" t="s">
        <v>412</v>
      </c>
      <c r="I112" s="141">
        <v>0</v>
      </c>
      <c r="J112" s="141" t="s">
        <v>474</v>
      </c>
      <c r="K112" s="10"/>
      <c r="L112"/>
      <c r="M112"/>
      <c r="N112"/>
    </row>
    <row r="113" spans="1:14" ht="15" x14ac:dyDescent="0.25">
      <c r="A113" t="s">
        <v>296</v>
      </c>
      <c r="B113" t="s">
        <v>115</v>
      </c>
      <c r="C113">
        <v>19</v>
      </c>
      <c r="D113" t="s">
        <v>294</v>
      </c>
      <c r="E113">
        <v>19</v>
      </c>
      <c r="F113" t="s">
        <v>294</v>
      </c>
      <c r="G113">
        <v>1</v>
      </c>
      <c r="H113" t="s">
        <v>412</v>
      </c>
      <c r="I113" s="141">
        <v>0</v>
      </c>
      <c r="J113" s="141" t="s">
        <v>474</v>
      </c>
      <c r="K113" s="10"/>
      <c r="L113"/>
      <c r="M113"/>
      <c r="N113"/>
    </row>
    <row r="114" spans="1:14" ht="15" x14ac:dyDescent="0.25">
      <c r="A114" t="s">
        <v>295</v>
      </c>
      <c r="B114" t="s">
        <v>116</v>
      </c>
      <c r="C114">
        <v>19</v>
      </c>
      <c r="D114" t="s">
        <v>294</v>
      </c>
      <c r="E114">
        <v>19</v>
      </c>
      <c r="F114" t="s">
        <v>294</v>
      </c>
      <c r="G114">
        <v>4</v>
      </c>
      <c r="H114" t="s">
        <v>411</v>
      </c>
      <c r="I114" s="141">
        <v>0</v>
      </c>
      <c r="J114" s="141" t="s">
        <v>474</v>
      </c>
      <c r="K114" s="10"/>
      <c r="L114"/>
      <c r="M114"/>
      <c r="N114"/>
    </row>
    <row r="115" spans="1:14" ht="15" x14ac:dyDescent="0.25">
      <c r="A115" t="s">
        <v>293</v>
      </c>
      <c r="B115" t="s">
        <v>117</v>
      </c>
      <c r="C115">
        <v>2</v>
      </c>
      <c r="D115" t="s">
        <v>252</v>
      </c>
      <c r="E115">
        <v>2</v>
      </c>
      <c r="F115" t="s">
        <v>252</v>
      </c>
      <c r="G115">
        <v>4</v>
      </c>
      <c r="H115" t="s">
        <v>411</v>
      </c>
      <c r="I115" s="141">
        <v>0</v>
      </c>
      <c r="J115" s="141" t="s">
        <v>474</v>
      </c>
      <c r="K115" s="10"/>
      <c r="L115"/>
      <c r="M115"/>
      <c r="N115"/>
    </row>
    <row r="116" spans="1:14" ht="15" x14ac:dyDescent="0.25">
      <c r="A116" t="s">
        <v>292</v>
      </c>
      <c r="B116" t="s">
        <v>213</v>
      </c>
      <c r="C116">
        <v>1</v>
      </c>
      <c r="D116" t="s">
        <v>236</v>
      </c>
      <c r="E116">
        <v>99</v>
      </c>
      <c r="F116" t="s">
        <v>452</v>
      </c>
      <c r="G116">
        <v>1</v>
      </c>
      <c r="H116" t="s">
        <v>412</v>
      </c>
      <c r="I116" s="141">
        <v>0</v>
      </c>
      <c r="J116" s="141" t="s">
        <v>474</v>
      </c>
      <c r="K116" s="10"/>
      <c r="L116"/>
      <c r="M116"/>
      <c r="N116"/>
    </row>
    <row r="117" spans="1:14" ht="15" x14ac:dyDescent="0.25">
      <c r="A117" t="s">
        <v>291</v>
      </c>
      <c r="B117" t="s">
        <v>118</v>
      </c>
      <c r="C117">
        <v>6</v>
      </c>
      <c r="D117" t="s">
        <v>247</v>
      </c>
      <c r="E117">
        <v>6</v>
      </c>
      <c r="F117" t="s">
        <v>247</v>
      </c>
      <c r="G117">
        <v>4</v>
      </c>
      <c r="H117" t="s">
        <v>411</v>
      </c>
      <c r="I117" s="141">
        <v>0</v>
      </c>
      <c r="J117" s="141" t="s">
        <v>474</v>
      </c>
      <c r="K117" s="10"/>
      <c r="L117"/>
      <c r="M117"/>
      <c r="N117"/>
    </row>
    <row r="118" spans="1:14" ht="15" x14ac:dyDescent="0.25">
      <c r="A118" t="s">
        <v>290</v>
      </c>
      <c r="B118" t="s">
        <v>119</v>
      </c>
      <c r="C118">
        <v>4</v>
      </c>
      <c r="D118" t="s">
        <v>285</v>
      </c>
      <c r="E118">
        <v>4</v>
      </c>
      <c r="F118" t="s">
        <v>285</v>
      </c>
      <c r="G118">
        <v>4</v>
      </c>
      <c r="H118" t="s">
        <v>411</v>
      </c>
      <c r="I118" s="141">
        <v>0</v>
      </c>
      <c r="J118" s="141" t="s">
        <v>474</v>
      </c>
      <c r="K118" s="10"/>
      <c r="L118"/>
      <c r="M118"/>
      <c r="N118"/>
    </row>
    <row r="119" spans="1:14" ht="15" x14ac:dyDescent="0.25">
      <c r="A119" t="s">
        <v>289</v>
      </c>
      <c r="B119" t="s">
        <v>120</v>
      </c>
      <c r="C119">
        <v>11</v>
      </c>
      <c r="D119" t="s">
        <v>240</v>
      </c>
      <c r="E119">
        <v>11</v>
      </c>
      <c r="F119" t="s">
        <v>240</v>
      </c>
      <c r="G119">
        <v>4</v>
      </c>
      <c r="H119" t="s">
        <v>411</v>
      </c>
      <c r="I119" s="141">
        <v>0</v>
      </c>
      <c r="J119" s="141" t="s">
        <v>474</v>
      </c>
      <c r="K119" s="10"/>
      <c r="L119"/>
      <c r="M119"/>
      <c r="N119"/>
    </row>
    <row r="120" spans="1:14" ht="15" x14ac:dyDescent="0.25">
      <c r="A120" t="s">
        <v>288</v>
      </c>
      <c r="B120" t="s">
        <v>121</v>
      </c>
      <c r="C120">
        <v>14</v>
      </c>
      <c r="D120" t="s">
        <v>269</v>
      </c>
      <c r="E120">
        <v>14</v>
      </c>
      <c r="F120" t="s">
        <v>269</v>
      </c>
      <c r="G120">
        <v>4</v>
      </c>
      <c r="H120" t="s">
        <v>411</v>
      </c>
      <c r="I120" s="141">
        <v>0</v>
      </c>
      <c r="J120" s="141" t="s">
        <v>474</v>
      </c>
      <c r="K120" s="10"/>
      <c r="L120"/>
      <c r="M120"/>
      <c r="N120"/>
    </row>
    <row r="121" spans="1:14" ht="15" x14ac:dyDescent="0.25">
      <c r="A121" t="s">
        <v>287</v>
      </c>
      <c r="B121" t="s">
        <v>122</v>
      </c>
      <c r="C121">
        <v>1</v>
      </c>
      <c r="D121" t="s">
        <v>236</v>
      </c>
      <c r="E121">
        <v>1</v>
      </c>
      <c r="F121" t="s">
        <v>236</v>
      </c>
      <c r="G121">
        <v>1</v>
      </c>
      <c r="H121" t="s">
        <v>412</v>
      </c>
      <c r="I121" s="141">
        <v>0</v>
      </c>
      <c r="J121" s="141" t="s">
        <v>474</v>
      </c>
      <c r="K121" s="10"/>
      <c r="L121"/>
      <c r="M121"/>
      <c r="N121"/>
    </row>
    <row r="122" spans="1:14" ht="15" x14ac:dyDescent="0.25">
      <c r="A122" t="s">
        <v>286</v>
      </c>
      <c r="B122" t="s">
        <v>184</v>
      </c>
      <c r="C122">
        <v>4</v>
      </c>
      <c r="D122" t="s">
        <v>285</v>
      </c>
      <c r="E122">
        <v>99</v>
      </c>
      <c r="F122" t="s">
        <v>452</v>
      </c>
      <c r="G122">
        <v>1</v>
      </c>
      <c r="H122" t="s">
        <v>412</v>
      </c>
      <c r="I122" s="141">
        <v>0</v>
      </c>
      <c r="J122" s="141" t="s">
        <v>474</v>
      </c>
      <c r="K122" s="10"/>
      <c r="L122"/>
      <c r="M122"/>
      <c r="N122"/>
    </row>
    <row r="123" spans="1:14" ht="15" x14ac:dyDescent="0.25">
      <c r="A123" t="s">
        <v>284</v>
      </c>
      <c r="B123" t="s">
        <v>123</v>
      </c>
      <c r="C123">
        <v>1</v>
      </c>
      <c r="D123" t="s">
        <v>236</v>
      </c>
      <c r="E123">
        <v>1</v>
      </c>
      <c r="F123" t="s">
        <v>236</v>
      </c>
      <c r="G123">
        <v>1</v>
      </c>
      <c r="H123" t="s">
        <v>412</v>
      </c>
      <c r="I123" s="141">
        <v>0</v>
      </c>
      <c r="J123" s="141" t="s">
        <v>474</v>
      </c>
      <c r="K123" s="10"/>
      <c r="L123"/>
      <c r="M123"/>
      <c r="N123"/>
    </row>
    <row r="124" spans="1:14" ht="15" x14ac:dyDescent="0.25">
      <c r="A124" t="s">
        <v>283</v>
      </c>
      <c r="B124" t="s">
        <v>155</v>
      </c>
      <c r="C124">
        <v>1</v>
      </c>
      <c r="D124" t="s">
        <v>236</v>
      </c>
      <c r="E124">
        <v>1</v>
      </c>
      <c r="F124" t="s">
        <v>236</v>
      </c>
      <c r="G124">
        <v>1</v>
      </c>
      <c r="H124" t="s">
        <v>412</v>
      </c>
      <c r="I124" s="141">
        <v>0</v>
      </c>
      <c r="J124" s="141" t="s">
        <v>474</v>
      </c>
      <c r="K124" s="10"/>
      <c r="L124"/>
      <c r="M124"/>
      <c r="N124"/>
    </row>
    <row r="125" spans="1:14" ht="15" x14ac:dyDescent="0.25">
      <c r="A125" t="s">
        <v>282</v>
      </c>
      <c r="B125" t="s">
        <v>124</v>
      </c>
      <c r="C125">
        <v>10</v>
      </c>
      <c r="D125" t="s">
        <v>270</v>
      </c>
      <c r="E125">
        <v>10</v>
      </c>
      <c r="F125" t="s">
        <v>270</v>
      </c>
      <c r="G125">
        <v>1</v>
      </c>
      <c r="H125" t="s">
        <v>412</v>
      </c>
      <c r="I125" s="141">
        <v>0</v>
      </c>
      <c r="J125" s="141" t="s">
        <v>474</v>
      </c>
      <c r="K125" s="10"/>
      <c r="L125"/>
      <c r="M125"/>
      <c r="N125"/>
    </row>
    <row r="126" spans="1:14" ht="15" x14ac:dyDescent="0.25">
      <c r="A126" t="s">
        <v>281</v>
      </c>
      <c r="B126" t="s">
        <v>125</v>
      </c>
      <c r="C126">
        <v>7</v>
      </c>
      <c r="D126" t="s">
        <v>250</v>
      </c>
      <c r="E126">
        <v>1</v>
      </c>
      <c r="F126" t="s">
        <v>236</v>
      </c>
      <c r="G126">
        <v>1</v>
      </c>
      <c r="H126" t="s">
        <v>412</v>
      </c>
      <c r="I126" s="141">
        <v>0</v>
      </c>
      <c r="J126" s="141" t="s">
        <v>474</v>
      </c>
      <c r="K126" s="10"/>
      <c r="L126"/>
      <c r="M126"/>
      <c r="N126"/>
    </row>
    <row r="127" spans="1:14" ht="15" x14ac:dyDescent="0.25">
      <c r="A127" t="s">
        <v>280</v>
      </c>
      <c r="B127" t="s">
        <v>126</v>
      </c>
      <c r="C127">
        <v>1</v>
      </c>
      <c r="D127" t="s">
        <v>236</v>
      </c>
      <c r="E127">
        <v>1</v>
      </c>
      <c r="F127" t="s">
        <v>236</v>
      </c>
      <c r="G127">
        <v>1</v>
      </c>
      <c r="H127" t="s">
        <v>412</v>
      </c>
      <c r="I127" s="141">
        <v>0</v>
      </c>
      <c r="J127" s="141" t="s">
        <v>474</v>
      </c>
      <c r="K127" s="10"/>
      <c r="L127"/>
      <c r="M127"/>
      <c r="N127"/>
    </row>
    <row r="128" spans="1:14" ht="15" x14ac:dyDescent="0.25">
      <c r="A128" t="s">
        <v>279</v>
      </c>
      <c r="B128" t="s">
        <v>127</v>
      </c>
      <c r="C128">
        <v>14</v>
      </c>
      <c r="D128" t="s">
        <v>269</v>
      </c>
      <c r="E128">
        <v>14</v>
      </c>
      <c r="F128" t="s">
        <v>269</v>
      </c>
      <c r="G128">
        <v>1</v>
      </c>
      <c r="H128" t="s">
        <v>412</v>
      </c>
      <c r="I128" s="141">
        <v>0</v>
      </c>
      <c r="J128" s="141" t="s">
        <v>474</v>
      </c>
      <c r="K128" s="10"/>
      <c r="L128"/>
      <c r="M128"/>
      <c r="N128"/>
    </row>
    <row r="129" spans="1:14" ht="15" x14ac:dyDescent="0.25">
      <c r="A129" t="s">
        <v>278</v>
      </c>
      <c r="B129" t="s">
        <v>128</v>
      </c>
      <c r="C129">
        <v>14</v>
      </c>
      <c r="D129" t="s">
        <v>269</v>
      </c>
      <c r="E129">
        <v>14</v>
      </c>
      <c r="F129" t="s">
        <v>269</v>
      </c>
      <c r="G129">
        <v>4</v>
      </c>
      <c r="H129" t="s">
        <v>411</v>
      </c>
      <c r="I129" s="141">
        <v>0</v>
      </c>
      <c r="J129" s="141" t="s">
        <v>474</v>
      </c>
      <c r="K129" s="10"/>
      <c r="L129"/>
      <c r="M129"/>
      <c r="N129"/>
    </row>
    <row r="130" spans="1:14" ht="15" x14ac:dyDescent="0.25">
      <c r="A130" t="s">
        <v>277</v>
      </c>
      <c r="B130" t="s">
        <v>129</v>
      </c>
      <c r="C130">
        <v>1</v>
      </c>
      <c r="D130" t="s">
        <v>236</v>
      </c>
      <c r="E130">
        <v>1</v>
      </c>
      <c r="F130" t="s">
        <v>236</v>
      </c>
      <c r="G130">
        <v>1</v>
      </c>
      <c r="H130" t="s">
        <v>412</v>
      </c>
      <c r="I130" s="141">
        <v>1</v>
      </c>
      <c r="J130" s="141" t="s">
        <v>475</v>
      </c>
      <c r="K130" s="10"/>
      <c r="L130"/>
      <c r="M130"/>
      <c r="N130"/>
    </row>
    <row r="131" spans="1:14" ht="15" x14ac:dyDescent="0.25">
      <c r="A131" t="s">
        <v>276</v>
      </c>
      <c r="B131" t="s">
        <v>130</v>
      </c>
      <c r="C131">
        <v>15</v>
      </c>
      <c r="D131" t="s">
        <v>242</v>
      </c>
      <c r="E131">
        <v>15</v>
      </c>
      <c r="F131" t="s">
        <v>242</v>
      </c>
      <c r="G131">
        <v>4</v>
      </c>
      <c r="H131" t="s">
        <v>411</v>
      </c>
      <c r="I131" s="141">
        <v>1</v>
      </c>
      <c r="J131" s="141" t="s">
        <v>475</v>
      </c>
      <c r="K131" s="10"/>
      <c r="L131"/>
      <c r="M131"/>
      <c r="N131"/>
    </row>
    <row r="132" spans="1:14" ht="15" x14ac:dyDescent="0.25">
      <c r="A132" t="s">
        <v>275</v>
      </c>
      <c r="B132" t="s">
        <v>131</v>
      </c>
      <c r="C132">
        <v>6</v>
      </c>
      <c r="D132" t="s">
        <v>247</v>
      </c>
      <c r="E132">
        <v>6</v>
      </c>
      <c r="F132" t="s">
        <v>247</v>
      </c>
      <c r="G132">
        <v>1</v>
      </c>
      <c r="H132" t="s">
        <v>412</v>
      </c>
      <c r="I132" s="141">
        <v>0</v>
      </c>
      <c r="J132" s="141" t="s">
        <v>474</v>
      </c>
      <c r="K132" s="10"/>
      <c r="L132"/>
      <c r="M132"/>
      <c r="N132"/>
    </row>
    <row r="133" spans="1:14" ht="15" x14ac:dyDescent="0.25">
      <c r="A133" t="s">
        <v>274</v>
      </c>
      <c r="B133" t="s">
        <v>132</v>
      </c>
      <c r="C133">
        <v>6</v>
      </c>
      <c r="D133" t="s">
        <v>247</v>
      </c>
      <c r="E133">
        <v>6</v>
      </c>
      <c r="F133" t="s">
        <v>247</v>
      </c>
      <c r="G133">
        <v>3</v>
      </c>
      <c r="H133" t="s">
        <v>413</v>
      </c>
      <c r="I133" s="141">
        <v>0</v>
      </c>
      <c r="J133" s="141" t="s">
        <v>474</v>
      </c>
      <c r="K133" s="10"/>
      <c r="L133"/>
      <c r="M133"/>
      <c r="N133"/>
    </row>
    <row r="134" spans="1:14" ht="15" x14ac:dyDescent="0.25">
      <c r="A134" t="s">
        <v>273</v>
      </c>
      <c r="B134" t="s">
        <v>133</v>
      </c>
      <c r="C134">
        <v>6</v>
      </c>
      <c r="D134" t="s">
        <v>247</v>
      </c>
      <c r="E134">
        <v>6</v>
      </c>
      <c r="F134" t="s">
        <v>247</v>
      </c>
      <c r="G134">
        <v>1</v>
      </c>
      <c r="H134" t="s">
        <v>412</v>
      </c>
      <c r="I134" s="141">
        <v>0</v>
      </c>
      <c r="J134" s="141" t="s">
        <v>474</v>
      </c>
      <c r="K134" s="10"/>
      <c r="L134"/>
      <c r="M134"/>
      <c r="N134"/>
    </row>
    <row r="135" spans="1:14" ht="15" x14ac:dyDescent="0.25">
      <c r="A135" t="s">
        <v>272</v>
      </c>
      <c r="B135" t="s">
        <v>176</v>
      </c>
      <c r="C135">
        <v>6</v>
      </c>
      <c r="D135" t="s">
        <v>247</v>
      </c>
      <c r="E135">
        <v>99</v>
      </c>
      <c r="F135" t="s">
        <v>452</v>
      </c>
      <c r="G135">
        <v>1</v>
      </c>
      <c r="H135" t="s">
        <v>412</v>
      </c>
      <c r="I135" s="141">
        <v>0</v>
      </c>
      <c r="J135" s="141" t="s">
        <v>474</v>
      </c>
      <c r="K135" s="10"/>
      <c r="L135"/>
      <c r="M135"/>
      <c r="N135"/>
    </row>
    <row r="136" spans="1:14" ht="15" x14ac:dyDescent="0.25">
      <c r="A136" t="s">
        <v>271</v>
      </c>
      <c r="B136" t="s">
        <v>134</v>
      </c>
      <c r="C136">
        <v>10</v>
      </c>
      <c r="D136" t="s">
        <v>270</v>
      </c>
      <c r="E136">
        <v>10</v>
      </c>
      <c r="F136" t="s">
        <v>270</v>
      </c>
      <c r="G136">
        <v>1</v>
      </c>
      <c r="H136" t="s">
        <v>412</v>
      </c>
      <c r="I136" s="141">
        <v>0</v>
      </c>
      <c r="J136" s="141" t="s">
        <v>474</v>
      </c>
      <c r="K136" s="10"/>
      <c r="L136"/>
      <c r="M136"/>
      <c r="N136"/>
    </row>
    <row r="137" spans="1:14" ht="15" x14ac:dyDescent="0.25">
      <c r="A137" t="s">
        <v>266</v>
      </c>
      <c r="B137" t="s">
        <v>135</v>
      </c>
      <c r="C137">
        <v>11</v>
      </c>
      <c r="D137" t="s">
        <v>240</v>
      </c>
      <c r="E137">
        <v>11</v>
      </c>
      <c r="F137" t="s">
        <v>240</v>
      </c>
      <c r="G137">
        <v>1</v>
      </c>
      <c r="H137" t="s">
        <v>412</v>
      </c>
      <c r="I137" s="141">
        <v>0</v>
      </c>
      <c r="J137" s="141" t="s">
        <v>474</v>
      </c>
      <c r="K137" s="10"/>
      <c r="L137"/>
      <c r="M137"/>
      <c r="N137"/>
    </row>
    <row r="138" spans="1:14" ht="15" x14ac:dyDescent="0.25">
      <c r="A138" t="s">
        <v>268</v>
      </c>
      <c r="B138" t="s">
        <v>177</v>
      </c>
      <c r="C138">
        <v>1</v>
      </c>
      <c r="D138" t="s">
        <v>236</v>
      </c>
      <c r="E138">
        <v>1</v>
      </c>
      <c r="F138" t="s">
        <v>236</v>
      </c>
      <c r="G138">
        <v>1</v>
      </c>
      <c r="H138" t="s">
        <v>412</v>
      </c>
      <c r="I138" s="141">
        <v>0</v>
      </c>
      <c r="J138" s="141" t="s">
        <v>474</v>
      </c>
      <c r="K138" s="10"/>
      <c r="L138"/>
      <c r="M138"/>
      <c r="N138"/>
    </row>
    <row r="139" spans="1:14" ht="15" x14ac:dyDescent="0.25">
      <c r="A139" t="s">
        <v>267</v>
      </c>
      <c r="B139" t="s">
        <v>136</v>
      </c>
      <c r="C139">
        <v>11</v>
      </c>
      <c r="D139" t="s">
        <v>240</v>
      </c>
      <c r="E139">
        <v>11</v>
      </c>
      <c r="F139" t="s">
        <v>240</v>
      </c>
      <c r="G139">
        <v>1</v>
      </c>
      <c r="H139" t="s">
        <v>412</v>
      </c>
      <c r="I139" s="141">
        <v>0</v>
      </c>
      <c r="J139" s="141" t="s">
        <v>474</v>
      </c>
      <c r="K139" s="10"/>
      <c r="L139"/>
      <c r="M139"/>
      <c r="N139"/>
    </row>
    <row r="140" spans="1:14" ht="15" x14ac:dyDescent="0.25">
      <c r="A140" t="s">
        <v>265</v>
      </c>
      <c r="B140" t="s">
        <v>178</v>
      </c>
      <c r="C140">
        <v>1</v>
      </c>
      <c r="D140" t="s">
        <v>236</v>
      </c>
      <c r="E140">
        <v>1</v>
      </c>
      <c r="F140" t="s">
        <v>236</v>
      </c>
      <c r="G140">
        <v>1</v>
      </c>
      <c r="H140" t="s">
        <v>412</v>
      </c>
      <c r="I140" s="141">
        <v>0</v>
      </c>
      <c r="J140" s="141" t="s">
        <v>474</v>
      </c>
      <c r="K140" s="10"/>
      <c r="L140"/>
      <c r="M140"/>
      <c r="N140"/>
    </row>
    <row r="141" spans="1:14" ht="15" x14ac:dyDescent="0.25">
      <c r="A141" t="s">
        <v>264</v>
      </c>
      <c r="B141" t="s">
        <v>137</v>
      </c>
      <c r="C141">
        <v>2</v>
      </c>
      <c r="D141" t="s">
        <v>252</v>
      </c>
      <c r="E141">
        <v>2</v>
      </c>
      <c r="F141" t="s">
        <v>252</v>
      </c>
      <c r="G141">
        <v>1</v>
      </c>
      <c r="H141" t="s">
        <v>412</v>
      </c>
      <c r="I141" s="141">
        <v>0</v>
      </c>
      <c r="J141" s="141" t="s">
        <v>474</v>
      </c>
      <c r="K141" s="10"/>
      <c r="L141"/>
      <c r="M141"/>
      <c r="N141"/>
    </row>
    <row r="142" spans="1:14" ht="15" x14ac:dyDescent="0.25">
      <c r="A142" t="s">
        <v>263</v>
      </c>
      <c r="B142" t="s">
        <v>138</v>
      </c>
      <c r="C142">
        <v>2</v>
      </c>
      <c r="D142" t="s">
        <v>252</v>
      </c>
      <c r="E142">
        <v>2</v>
      </c>
      <c r="F142" t="s">
        <v>252</v>
      </c>
      <c r="G142">
        <v>1</v>
      </c>
      <c r="H142" t="s">
        <v>412</v>
      </c>
      <c r="I142" s="141">
        <v>0</v>
      </c>
      <c r="J142" s="141" t="s">
        <v>474</v>
      </c>
      <c r="K142" s="10"/>
      <c r="L142"/>
      <c r="M142"/>
      <c r="N142"/>
    </row>
    <row r="143" spans="1:14" ht="15" x14ac:dyDescent="0.25">
      <c r="A143" t="s">
        <v>262</v>
      </c>
      <c r="B143" t="s">
        <v>139</v>
      </c>
      <c r="C143">
        <v>2</v>
      </c>
      <c r="D143" t="s">
        <v>252</v>
      </c>
      <c r="E143">
        <v>2</v>
      </c>
      <c r="F143" t="s">
        <v>252</v>
      </c>
      <c r="G143">
        <v>3</v>
      </c>
      <c r="H143" t="s">
        <v>413</v>
      </c>
      <c r="I143" s="141">
        <v>4</v>
      </c>
      <c r="J143" s="141" t="s">
        <v>476</v>
      </c>
      <c r="K143" s="10"/>
      <c r="L143"/>
      <c r="M143"/>
      <c r="N143"/>
    </row>
    <row r="144" spans="1:14" ht="15" x14ac:dyDescent="0.25">
      <c r="A144" t="s">
        <v>261</v>
      </c>
      <c r="B144" t="s">
        <v>141</v>
      </c>
      <c r="C144">
        <v>2</v>
      </c>
      <c r="D144" t="s">
        <v>252</v>
      </c>
      <c r="E144">
        <v>2</v>
      </c>
      <c r="F144" t="s">
        <v>252</v>
      </c>
      <c r="G144">
        <v>1</v>
      </c>
      <c r="H144" t="s">
        <v>412</v>
      </c>
      <c r="I144" s="141">
        <v>0</v>
      </c>
      <c r="J144" s="141" t="s">
        <v>474</v>
      </c>
      <c r="K144" s="10"/>
      <c r="L144"/>
      <c r="M144"/>
      <c r="N144"/>
    </row>
    <row r="145" spans="1:14" ht="15" x14ac:dyDescent="0.25">
      <c r="A145" t="s">
        <v>585</v>
      </c>
      <c r="B145" t="s">
        <v>586</v>
      </c>
      <c r="C145">
        <v>2</v>
      </c>
      <c r="D145" t="s">
        <v>252</v>
      </c>
      <c r="E145">
        <v>2</v>
      </c>
      <c r="F145" t="s">
        <v>252</v>
      </c>
      <c r="G145">
        <v>1</v>
      </c>
      <c r="H145" t="s">
        <v>412</v>
      </c>
      <c r="I145" s="141">
        <v>0</v>
      </c>
      <c r="J145" s="141" t="s">
        <v>474</v>
      </c>
      <c r="K145" s="10"/>
      <c r="L145"/>
      <c r="M145"/>
      <c r="N145"/>
    </row>
    <row r="146" spans="1:14" ht="15" x14ac:dyDescent="0.25">
      <c r="A146" t="s">
        <v>328</v>
      </c>
      <c r="B146" t="s">
        <v>156</v>
      </c>
      <c r="C146">
        <v>2</v>
      </c>
      <c r="D146" t="s">
        <v>252</v>
      </c>
      <c r="E146">
        <v>2</v>
      </c>
      <c r="F146" t="s">
        <v>252</v>
      </c>
      <c r="G146">
        <v>1</v>
      </c>
      <c r="H146" t="s">
        <v>412</v>
      </c>
      <c r="I146" s="141">
        <v>0</v>
      </c>
      <c r="J146" s="141" t="s">
        <v>474</v>
      </c>
      <c r="K146" s="10"/>
      <c r="L146"/>
      <c r="M146"/>
      <c r="N146"/>
    </row>
    <row r="147" spans="1:14" ht="15" x14ac:dyDescent="0.25">
      <c r="A147" t="s">
        <v>260</v>
      </c>
      <c r="B147" t="s">
        <v>142</v>
      </c>
      <c r="C147">
        <v>1</v>
      </c>
      <c r="D147" t="s">
        <v>236</v>
      </c>
      <c r="E147">
        <v>1</v>
      </c>
      <c r="F147" t="s">
        <v>236</v>
      </c>
      <c r="G147">
        <v>1</v>
      </c>
      <c r="H147" t="s">
        <v>412</v>
      </c>
      <c r="I147" s="141">
        <v>0</v>
      </c>
      <c r="J147" s="141" t="s">
        <v>474</v>
      </c>
      <c r="K147" s="10"/>
      <c r="L147"/>
      <c r="M147"/>
      <c r="N147"/>
    </row>
    <row r="148" spans="1:14" ht="15" x14ac:dyDescent="0.25">
      <c r="A148" t="s">
        <v>259</v>
      </c>
      <c r="B148" t="s">
        <v>193</v>
      </c>
      <c r="C148">
        <v>1</v>
      </c>
      <c r="D148" t="s">
        <v>236</v>
      </c>
      <c r="E148">
        <v>99</v>
      </c>
      <c r="F148" t="s">
        <v>452</v>
      </c>
      <c r="G148">
        <v>1</v>
      </c>
      <c r="H148" t="s">
        <v>412</v>
      </c>
      <c r="I148" s="141">
        <v>0</v>
      </c>
      <c r="J148" s="141" t="s">
        <v>474</v>
      </c>
      <c r="K148" s="10"/>
      <c r="L148"/>
      <c r="M148"/>
      <c r="N148"/>
    </row>
    <row r="149" spans="1:14" ht="15" x14ac:dyDescent="0.25">
      <c r="A149" t="s">
        <v>258</v>
      </c>
      <c r="B149" t="s">
        <v>185</v>
      </c>
      <c r="C149">
        <v>1</v>
      </c>
      <c r="D149" t="s">
        <v>236</v>
      </c>
      <c r="E149">
        <v>99</v>
      </c>
      <c r="F149" t="s">
        <v>452</v>
      </c>
      <c r="G149">
        <v>1</v>
      </c>
      <c r="H149" t="s">
        <v>412</v>
      </c>
      <c r="I149" s="141">
        <v>0</v>
      </c>
      <c r="J149" s="141" t="s">
        <v>474</v>
      </c>
      <c r="K149" s="10"/>
      <c r="L149"/>
      <c r="M149"/>
      <c r="N149"/>
    </row>
    <row r="150" spans="1:14" ht="15" x14ac:dyDescent="0.25">
      <c r="A150" t="s">
        <v>257</v>
      </c>
      <c r="B150" t="s">
        <v>143</v>
      </c>
      <c r="C150">
        <v>15</v>
      </c>
      <c r="D150" t="s">
        <v>242</v>
      </c>
      <c r="E150">
        <v>15</v>
      </c>
      <c r="F150" t="s">
        <v>242</v>
      </c>
      <c r="G150">
        <v>3</v>
      </c>
      <c r="H150" t="s">
        <v>413</v>
      </c>
      <c r="I150" s="141">
        <v>4</v>
      </c>
      <c r="J150" s="141" t="s">
        <v>476</v>
      </c>
      <c r="K150" s="10"/>
      <c r="L150"/>
      <c r="M150"/>
      <c r="N150"/>
    </row>
    <row r="151" spans="1:14" ht="15" x14ac:dyDescent="0.25">
      <c r="A151" t="s">
        <v>256</v>
      </c>
      <c r="B151" t="s">
        <v>144</v>
      </c>
      <c r="C151">
        <v>6</v>
      </c>
      <c r="D151" t="s">
        <v>247</v>
      </c>
      <c r="E151">
        <v>6</v>
      </c>
      <c r="F151" t="s">
        <v>247</v>
      </c>
      <c r="G151">
        <v>4</v>
      </c>
      <c r="H151" t="s">
        <v>411</v>
      </c>
      <c r="I151" s="141">
        <v>0</v>
      </c>
      <c r="J151" s="141" t="s">
        <v>474</v>
      </c>
      <c r="K151" s="10"/>
      <c r="L151"/>
      <c r="M151"/>
      <c r="N151"/>
    </row>
    <row r="152" spans="1:14" ht="15" x14ac:dyDescent="0.25">
      <c r="A152" t="s">
        <v>255</v>
      </c>
      <c r="B152" t="s">
        <v>145</v>
      </c>
      <c r="C152">
        <v>8</v>
      </c>
      <c r="D152" t="s">
        <v>254</v>
      </c>
      <c r="E152">
        <v>8</v>
      </c>
      <c r="F152" t="s">
        <v>254</v>
      </c>
      <c r="G152">
        <v>1</v>
      </c>
      <c r="H152" t="s">
        <v>412</v>
      </c>
      <c r="I152" s="141">
        <v>0</v>
      </c>
      <c r="J152" s="141" t="s">
        <v>474</v>
      </c>
      <c r="K152" s="10"/>
      <c r="L152"/>
      <c r="M152"/>
      <c r="N152"/>
    </row>
    <row r="153" spans="1:14" ht="15" x14ac:dyDescent="0.25">
      <c r="A153" t="s">
        <v>253</v>
      </c>
      <c r="B153" t="s">
        <v>186</v>
      </c>
      <c r="C153">
        <v>2</v>
      </c>
      <c r="D153" t="s">
        <v>252</v>
      </c>
      <c r="E153">
        <v>2</v>
      </c>
      <c r="F153" t="s">
        <v>252</v>
      </c>
      <c r="G153">
        <v>1</v>
      </c>
      <c r="H153" t="s">
        <v>412</v>
      </c>
      <c r="I153" s="141">
        <v>0</v>
      </c>
      <c r="J153" s="141" t="s">
        <v>474</v>
      </c>
      <c r="K153" s="10"/>
      <c r="L153"/>
      <c r="M153"/>
      <c r="N153"/>
    </row>
    <row r="154" spans="1:14" ht="15" x14ac:dyDescent="0.25">
      <c r="A154" t="s">
        <v>251</v>
      </c>
      <c r="B154" t="s">
        <v>146</v>
      </c>
      <c r="C154">
        <v>7</v>
      </c>
      <c r="D154" t="s">
        <v>250</v>
      </c>
      <c r="E154">
        <v>1</v>
      </c>
      <c r="F154" t="s">
        <v>236</v>
      </c>
      <c r="G154">
        <v>1</v>
      </c>
      <c r="H154" t="s">
        <v>412</v>
      </c>
      <c r="I154" s="141">
        <v>0</v>
      </c>
      <c r="J154" s="141" t="s">
        <v>474</v>
      </c>
      <c r="K154" s="10"/>
      <c r="L154"/>
      <c r="M154"/>
      <c r="N154"/>
    </row>
    <row r="155" spans="1:14" ht="15" x14ac:dyDescent="0.25">
      <c r="A155" t="s">
        <v>249</v>
      </c>
      <c r="B155" t="s">
        <v>147</v>
      </c>
      <c r="C155">
        <v>1</v>
      </c>
      <c r="D155" t="s">
        <v>236</v>
      </c>
      <c r="E155">
        <v>1</v>
      </c>
      <c r="F155" t="s">
        <v>236</v>
      </c>
      <c r="G155">
        <v>3</v>
      </c>
      <c r="H155" t="s">
        <v>413</v>
      </c>
      <c r="I155" s="141">
        <v>4</v>
      </c>
      <c r="J155" s="141" t="s">
        <v>476</v>
      </c>
      <c r="K155" s="10"/>
      <c r="L155"/>
      <c r="M155"/>
      <c r="N155"/>
    </row>
    <row r="156" spans="1:14" ht="15" x14ac:dyDescent="0.25">
      <c r="A156" t="s">
        <v>248</v>
      </c>
      <c r="B156" t="s">
        <v>148</v>
      </c>
      <c r="C156">
        <v>6</v>
      </c>
      <c r="D156" t="s">
        <v>247</v>
      </c>
      <c r="E156">
        <v>6</v>
      </c>
      <c r="F156" t="s">
        <v>247</v>
      </c>
      <c r="G156">
        <v>1</v>
      </c>
      <c r="H156" t="s">
        <v>412</v>
      </c>
      <c r="I156" s="141">
        <v>0</v>
      </c>
      <c r="J156" s="141" t="s">
        <v>474</v>
      </c>
      <c r="K156" s="10"/>
      <c r="L156"/>
      <c r="M156"/>
      <c r="N156"/>
    </row>
    <row r="157" spans="1:14" ht="15" x14ac:dyDescent="0.25">
      <c r="A157" t="s">
        <v>245</v>
      </c>
      <c r="B157" t="s">
        <v>187</v>
      </c>
      <c r="C157">
        <v>17</v>
      </c>
      <c r="D157" t="s">
        <v>244</v>
      </c>
      <c r="E157">
        <v>99</v>
      </c>
      <c r="F157" t="s">
        <v>452</v>
      </c>
      <c r="G157">
        <v>1</v>
      </c>
      <c r="H157" t="s">
        <v>412</v>
      </c>
      <c r="I157" s="141">
        <v>0</v>
      </c>
      <c r="J157" s="141" t="s">
        <v>474</v>
      </c>
      <c r="K157" s="10"/>
      <c r="L157"/>
      <c r="M157"/>
      <c r="N157"/>
    </row>
    <row r="158" spans="1:14" ht="15" x14ac:dyDescent="0.25">
      <c r="A158" t="s">
        <v>243</v>
      </c>
      <c r="B158" t="s">
        <v>188</v>
      </c>
      <c r="C158">
        <v>15</v>
      </c>
      <c r="D158" t="s">
        <v>242</v>
      </c>
      <c r="E158">
        <v>99</v>
      </c>
      <c r="F158" t="s">
        <v>452</v>
      </c>
      <c r="G158">
        <v>1</v>
      </c>
      <c r="H158" t="s">
        <v>412</v>
      </c>
      <c r="I158" s="141">
        <v>0</v>
      </c>
      <c r="J158" s="141" t="s">
        <v>474</v>
      </c>
      <c r="K158" s="10"/>
      <c r="L158"/>
      <c r="M158"/>
      <c r="N158"/>
    </row>
    <row r="159" spans="1:14" ht="15" x14ac:dyDescent="0.25">
      <c r="A159" t="s">
        <v>241</v>
      </c>
      <c r="B159" t="s">
        <v>149</v>
      </c>
      <c r="C159">
        <v>11</v>
      </c>
      <c r="D159" t="s">
        <v>240</v>
      </c>
      <c r="E159">
        <v>11</v>
      </c>
      <c r="F159" t="s">
        <v>240</v>
      </c>
      <c r="G159">
        <v>4</v>
      </c>
      <c r="H159" t="s">
        <v>411</v>
      </c>
      <c r="I159" s="141">
        <v>0</v>
      </c>
      <c r="J159" s="141" t="s">
        <v>474</v>
      </c>
      <c r="K159" s="10"/>
      <c r="L159"/>
      <c r="M159"/>
      <c r="N159"/>
    </row>
    <row r="160" spans="1:14" ht="15" x14ac:dyDescent="0.25">
      <c r="A160" t="s">
        <v>239</v>
      </c>
      <c r="B160" t="s">
        <v>150</v>
      </c>
      <c r="C160">
        <v>13</v>
      </c>
      <c r="D160" t="s">
        <v>238</v>
      </c>
      <c r="E160">
        <v>13</v>
      </c>
      <c r="F160" t="s">
        <v>238</v>
      </c>
      <c r="G160">
        <v>4</v>
      </c>
      <c r="H160" t="s">
        <v>411</v>
      </c>
      <c r="I160" s="141">
        <v>0</v>
      </c>
      <c r="J160" s="141" t="s">
        <v>474</v>
      </c>
      <c r="K160" s="10"/>
      <c r="L160"/>
      <c r="M160"/>
      <c r="N160"/>
    </row>
    <row r="161" spans="1:11" ht="15" x14ac:dyDescent="0.25">
      <c r="A161"/>
      <c r="B161"/>
      <c r="C161"/>
      <c r="D161"/>
      <c r="E161"/>
      <c r="F161"/>
      <c r="G161"/>
      <c r="H161"/>
      <c r="K161" s="232"/>
    </row>
    <row r="162" spans="1:11" ht="15" x14ac:dyDescent="0.25">
      <c r="A162"/>
      <c r="B162"/>
      <c r="C162"/>
      <c r="D162"/>
      <c r="E162"/>
      <c r="F162"/>
      <c r="G162"/>
      <c r="H162"/>
      <c r="K162" s="232"/>
    </row>
    <row r="163" spans="1:11" ht="15" x14ac:dyDescent="0.25">
      <c r="A163"/>
      <c r="B163"/>
      <c r="C163"/>
      <c r="D163"/>
      <c r="E163"/>
      <c r="F163"/>
      <c r="G163"/>
      <c r="H163"/>
      <c r="K163" s="232"/>
    </row>
    <row r="164" spans="1:11" ht="15" x14ac:dyDescent="0.25">
      <c r="A164"/>
      <c r="B164"/>
      <c r="C164"/>
      <c r="D164"/>
      <c r="E164"/>
      <c r="F164"/>
      <c r="G164"/>
      <c r="H164"/>
    </row>
    <row r="165" spans="1:11" ht="15" x14ac:dyDescent="0.25">
      <c r="A165"/>
      <c r="B165"/>
      <c r="C165"/>
      <c r="D165"/>
      <c r="E165"/>
      <c r="F165"/>
      <c r="G165"/>
      <c r="H165"/>
    </row>
    <row r="166" spans="1:11" ht="15" x14ac:dyDescent="0.25">
      <c r="A166"/>
      <c r="B166"/>
      <c r="C166"/>
      <c r="D166"/>
      <c r="E166"/>
      <c r="F166"/>
      <c r="G166"/>
      <c r="H166"/>
    </row>
    <row r="167" spans="1:11" ht="15" x14ac:dyDescent="0.25">
      <c r="A167"/>
      <c r="B167"/>
      <c r="C167"/>
      <c r="D167"/>
      <c r="E167"/>
      <c r="F167"/>
      <c r="G167"/>
      <c r="H167"/>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43"/>
  <sheetViews>
    <sheetView zoomScale="90" zoomScaleNormal="90" workbookViewId="0"/>
  </sheetViews>
  <sheetFormatPr defaultRowHeight="15" x14ac:dyDescent="0.25"/>
  <cols>
    <col min="1" max="6" width="4.42578125" customWidth="1"/>
    <col min="7" max="7" width="77.42578125" customWidth="1"/>
    <col min="8" max="13" width="14.7109375" customWidth="1"/>
    <col min="14" max="17" width="12.85546875" customWidth="1"/>
    <col min="18" max="18" width="13.5703125" customWidth="1"/>
    <col min="19" max="22" width="11" bestFit="1" customWidth="1"/>
  </cols>
  <sheetData>
    <row r="2" spans="1:22" x14ac:dyDescent="0.25">
      <c r="A2" s="24"/>
      <c r="S2" s="112"/>
      <c r="T2" s="112"/>
      <c r="U2" s="112"/>
      <c r="V2" s="112"/>
    </row>
    <row r="3" spans="1:22" x14ac:dyDescent="0.25">
      <c r="A3" s="44" t="s">
        <v>677</v>
      </c>
    </row>
    <row r="4" spans="1:22" ht="75" x14ac:dyDescent="0.25">
      <c r="A4" s="56"/>
      <c r="B4" s="57"/>
      <c r="C4" s="57"/>
      <c r="D4" s="57"/>
      <c r="E4" s="57"/>
      <c r="F4" s="57"/>
      <c r="G4" s="58"/>
      <c r="H4" s="73" t="s">
        <v>215</v>
      </c>
      <c r="I4" s="73" t="s">
        <v>215</v>
      </c>
      <c r="J4" s="73" t="s">
        <v>215</v>
      </c>
      <c r="K4" s="73" t="s">
        <v>215</v>
      </c>
      <c r="L4" s="73" t="s">
        <v>215</v>
      </c>
      <c r="M4" s="73" t="s">
        <v>215</v>
      </c>
      <c r="N4" s="59" t="s">
        <v>678</v>
      </c>
      <c r="O4" s="60" t="s">
        <v>426</v>
      </c>
      <c r="P4" s="60" t="s">
        <v>423</v>
      </c>
      <c r="Q4" s="60" t="s">
        <v>424</v>
      </c>
      <c r="R4" s="61" t="s">
        <v>425</v>
      </c>
    </row>
    <row r="5" spans="1:22" ht="15" customHeight="1" x14ac:dyDescent="0.25">
      <c r="A5" s="241" t="s">
        <v>216</v>
      </c>
      <c r="B5" s="242"/>
      <c r="C5" s="242"/>
      <c r="D5" s="242"/>
      <c r="E5" s="242"/>
      <c r="F5" s="242"/>
      <c r="G5" s="243"/>
      <c r="H5" s="77">
        <f>I6+H20</f>
        <v>1896825916</v>
      </c>
      <c r="I5" s="75"/>
      <c r="J5" s="75"/>
      <c r="K5" s="75"/>
      <c r="L5" s="75"/>
      <c r="M5" s="75"/>
      <c r="N5" s="92"/>
      <c r="O5" s="50"/>
      <c r="P5" s="93"/>
      <c r="Q5" s="93"/>
      <c r="R5" s="94"/>
    </row>
    <row r="6" spans="1:22" ht="15" customHeight="1" x14ac:dyDescent="0.25">
      <c r="A6" s="72"/>
      <c r="B6" s="239" t="s">
        <v>420</v>
      </c>
      <c r="C6" s="239"/>
      <c r="D6" s="239"/>
      <c r="E6" s="239"/>
      <c r="F6" s="239"/>
      <c r="G6" s="240"/>
      <c r="H6" s="76"/>
      <c r="I6" s="85">
        <v>1866385000</v>
      </c>
      <c r="J6" s="75"/>
      <c r="K6" s="75"/>
      <c r="L6" s="75"/>
      <c r="M6" s="75"/>
      <c r="N6" s="51">
        <f>I6/I$6</f>
        <v>1</v>
      </c>
      <c r="O6" s="52"/>
      <c r="P6" s="52"/>
      <c r="Q6" s="52"/>
      <c r="R6" s="62"/>
    </row>
    <row r="7" spans="1:22" ht="15" customHeight="1" x14ac:dyDescent="0.25">
      <c r="A7" s="72"/>
      <c r="B7" s="210"/>
      <c r="C7" s="239" t="s">
        <v>421</v>
      </c>
      <c r="D7" s="239"/>
      <c r="E7" s="239"/>
      <c r="F7" s="239"/>
      <c r="G7" s="240"/>
      <c r="H7" s="77"/>
      <c r="I7" s="74"/>
      <c r="J7" s="75">
        <f>I6-H21</f>
        <v>1851385000</v>
      </c>
      <c r="K7" s="75"/>
      <c r="L7" s="75"/>
      <c r="M7" s="75"/>
      <c r="N7" s="51">
        <f>J7/I$6</f>
        <v>0.99196307299940789</v>
      </c>
      <c r="O7" s="53">
        <f>J7/J$7</f>
        <v>1</v>
      </c>
      <c r="P7" s="53"/>
      <c r="Q7" s="52"/>
      <c r="R7" s="62"/>
    </row>
    <row r="8" spans="1:22" ht="15" customHeight="1" x14ac:dyDescent="0.25">
      <c r="A8" s="72"/>
      <c r="B8" s="210"/>
      <c r="C8" s="210"/>
      <c r="D8" s="239" t="s">
        <v>422</v>
      </c>
      <c r="E8" s="239"/>
      <c r="F8" s="239"/>
      <c r="G8" s="240"/>
      <c r="H8" s="77"/>
      <c r="I8" s="75"/>
      <c r="J8" s="75"/>
      <c r="K8" s="75">
        <f>ROUND(J7*O8,0)</f>
        <v>1295969500</v>
      </c>
      <c r="L8" s="75"/>
      <c r="M8" s="75"/>
      <c r="N8" s="51">
        <f>K8/I$6</f>
        <v>0.69437415109958556</v>
      </c>
      <c r="O8" s="80">
        <v>0.7</v>
      </c>
      <c r="P8" s="53">
        <f>K8/K$8</f>
        <v>1</v>
      </c>
      <c r="Q8" s="52"/>
      <c r="R8" s="62"/>
    </row>
    <row r="9" spans="1:22" ht="15" customHeight="1" x14ac:dyDescent="0.25">
      <c r="A9" s="72"/>
      <c r="B9" s="210"/>
      <c r="C9" s="210"/>
      <c r="D9" s="47"/>
      <c r="E9" s="239" t="s">
        <v>439</v>
      </c>
      <c r="F9" s="239"/>
      <c r="G9" s="240"/>
      <c r="H9" s="77"/>
      <c r="I9" s="75"/>
      <c r="J9" s="75"/>
      <c r="K9" s="75"/>
      <c r="L9" s="75">
        <f>K8-H22</f>
        <v>1275969500</v>
      </c>
      <c r="M9" s="75"/>
      <c r="N9" s="51">
        <f>L9/I$6</f>
        <v>0.68365824843212952</v>
      </c>
      <c r="O9" s="52">
        <f>L9/J$7</f>
        <v>0.68919727663343933</v>
      </c>
      <c r="P9" s="53">
        <f>L9/K$8</f>
        <v>0.98456753804777042</v>
      </c>
      <c r="Q9" s="53"/>
      <c r="R9" s="62"/>
    </row>
    <row r="10" spans="1:22" ht="15" customHeight="1" x14ac:dyDescent="0.25">
      <c r="A10" s="72"/>
      <c r="B10" s="210"/>
      <c r="C10" s="210"/>
      <c r="D10" s="47"/>
      <c r="E10" s="239" t="s">
        <v>427</v>
      </c>
      <c r="F10" s="239"/>
      <c r="G10" s="240"/>
      <c r="H10" s="77"/>
      <c r="I10" s="75"/>
      <c r="J10" s="75"/>
      <c r="K10" s="75"/>
      <c r="L10" s="75">
        <f>K8-H22-H23</f>
        <v>1165969500</v>
      </c>
      <c r="M10" s="71"/>
      <c r="N10" s="51">
        <f>L10/I$6</f>
        <v>0.62472078376112106</v>
      </c>
      <c r="O10" s="52">
        <f>L10/J$7</f>
        <v>0.62978229811735542</v>
      </c>
      <c r="P10" s="53">
        <f>L10/K$8</f>
        <v>0.89968899731050767</v>
      </c>
      <c r="Q10" s="52"/>
      <c r="R10" s="62"/>
    </row>
    <row r="11" spans="1:22" ht="15" customHeight="1" x14ac:dyDescent="0.25">
      <c r="A11" s="72"/>
      <c r="B11" s="210"/>
      <c r="C11" s="47"/>
      <c r="D11" s="239" t="s">
        <v>214</v>
      </c>
      <c r="E11" s="239"/>
      <c r="F11" s="239"/>
      <c r="G11" s="240"/>
      <c r="H11" s="77"/>
      <c r="I11" s="75"/>
      <c r="J11" s="75"/>
      <c r="K11" s="75">
        <f>ROUND(J7*O11,0)</f>
        <v>370277000</v>
      </c>
      <c r="L11" s="75"/>
      <c r="M11" s="75"/>
      <c r="N11" s="51">
        <f>K11/I$6</f>
        <v>0.19839261459988158</v>
      </c>
      <c r="O11" s="81">
        <v>0.2</v>
      </c>
      <c r="P11" s="83"/>
      <c r="Q11" s="52"/>
      <c r="R11" s="62"/>
    </row>
    <row r="12" spans="1:22" ht="15" customHeight="1" x14ac:dyDescent="0.25">
      <c r="A12" s="72"/>
      <c r="B12" s="210"/>
      <c r="C12" s="47"/>
      <c r="D12" s="239" t="s">
        <v>414</v>
      </c>
      <c r="E12" s="239"/>
      <c r="F12" s="239"/>
      <c r="G12" s="240"/>
      <c r="H12" s="77"/>
      <c r="I12" s="75"/>
      <c r="J12" s="75"/>
      <c r="K12" s="75">
        <f>ROUND(J7*O12,0)</f>
        <v>185138500</v>
      </c>
      <c r="L12" s="75"/>
      <c r="M12" s="75"/>
      <c r="N12" s="51">
        <f>K12/I$6</f>
        <v>9.9196307299940792E-2</v>
      </c>
      <c r="O12" s="81">
        <v>0.1</v>
      </c>
      <c r="P12" s="83"/>
      <c r="Q12" s="52">
        <f>K12/K$12</f>
        <v>1</v>
      </c>
      <c r="R12" s="62"/>
    </row>
    <row r="13" spans="1:22" ht="15" customHeight="1" x14ac:dyDescent="0.25">
      <c r="A13" s="72"/>
      <c r="B13" s="48"/>
      <c r="C13" s="47"/>
      <c r="D13" s="210"/>
      <c r="E13" s="239" t="s">
        <v>218</v>
      </c>
      <c r="F13" s="239"/>
      <c r="G13" s="240"/>
      <c r="H13" s="77"/>
      <c r="I13" s="75"/>
      <c r="J13" s="75"/>
      <c r="K13" s="75"/>
      <c r="L13" s="75">
        <f>K12*Q13</f>
        <v>138853875</v>
      </c>
      <c r="M13" s="75"/>
      <c r="N13" s="51">
        <f>L13/I$6</f>
        <v>7.4397230474955597E-2</v>
      </c>
      <c r="O13" s="53">
        <f>L13/J$7</f>
        <v>7.4999999999999997E-2</v>
      </c>
      <c r="P13" s="83"/>
      <c r="Q13" s="87">
        <f>3/4</f>
        <v>0.75</v>
      </c>
      <c r="R13" s="62"/>
    </row>
    <row r="14" spans="1:22" ht="15" hidden="1" customHeight="1" x14ac:dyDescent="0.25">
      <c r="A14" s="72"/>
      <c r="B14" s="48"/>
      <c r="C14" s="47"/>
      <c r="D14" s="210"/>
      <c r="E14" s="239" t="s">
        <v>429</v>
      </c>
      <c r="F14" s="239"/>
      <c r="G14" s="240"/>
      <c r="H14" s="77"/>
      <c r="I14" s="75"/>
      <c r="J14" s="75"/>
      <c r="K14" s="75"/>
      <c r="L14" s="75">
        <f>K13*Q14</f>
        <v>0</v>
      </c>
      <c r="M14" s="75"/>
      <c r="N14" s="51">
        <f>L14/I$6</f>
        <v>0</v>
      </c>
      <c r="O14" s="53">
        <f>L14/J$7</f>
        <v>0</v>
      </c>
      <c r="P14" s="83"/>
      <c r="Q14" s="87">
        <f>0</f>
        <v>0</v>
      </c>
      <c r="R14" s="62"/>
    </row>
    <row r="15" spans="1:22" s="44" customFormat="1" ht="15" customHeight="1" x14ac:dyDescent="0.25">
      <c r="A15" s="63"/>
      <c r="B15" s="48"/>
      <c r="C15" s="47"/>
      <c r="D15" s="210"/>
      <c r="E15" s="239" t="s">
        <v>416</v>
      </c>
      <c r="F15" s="239"/>
      <c r="G15" s="240"/>
      <c r="H15" s="77"/>
      <c r="I15" s="75"/>
      <c r="J15" s="75"/>
      <c r="K15" s="75"/>
      <c r="L15" s="75">
        <f>K12*Q15</f>
        <v>46284625</v>
      </c>
      <c r="M15" s="75"/>
      <c r="N15" s="51">
        <f>L15/I$6</f>
        <v>2.4799076824985198E-2</v>
      </c>
      <c r="O15" s="53">
        <f>L15/J$7</f>
        <v>2.5000000000000001E-2</v>
      </c>
      <c r="P15" s="83"/>
      <c r="Q15" s="87">
        <f>1/4</f>
        <v>0.25</v>
      </c>
      <c r="R15" s="62">
        <f>L15/L$15</f>
        <v>1</v>
      </c>
    </row>
    <row r="16" spans="1:22" s="44" customFormat="1" ht="15" customHeight="1" x14ac:dyDescent="0.25">
      <c r="A16" s="63"/>
      <c r="B16" s="210"/>
      <c r="C16" s="47"/>
      <c r="D16" s="210"/>
      <c r="E16" s="210"/>
      <c r="F16" s="239" t="s">
        <v>22</v>
      </c>
      <c r="G16" s="240"/>
      <c r="H16" s="77"/>
      <c r="I16" s="75"/>
      <c r="J16" s="75"/>
      <c r="K16" s="75"/>
      <c r="L16" s="75"/>
      <c r="M16" s="75">
        <f>ROUND(L15*R16,0)</f>
        <v>11571156</v>
      </c>
      <c r="N16" s="51">
        <f>M16/I$6</f>
        <v>6.199769072297516E-3</v>
      </c>
      <c r="O16" s="53">
        <f>M16/J$7</f>
        <v>6.2499998649659582E-3</v>
      </c>
      <c r="P16" s="83"/>
      <c r="Q16" s="52">
        <f>M16/K$12</f>
        <v>6.2499998649659577E-2</v>
      </c>
      <c r="R16" s="82">
        <f>1/4</f>
        <v>0.25</v>
      </c>
    </row>
    <row r="17" spans="1:18" ht="15" customHeight="1" x14ac:dyDescent="0.25">
      <c r="A17" s="72"/>
      <c r="B17" s="210"/>
      <c r="C17" s="47"/>
      <c r="D17" s="210"/>
      <c r="E17" s="210"/>
      <c r="F17" s="239" t="s">
        <v>417</v>
      </c>
      <c r="G17" s="240"/>
      <c r="H17" s="77"/>
      <c r="I17" s="75"/>
      <c r="J17" s="75"/>
      <c r="K17" s="75"/>
      <c r="L17" s="75"/>
      <c r="M17" s="75">
        <f>ROUND(L15*R17,0)</f>
        <v>34713469</v>
      </c>
      <c r="N17" s="51">
        <f>M17/I$6</f>
        <v>1.8599307752687682E-2</v>
      </c>
      <c r="O17" s="53">
        <f>M17/J$7</f>
        <v>1.8750000135034042E-2</v>
      </c>
      <c r="P17" s="83"/>
      <c r="Q17" s="52">
        <f>M17/K$12</f>
        <v>0.18750000135034042</v>
      </c>
      <c r="R17" s="82">
        <f>3/4</f>
        <v>0.75</v>
      </c>
    </row>
    <row r="18" spans="1:18" ht="15" customHeight="1" x14ac:dyDescent="0.25">
      <c r="A18" s="72"/>
      <c r="B18" s="210"/>
      <c r="C18" s="239" t="s">
        <v>217</v>
      </c>
      <c r="D18" s="239"/>
      <c r="E18" s="239"/>
      <c r="F18" s="239"/>
      <c r="G18" s="240"/>
      <c r="H18" s="77"/>
      <c r="I18" s="75"/>
      <c r="J18" s="75">
        <f>J7+H20</f>
        <v>1881825916</v>
      </c>
      <c r="K18" s="75"/>
      <c r="L18" s="75"/>
      <c r="M18" s="75"/>
      <c r="N18" s="51"/>
      <c r="O18" s="52"/>
      <c r="P18" s="84"/>
      <c r="Q18" s="52"/>
      <c r="R18" s="62"/>
    </row>
    <row r="19" spans="1:18" ht="15" customHeight="1" x14ac:dyDescent="0.25">
      <c r="A19" s="55"/>
      <c r="B19" s="45"/>
      <c r="C19" s="244" t="s">
        <v>428</v>
      </c>
      <c r="D19" s="244"/>
      <c r="E19" s="244"/>
      <c r="F19" s="244"/>
      <c r="G19" s="245"/>
      <c r="H19" s="75"/>
      <c r="I19" s="75"/>
      <c r="J19" s="75">
        <f>J7-H22-H23</f>
        <v>1721385000</v>
      </c>
      <c r="K19" s="75"/>
      <c r="L19" s="75"/>
      <c r="M19" s="75"/>
      <c r="N19" s="51">
        <f>J19/I$6</f>
        <v>0.9223097056609435</v>
      </c>
      <c r="O19" s="130">
        <f>J19/J$7</f>
        <v>0.92978229811735535</v>
      </c>
      <c r="P19" s="79"/>
      <c r="Q19" s="79"/>
      <c r="R19" s="78"/>
    </row>
    <row r="20" spans="1:18" ht="15" customHeight="1" x14ac:dyDescent="0.25">
      <c r="A20" s="54"/>
      <c r="B20" s="49"/>
      <c r="C20" s="49"/>
      <c r="D20" s="49"/>
      <c r="E20" s="49"/>
      <c r="F20" s="242" t="s">
        <v>676</v>
      </c>
      <c r="G20" s="243"/>
      <c r="H20" s="86">
        <v>30440916</v>
      </c>
      <c r="I20" s="95"/>
      <c r="J20" s="95"/>
      <c r="K20" s="95"/>
      <c r="L20" s="95"/>
      <c r="M20" s="95"/>
      <c r="N20" s="64"/>
      <c r="O20" s="65"/>
      <c r="P20" s="65"/>
      <c r="Q20" s="65"/>
      <c r="R20" s="66"/>
    </row>
    <row r="21" spans="1:18" ht="15" customHeight="1" x14ac:dyDescent="0.25">
      <c r="A21" s="55"/>
      <c r="B21" s="45"/>
      <c r="C21" s="45"/>
      <c r="D21" s="45"/>
      <c r="E21" s="45"/>
      <c r="F21" s="239" t="s">
        <v>702</v>
      </c>
      <c r="G21" s="240"/>
      <c r="H21" s="85">
        <v>15000000</v>
      </c>
      <c r="I21" s="77"/>
      <c r="J21" s="77"/>
      <c r="K21" s="77"/>
      <c r="L21" s="77">
        <v>1000000</v>
      </c>
      <c r="M21" s="77"/>
      <c r="N21" s="68">
        <f>H21/I$6</f>
        <v>8.0369270005920534E-3</v>
      </c>
      <c r="O21" s="52"/>
      <c r="P21" s="52"/>
      <c r="Q21" s="52"/>
      <c r="R21" s="62"/>
    </row>
    <row r="22" spans="1:18" ht="15" customHeight="1" x14ac:dyDescent="0.25">
      <c r="A22" s="55"/>
      <c r="B22" s="45"/>
      <c r="C22" s="45"/>
      <c r="D22" s="45"/>
      <c r="E22" s="45"/>
      <c r="F22" s="239" t="s">
        <v>703</v>
      </c>
      <c r="G22" s="240"/>
      <c r="H22" s="85">
        <v>20000000</v>
      </c>
      <c r="I22" s="77"/>
      <c r="J22" s="77"/>
      <c r="K22" s="77"/>
      <c r="L22" s="77"/>
      <c r="M22" s="77"/>
      <c r="N22" s="68">
        <f>H22/I$6</f>
        <v>1.0715902667456071E-2</v>
      </c>
      <c r="O22" s="52">
        <f>H22/J$7</f>
        <v>1.0802723366560711E-2</v>
      </c>
      <c r="P22" s="52">
        <f>H22/K$8</f>
        <v>1.5432461952229585E-2</v>
      </c>
      <c r="Q22" s="52"/>
      <c r="R22" s="62"/>
    </row>
    <row r="23" spans="1:18" ht="15" customHeight="1" x14ac:dyDescent="0.25">
      <c r="A23" s="55"/>
      <c r="B23" s="45"/>
      <c r="C23" s="45"/>
      <c r="D23" s="45"/>
      <c r="E23" s="45"/>
      <c r="F23" s="239" t="s">
        <v>704</v>
      </c>
      <c r="G23" s="240"/>
      <c r="H23" s="85">
        <v>110000000</v>
      </c>
      <c r="I23" s="77"/>
      <c r="J23" s="77"/>
      <c r="K23" s="77"/>
      <c r="L23" s="77"/>
      <c r="M23" s="77"/>
      <c r="N23" s="68">
        <f>H23/I$6</f>
        <v>5.8937464671008397E-2</v>
      </c>
      <c r="O23" s="52">
        <f>H23/J$7</f>
        <v>5.9414978516083905E-2</v>
      </c>
      <c r="P23" s="52">
        <f>H23/K$8</f>
        <v>8.4878540737262725E-2</v>
      </c>
      <c r="Q23" s="52"/>
      <c r="R23" s="62"/>
    </row>
    <row r="24" spans="1:18" ht="15" customHeight="1" x14ac:dyDescent="0.25">
      <c r="A24" s="55"/>
      <c r="B24" s="45"/>
      <c r="C24" s="45"/>
      <c r="D24" s="45"/>
      <c r="E24" s="45"/>
      <c r="F24" s="210"/>
      <c r="G24" s="229" t="s">
        <v>687</v>
      </c>
      <c r="H24" s="77">
        <v>80000000</v>
      </c>
      <c r="I24" s="77"/>
      <c r="J24" s="77"/>
      <c r="K24" s="77"/>
      <c r="L24" s="77"/>
      <c r="M24" s="77"/>
      <c r="N24" s="68">
        <f t="shared" ref="N24:N25" si="0">H24/I$6</f>
        <v>4.2863610669824283E-2</v>
      </c>
      <c r="O24" s="52">
        <f t="shared" ref="O24:O25" si="1">H24/J$7</f>
        <v>4.3210893466242843E-2</v>
      </c>
      <c r="P24" s="52">
        <f t="shared" ref="P24:P25" si="2">H24/K$8</f>
        <v>6.1729847808918339E-2</v>
      </c>
      <c r="Q24" s="52"/>
      <c r="R24" s="62"/>
    </row>
    <row r="25" spans="1:18" x14ac:dyDescent="0.25">
      <c r="A25" s="228"/>
      <c r="B25" s="46"/>
      <c r="C25" s="46"/>
      <c r="D25" s="46"/>
      <c r="E25" s="46"/>
      <c r="F25" s="46"/>
      <c r="G25" s="230" t="s">
        <v>705</v>
      </c>
      <c r="H25" s="238">
        <v>30000000</v>
      </c>
      <c r="I25" s="46"/>
      <c r="J25" s="46"/>
      <c r="K25" s="46"/>
      <c r="L25" s="46"/>
      <c r="M25" s="46"/>
      <c r="N25" s="69">
        <f t="shared" si="0"/>
        <v>1.6073854001184107E-2</v>
      </c>
      <c r="O25" s="67">
        <f t="shared" si="1"/>
        <v>1.6204085049841065E-2</v>
      </c>
      <c r="P25" s="67">
        <f t="shared" si="2"/>
        <v>2.3148692928344379E-2</v>
      </c>
      <c r="Q25" s="46"/>
      <c r="R25" s="181"/>
    </row>
    <row r="26" spans="1:18" x14ac:dyDescent="0.25">
      <c r="A26" s="236"/>
      <c r="B26" s="45"/>
      <c r="C26" s="45"/>
      <c r="D26" s="45"/>
      <c r="E26" s="45"/>
      <c r="F26" s="45"/>
      <c r="G26" s="237"/>
      <c r="H26" s="77"/>
      <c r="I26" s="45"/>
      <c r="J26" s="45"/>
      <c r="K26" s="45"/>
      <c r="L26" s="45"/>
      <c r="M26" s="45"/>
      <c r="N26" s="52"/>
      <c r="O26" s="52"/>
      <c r="P26" s="52"/>
      <c r="Q26" s="45"/>
      <c r="R26" s="45"/>
    </row>
    <row r="27" spans="1:18" x14ac:dyDescent="0.25">
      <c r="A27" s="44" t="s">
        <v>701</v>
      </c>
      <c r="C27" s="109"/>
      <c r="D27" s="109"/>
      <c r="E27" s="109"/>
      <c r="F27" s="109"/>
      <c r="L27" s="162"/>
    </row>
    <row r="28" spans="1:18" x14ac:dyDescent="0.25">
      <c r="B28" s="109" t="s">
        <v>688</v>
      </c>
      <c r="C28" s="109"/>
      <c r="E28" s="109"/>
      <c r="F28" s="109"/>
      <c r="H28" s="162">
        <f>K8-H24</f>
        <v>1215969500</v>
      </c>
      <c r="K28" s="162"/>
    </row>
    <row r="29" spans="1:18" x14ac:dyDescent="0.25">
      <c r="A29" s="109"/>
      <c r="B29" s="109"/>
      <c r="C29" s="246" t="s">
        <v>689</v>
      </c>
      <c r="D29" s="246"/>
      <c r="E29" s="246"/>
      <c r="F29" s="246"/>
      <c r="G29" s="246"/>
      <c r="H29" s="231">
        <f>H25/H28</f>
        <v>2.4671671452285604E-2</v>
      </c>
      <c r="L29" s="162"/>
    </row>
    <row r="30" spans="1:18" x14ac:dyDescent="0.25">
      <c r="A30" s="109"/>
      <c r="B30" s="247" t="s">
        <v>690</v>
      </c>
      <c r="C30" s="247"/>
      <c r="D30" s="247"/>
      <c r="E30" s="247"/>
      <c r="F30" s="247"/>
      <c r="G30" s="247"/>
      <c r="H30" s="162">
        <v>179500</v>
      </c>
    </row>
    <row r="31" spans="1:18" x14ac:dyDescent="0.25">
      <c r="A31" s="109"/>
      <c r="B31" s="109"/>
      <c r="C31" s="246" t="s">
        <v>692</v>
      </c>
      <c r="D31" s="246"/>
      <c r="E31" s="246"/>
      <c r="F31" s="246"/>
      <c r="G31" s="246"/>
      <c r="H31" s="162">
        <f>ROUND(H29*H30,0)</f>
        <v>4429</v>
      </c>
    </row>
    <row r="32" spans="1:18" x14ac:dyDescent="0.25">
      <c r="A32" s="109"/>
      <c r="B32" s="109"/>
      <c r="C32" s="246" t="s">
        <v>695</v>
      </c>
      <c r="D32" s="246"/>
      <c r="E32" s="246"/>
      <c r="F32" s="246"/>
      <c r="G32" s="246"/>
      <c r="H32" s="162">
        <v>159291</v>
      </c>
    </row>
    <row r="33" spans="1:13" ht="30" customHeight="1" x14ac:dyDescent="0.25">
      <c r="A33" s="109"/>
      <c r="B33" s="109"/>
      <c r="C33" s="109"/>
      <c r="D33" s="248" t="s">
        <v>694</v>
      </c>
      <c r="E33" s="248"/>
      <c r="F33" s="248"/>
      <c r="G33" s="248"/>
      <c r="H33" s="162">
        <f>H30-H32-H31</f>
        <v>15780</v>
      </c>
    </row>
    <row r="34" spans="1:13" x14ac:dyDescent="0.25">
      <c r="A34" s="109"/>
      <c r="B34" s="109"/>
      <c r="C34" s="108"/>
      <c r="D34" s="109"/>
      <c r="H34" s="162"/>
    </row>
    <row r="35" spans="1:13" x14ac:dyDescent="0.25">
      <c r="A35" s="109"/>
      <c r="B35" s="109"/>
      <c r="C35" s="108"/>
      <c r="D35" s="109"/>
      <c r="H35" s="162"/>
    </row>
    <row r="36" spans="1:13" x14ac:dyDescent="0.25">
      <c r="A36" s="109"/>
      <c r="B36" s="109"/>
      <c r="C36" s="109"/>
      <c r="D36" s="109"/>
      <c r="H36" s="162"/>
    </row>
    <row r="37" spans="1:13" x14ac:dyDescent="0.25">
      <c r="A37" s="109"/>
      <c r="B37" s="108"/>
      <c r="C37" s="109"/>
      <c r="D37" s="109"/>
      <c r="H37" s="162"/>
    </row>
    <row r="38" spans="1:13" x14ac:dyDescent="0.25">
      <c r="A38" s="109"/>
      <c r="B38" s="109"/>
      <c r="C38" s="109"/>
      <c r="D38" s="109"/>
    </row>
    <row r="39" spans="1:13" x14ac:dyDescent="0.25">
      <c r="A39" s="109"/>
      <c r="B39" s="109"/>
      <c r="C39" s="109"/>
      <c r="D39" s="109"/>
    </row>
    <row r="40" spans="1:13" x14ac:dyDescent="0.25">
      <c r="A40" s="109"/>
      <c r="B40" s="109"/>
      <c r="C40" s="109"/>
      <c r="D40" s="109"/>
    </row>
    <row r="41" spans="1:13" x14ac:dyDescent="0.25">
      <c r="A41" s="109"/>
      <c r="B41" s="109"/>
      <c r="C41" s="109"/>
      <c r="D41" s="109"/>
    </row>
    <row r="42" spans="1:13" x14ac:dyDescent="0.25">
      <c r="C42" s="109"/>
      <c r="D42" s="109"/>
      <c r="E42" s="109"/>
      <c r="F42" s="109"/>
      <c r="G42" s="109"/>
      <c r="H42" s="109"/>
      <c r="I42" s="109"/>
      <c r="J42" s="109"/>
      <c r="K42" s="109"/>
      <c r="L42" s="109"/>
      <c r="M42" s="109"/>
    </row>
    <row r="43" spans="1:13" x14ac:dyDescent="0.25">
      <c r="C43" s="109"/>
      <c r="D43" s="109"/>
      <c r="E43" s="109"/>
      <c r="F43" s="109"/>
      <c r="G43" s="109"/>
      <c r="H43" s="109"/>
      <c r="I43" s="109"/>
      <c r="J43" s="109"/>
      <c r="K43" s="109"/>
      <c r="L43" s="109"/>
      <c r="M43" s="109"/>
    </row>
  </sheetData>
  <mergeCells count="24">
    <mergeCell ref="C29:G29"/>
    <mergeCell ref="C31:G31"/>
    <mergeCell ref="B30:G30"/>
    <mergeCell ref="C32:G32"/>
    <mergeCell ref="D33:G33"/>
    <mergeCell ref="F23:G23"/>
    <mergeCell ref="F22:G22"/>
    <mergeCell ref="F21:G21"/>
    <mergeCell ref="F20:G20"/>
    <mergeCell ref="C19:G19"/>
    <mergeCell ref="E10:G10"/>
    <mergeCell ref="A5:G5"/>
    <mergeCell ref="B6:G6"/>
    <mergeCell ref="C7:G7"/>
    <mergeCell ref="D8:G8"/>
    <mergeCell ref="E9:G9"/>
    <mergeCell ref="C18:G18"/>
    <mergeCell ref="D11:G11"/>
    <mergeCell ref="D12:G12"/>
    <mergeCell ref="E13:G13"/>
    <mergeCell ref="E15:G15"/>
    <mergeCell ref="F16:G16"/>
    <mergeCell ref="F17:G17"/>
    <mergeCell ref="E14:G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30"/>
  <sheetViews>
    <sheetView zoomScale="90" zoomScaleNormal="90" workbookViewId="0">
      <pane xSplit="2" ySplit="5" topLeftCell="F6" activePane="bottomRight" state="frozen"/>
      <selection pane="topRight" activeCell="C1" sqref="C1"/>
      <selection pane="bottomLeft" activeCell="A6" sqref="A6"/>
      <selection pane="bottomRight"/>
    </sheetView>
  </sheetViews>
  <sheetFormatPr defaultColWidth="13.140625" defaultRowHeight="12.75" x14ac:dyDescent="0.2"/>
  <cols>
    <col min="1" max="1" width="11.5703125" style="11" customWidth="1"/>
    <col min="2" max="2" width="42.140625" style="11" customWidth="1"/>
    <col min="3" max="3" width="18.5703125" style="11" hidden="1" customWidth="1"/>
    <col min="4" max="5" width="16.42578125" style="11" hidden="1" customWidth="1"/>
    <col min="6" max="6" width="16.7109375" style="11" customWidth="1"/>
    <col min="7" max="7" width="18.7109375" style="12" customWidth="1"/>
    <col min="8" max="8" width="10.28515625" style="12" customWidth="1"/>
    <col min="9" max="11" width="10.28515625" style="11" customWidth="1"/>
    <col min="12" max="12" width="12.28515625" style="11" customWidth="1"/>
    <col min="13" max="13" width="10.85546875" style="11" customWidth="1"/>
    <col min="14" max="14" width="10.28515625" style="11" customWidth="1"/>
    <col min="15" max="15" width="10.85546875" style="11" customWidth="1"/>
    <col min="16" max="17" width="10.28515625" style="11" customWidth="1"/>
    <col min="18" max="18" width="10.85546875" style="11" customWidth="1"/>
    <col min="19" max="20" width="10.28515625" style="11" customWidth="1"/>
    <col min="21" max="21" width="12.28515625" style="11" customWidth="1"/>
    <col min="22" max="23" width="10.28515625" style="11" customWidth="1"/>
    <col min="24" max="24" width="11.42578125" style="11" customWidth="1"/>
    <col min="25" max="25" width="10.28515625" style="11" customWidth="1"/>
    <col min="26" max="26" width="15.42578125" style="11" customWidth="1"/>
    <col min="27" max="27" width="25.5703125" style="12" customWidth="1"/>
    <col min="28" max="28" width="25.5703125" style="11" customWidth="1"/>
    <col min="29" max="29" width="25.5703125" style="12" customWidth="1"/>
    <col min="30" max="33" width="25.5703125" style="11" customWidth="1"/>
    <col min="34" max="16384" width="13.140625" style="11"/>
  </cols>
  <sheetData>
    <row r="1" spans="1:33" ht="14.25" customHeight="1" thickTop="1" thickBot="1" x14ac:dyDescent="0.3">
      <c r="A1" s="90" t="s">
        <v>675</v>
      </c>
      <c r="D1" s="12"/>
      <c r="E1" s="12"/>
      <c r="G1" s="227" t="s">
        <v>686</v>
      </c>
      <c r="J1"/>
      <c r="K1"/>
      <c r="L1"/>
      <c r="V1" s="12"/>
      <c r="AA1" s="227" t="s">
        <v>686</v>
      </c>
      <c r="AF1" s="14" t="s">
        <v>651</v>
      </c>
      <c r="AG1" s="14"/>
    </row>
    <row r="2" spans="1:33" ht="53.25" customHeight="1" thickTop="1" x14ac:dyDescent="0.2">
      <c r="A2" s="125" t="s">
        <v>410</v>
      </c>
      <c r="B2" s="23"/>
      <c r="C2" s="23"/>
      <c r="D2" s="23"/>
      <c r="E2" s="23"/>
      <c r="F2" s="257" t="s">
        <v>674</v>
      </c>
      <c r="G2" s="258"/>
      <c r="H2" s="258"/>
      <c r="I2" s="258"/>
      <c r="J2" s="258"/>
      <c r="K2" s="198"/>
      <c r="L2" s="197"/>
      <c r="M2" s="197"/>
      <c r="N2" s="197"/>
      <c r="O2" s="197"/>
      <c r="P2" s="199"/>
      <c r="Q2" s="199"/>
      <c r="R2" s="199"/>
      <c r="S2" s="199"/>
      <c r="T2" s="199"/>
      <c r="U2" s="199"/>
      <c r="V2" s="199"/>
      <c r="W2" s="199"/>
      <c r="X2" s="199"/>
      <c r="Y2" s="197"/>
      <c r="Z2" s="200"/>
      <c r="AA2" s="189" t="s">
        <v>638</v>
      </c>
      <c r="AB2" s="249" t="s">
        <v>656</v>
      </c>
      <c r="AC2" s="250"/>
      <c r="AD2" s="250"/>
      <c r="AE2" s="251"/>
      <c r="AF2" s="191" t="s">
        <v>640</v>
      </c>
      <c r="AG2" s="192" t="s">
        <v>639</v>
      </c>
    </row>
    <row r="3" spans="1:33" s="14" customFormat="1" ht="15" customHeight="1" x14ac:dyDescent="0.2">
      <c r="A3" s="29"/>
      <c r="B3" s="29"/>
      <c r="C3" s="29"/>
      <c r="D3" s="29"/>
      <c r="E3" s="29"/>
      <c r="F3" s="252" t="s">
        <v>660</v>
      </c>
      <c r="G3" s="253"/>
      <c r="H3" s="253"/>
      <c r="I3" s="253"/>
      <c r="J3" s="253"/>
      <c r="K3" s="253"/>
      <c r="L3" s="254"/>
      <c r="M3" s="252" t="s">
        <v>665</v>
      </c>
      <c r="N3" s="253"/>
      <c r="O3" s="254"/>
      <c r="P3" s="259" t="s">
        <v>666</v>
      </c>
      <c r="Q3" s="260"/>
      <c r="R3" s="260"/>
      <c r="S3" s="260"/>
      <c r="T3" s="260"/>
      <c r="U3" s="260"/>
      <c r="V3" s="260"/>
      <c r="W3" s="260"/>
      <c r="X3" s="260"/>
      <c r="Y3" s="252" t="s">
        <v>667</v>
      </c>
      <c r="Z3" s="254"/>
      <c r="AA3" s="255" t="s">
        <v>659</v>
      </c>
      <c r="AB3" s="272" t="s">
        <v>442</v>
      </c>
      <c r="AC3" s="267" t="s">
        <v>443</v>
      </c>
      <c r="AD3" s="268" t="s">
        <v>444</v>
      </c>
      <c r="AE3" s="273" t="s">
        <v>658</v>
      </c>
      <c r="AF3" s="256" t="s">
        <v>641</v>
      </c>
      <c r="AG3" s="256" t="s">
        <v>659</v>
      </c>
    </row>
    <row r="4" spans="1:33" s="15" customFormat="1" ht="29.25" customHeight="1" x14ac:dyDescent="0.25">
      <c r="A4" s="30"/>
      <c r="B4" s="30"/>
      <c r="C4" s="30"/>
      <c r="D4" s="30"/>
      <c r="E4" s="30"/>
      <c r="F4" s="261" t="s">
        <v>224</v>
      </c>
      <c r="G4" s="262"/>
      <c r="H4" s="262"/>
      <c r="I4" s="262"/>
      <c r="J4" s="262"/>
      <c r="K4" s="262"/>
      <c r="L4" s="263"/>
      <c r="M4" s="264" t="s">
        <v>225</v>
      </c>
      <c r="N4" s="265"/>
      <c r="O4" s="266"/>
      <c r="P4" s="265" t="s">
        <v>226</v>
      </c>
      <c r="Q4" s="265"/>
      <c r="R4" s="265"/>
      <c r="S4" s="269" t="s">
        <v>227</v>
      </c>
      <c r="T4" s="270"/>
      <c r="U4" s="271"/>
      <c r="V4" s="265" t="s">
        <v>415</v>
      </c>
      <c r="W4" s="265"/>
      <c r="X4" s="265"/>
      <c r="Y4" s="264" t="s">
        <v>679</v>
      </c>
      <c r="Z4" s="266"/>
      <c r="AA4" s="255"/>
      <c r="AB4" s="272"/>
      <c r="AC4" s="267"/>
      <c r="AD4" s="268"/>
      <c r="AE4" s="273"/>
      <c r="AF4" s="256"/>
      <c r="AG4" s="256"/>
    </row>
    <row r="5" spans="1:33" s="14" customFormat="1" ht="50.25" customHeight="1" x14ac:dyDescent="0.2">
      <c r="A5" s="29" t="s">
        <v>409</v>
      </c>
      <c r="B5" s="31" t="s">
        <v>408</v>
      </c>
      <c r="C5" s="31" t="s">
        <v>419</v>
      </c>
      <c r="D5" s="31" t="s">
        <v>418</v>
      </c>
      <c r="E5" s="31" t="s">
        <v>472</v>
      </c>
      <c r="F5" s="202" t="s">
        <v>691</v>
      </c>
      <c r="G5" s="203" t="s">
        <v>693</v>
      </c>
      <c r="H5" s="204" t="s">
        <v>232</v>
      </c>
      <c r="I5" s="203" t="s">
        <v>233</v>
      </c>
      <c r="J5" s="27" t="s">
        <v>231</v>
      </c>
      <c r="K5" s="27" t="s">
        <v>219</v>
      </c>
      <c r="L5" s="27" t="s">
        <v>673</v>
      </c>
      <c r="M5" s="26" t="s">
        <v>220</v>
      </c>
      <c r="N5" s="27" t="s">
        <v>221</v>
      </c>
      <c r="O5" s="28" t="s">
        <v>672</v>
      </c>
      <c r="P5" s="27" t="s">
        <v>222</v>
      </c>
      <c r="Q5" s="27" t="s">
        <v>223</v>
      </c>
      <c r="R5" s="27" t="s">
        <v>671</v>
      </c>
      <c r="S5" s="26" t="s">
        <v>228</v>
      </c>
      <c r="T5" s="27" t="s">
        <v>229</v>
      </c>
      <c r="U5" s="28" t="s">
        <v>670</v>
      </c>
      <c r="V5" s="27" t="s">
        <v>235</v>
      </c>
      <c r="W5" s="27" t="s">
        <v>234</v>
      </c>
      <c r="X5" s="27" t="s">
        <v>669</v>
      </c>
      <c r="Y5" s="26" t="s">
        <v>230</v>
      </c>
      <c r="Z5" s="28" t="s">
        <v>668</v>
      </c>
      <c r="AA5" s="201" t="s">
        <v>637</v>
      </c>
      <c r="AB5" s="205" t="s">
        <v>700</v>
      </c>
      <c r="AC5" s="205" t="s">
        <v>445</v>
      </c>
      <c r="AD5" s="205" t="s">
        <v>446</v>
      </c>
      <c r="AE5" s="206" t="s">
        <v>447</v>
      </c>
      <c r="AF5" s="207" t="s">
        <v>455</v>
      </c>
      <c r="AG5" s="208" t="s">
        <v>456</v>
      </c>
    </row>
    <row r="6" spans="1:33" x14ac:dyDescent="0.2">
      <c r="A6" s="131" t="s">
        <v>407</v>
      </c>
      <c r="B6" s="16" t="s">
        <v>179</v>
      </c>
      <c r="C6" s="98" t="s">
        <v>236</v>
      </c>
      <c r="D6" s="98" t="s">
        <v>412</v>
      </c>
      <c r="E6" s="98" t="s">
        <v>474</v>
      </c>
      <c r="F6" s="113">
        <v>0</v>
      </c>
      <c r="G6" s="122">
        <f>0</f>
        <v>0</v>
      </c>
      <c r="H6" s="35">
        <f t="shared" ref="H6:H37" si="0">IFERROR(F6+G6,0)</f>
        <v>0</v>
      </c>
      <c r="I6" s="17">
        <f>IFERROR(VLOOKUP($A6,'2.1 Toteut. op.vuodet'!$A:$Q,COLUMN('2.1 Toteut. op.vuodet'!Q:Q),FALSE),0)</f>
        <v>0.43</v>
      </c>
      <c r="J6" s="11">
        <f t="shared" ref="J6:J37" si="1">IFERROR(ROUND(H6*I6,1),0)</f>
        <v>0</v>
      </c>
      <c r="K6" s="18">
        <f>IFERROR(Ohj.lask.[[#This Row],[Painotetut opiskelija-vuodet]]/Ohj.lask.[[#Totals],[Painotetut opiskelija-vuodet]],0)</f>
        <v>0</v>
      </c>
      <c r="L6" s="19">
        <f>ROUND(IFERROR('1.1 Jakotaulu'!L$10*Ohj.lask.[[#This Row],[%-osuus 1]],0),0)</f>
        <v>0</v>
      </c>
      <c r="M6" s="211">
        <f>IFERROR(ROUND(VLOOKUP($A6,'2.2 Tutk. ja osien pain. pist.'!$A:$Q,COLUMN('2.2 Tutk. ja osien pain. pist.'!P:P),FALSE),1),0)</f>
        <v>0</v>
      </c>
      <c r="N6" s="18">
        <f>IFERROR(Ohj.lask.[[#This Row],[Painotetut pisteet 2]]/Ohj.lask.[[#Totals],[Painotetut pisteet 2]],0)</f>
        <v>0</v>
      </c>
      <c r="O6" s="25">
        <f>ROUND(IFERROR('1.1 Jakotaulu'!K$11*Ohj.lask.[[#This Row],[%-osuus 2]],0),0)</f>
        <v>0</v>
      </c>
      <c r="P6" s="233">
        <f>IFERROR(ROUND(VLOOKUP($A6,'2.3 Työll. ja jatko-opisk.'!$A:$K,COLUMN('2.3 Työll. ja jatko-opisk.'!I:I),FALSE),1),0)</f>
        <v>0</v>
      </c>
      <c r="Q6" s="22">
        <f>IFERROR(Ohj.lask.[[#This Row],[Painotetut pisteet 3]]/Ohj.lask.[[#Totals],[Painotetut pisteet 3]],0)</f>
        <v>0</v>
      </c>
      <c r="R6" s="19">
        <f>ROUND(IFERROR('1.1 Jakotaulu'!L$13*Ohj.lask.[[#This Row],[%-osuus 3]],0),0)</f>
        <v>0</v>
      </c>
      <c r="S6" s="211">
        <f>IFERROR(ROUND(VLOOKUP($A6,'2.4 Aloittaneet palaute'!$A:$K,COLUMN('2.4 Aloittaneet palaute'!J:J),FALSE),1),0)</f>
        <v>0</v>
      </c>
      <c r="T6" s="22">
        <f>IFERROR(Ohj.lask.[[#This Row],[Painotetut pisteet 4]]/Ohj.lask.[[#Totals],[Painotetut pisteet 4]],0)</f>
        <v>0</v>
      </c>
      <c r="U6" s="25">
        <f>ROUND(IFERROR('1.1 Jakotaulu'!M$16*Ohj.lask.[[#This Row],[%-osuus 4]],0),0)</f>
        <v>0</v>
      </c>
      <c r="V6" s="235">
        <f>IFERROR(ROUND(VLOOKUP($A6,'2.5 Päättäneet palaute'!$A:$AC,COLUMN('2.5 Päättäneet palaute'!AB:AB),FALSE),1),0)</f>
        <v>0</v>
      </c>
      <c r="W6" s="22">
        <f>IFERROR(Ohj.lask.[[#This Row],[Painotetut pisteet 5]]/Ohj.lask.[[#Totals],[Painotetut pisteet 5]],0)</f>
        <v>0</v>
      </c>
      <c r="X6" s="19">
        <f>ROUND(IFERROR('1.1 Jakotaulu'!M$17*Ohj.lask.[[#This Row],[%-osuus 5]],0),0)</f>
        <v>0</v>
      </c>
      <c r="Y6" s="21">
        <f>IFERROR(Ohj.lask.[[#This Row],[Jaettava € 6]]/Ohj.lask.[[#Totals],[Jaettava € 6]],"")</f>
        <v>0</v>
      </c>
      <c r="Z6" s="25">
        <f>IFERROR(Ohj.lask.[[#This Row],[Jaettava € 1]]+Ohj.lask.[[#This Row],[Jaettava € 2]]+Ohj.lask.[[#This Row],[Jaettava € 3]]+Ohj.lask.[[#This Row],[Jaettava € 4]]+Ohj.lask.[[#This Row],[Jaettava € 5]],"")</f>
        <v>0</v>
      </c>
      <c r="AA6" s="123">
        <f>0</f>
        <v>0</v>
      </c>
      <c r="AB6" s="19">
        <f>Ohj.lask.[[#This Row],[Jaettava € 1]]+Ohj.lask.[[#This Row],[Jaettava €]]</f>
        <v>0</v>
      </c>
      <c r="AC6" s="107">
        <f>Ohj.lask.[[#This Row],[Jaettava € 2]]</f>
        <v>0</v>
      </c>
      <c r="AD6" s="19">
        <f>Ohj.lask.[[#This Row],[Jaettava € 3]]+Ohj.lask.[[#This Row],[Jaettava € 4]]+Ohj.lask.[[#This Row],[Jaettava € 5]]</f>
        <v>0</v>
      </c>
      <c r="AE6" s="36">
        <f>Ohj.lask.[[#This Row],[Jaettava € 6]]+Ohj.lask.[[#This Row],[Jaettava €]]</f>
        <v>0</v>
      </c>
      <c r="AF6" s="36">
        <f>IFERROR(VLOOKUP(Ohj.lask.[[#This Row],[Y-tunnus]],'3.1 Alv vahvistettu'!A:Y,COLUMN(C:C),FALSE),0)</f>
        <v>0</v>
      </c>
      <c r="AG6" s="25">
        <f>Ohj.lask.[[#This Row],[Perus-, suoritus- ja vaikuttavuusrahoitus yhteensä, €]]+Ohj.lask.[[#This Row],[Alv-korvaus, €]]</f>
        <v>0</v>
      </c>
    </row>
    <row r="7" spans="1:33" x14ac:dyDescent="0.2">
      <c r="A7" s="131" t="s">
        <v>583</v>
      </c>
      <c r="B7" s="16" t="s">
        <v>584</v>
      </c>
      <c r="C7" s="16" t="s">
        <v>236</v>
      </c>
      <c r="D7" s="16" t="s">
        <v>412</v>
      </c>
      <c r="E7" s="16" t="s">
        <v>474</v>
      </c>
      <c r="F7" s="114">
        <v>2484</v>
      </c>
      <c r="G7" s="122">
        <f>0</f>
        <v>0</v>
      </c>
      <c r="H7" s="35">
        <f t="shared" si="0"/>
        <v>2484</v>
      </c>
      <c r="I7" s="17">
        <f>IFERROR(VLOOKUP($A7,'2.1 Toteut. op.vuodet'!$A:$Q,COLUMN('2.1 Toteut. op.vuodet'!Q:Q),FALSE),0)</f>
        <v>0.80830920755881797</v>
      </c>
      <c r="J7" s="11">
        <f t="shared" si="1"/>
        <v>2007.8</v>
      </c>
      <c r="K7" s="18">
        <f>IFERROR(Ohj.lask.[[#This Row],[Painotetut opiskelija-vuodet]]/Ohj.lask.[[#Totals],[Painotetut opiskelija-vuodet]],0)</f>
        <v>1.0038588417874863E-2</v>
      </c>
      <c r="L7" s="19">
        <f>ROUND(IFERROR('1.1 Jakotaulu'!L$10*Ohj.lask.[[#This Row],[%-osuus 1]],0),0)</f>
        <v>11704688</v>
      </c>
      <c r="M7" s="211">
        <f>IFERROR(ROUND(VLOOKUP($A7,'2.2 Tutk. ja osien pain. pist.'!$A:$Q,COLUMN('2.2 Tutk. ja osien pain. pist.'!P:P),FALSE),1),0)</f>
        <v>294347.3</v>
      </c>
      <c r="N7" s="18">
        <f>IFERROR(Ohj.lask.[[#This Row],[Painotetut pisteet 2]]/Ohj.lask.[[#Totals],[Painotetut pisteet 2]],0)</f>
        <v>1.8810045718639683E-2</v>
      </c>
      <c r="O7" s="25">
        <f>ROUND(IFERROR('1.1 Jakotaulu'!K$11*Ohj.lask.[[#This Row],[%-osuus 2]],0),0)</f>
        <v>6964927</v>
      </c>
      <c r="P7" s="233">
        <f>IFERROR(ROUND(VLOOKUP($A7,'2.3 Työll. ja jatko-opisk.'!$A:$K,COLUMN('2.3 Työll. ja jatko-opisk.'!I:I),FALSE),1),0)</f>
        <v>4670.5</v>
      </c>
      <c r="Q7" s="18">
        <f>IFERROR(Ohj.lask.[[#This Row],[Painotetut pisteet 3]]/Ohj.lask.[[#Totals],[Painotetut pisteet 3]],0)</f>
        <v>2.4655701772908874E-2</v>
      </c>
      <c r="R7" s="19">
        <f>ROUND(IFERROR('1.1 Jakotaulu'!L$13*Ohj.lask.[[#This Row],[%-osuus 3]],0),0)</f>
        <v>3423540</v>
      </c>
      <c r="S7" s="211">
        <f>IFERROR(ROUND(VLOOKUP($A7,'2.4 Aloittaneet palaute'!$A:$K,COLUMN('2.4 Aloittaneet palaute'!J:J),FALSE),1),0)</f>
        <v>21630.1</v>
      </c>
      <c r="T7" s="22">
        <f>IFERROR(Ohj.lask.[[#This Row],[Painotetut pisteet 4]]/Ohj.lask.[[#Totals],[Painotetut pisteet 4]],0)</f>
        <v>1.7373060780211471E-2</v>
      </c>
      <c r="U7" s="25">
        <f>ROUND(IFERROR('1.1 Jakotaulu'!M$16*Ohj.lask.[[#This Row],[%-osuus 4]],0),0)</f>
        <v>201026</v>
      </c>
      <c r="V7" s="235">
        <f>IFERROR(ROUND(VLOOKUP($A7,'2.5 Päättäneet palaute'!$A:$AC,COLUMN('2.5 Päättäneet palaute'!AB:AB),FALSE),1),0)</f>
        <v>82262.7</v>
      </c>
      <c r="W7" s="22">
        <f>IFERROR(Ohj.lask.[[#This Row],[Painotetut pisteet 5]]/Ohj.lask.[[#Totals],[Painotetut pisteet 5]],0)</f>
        <v>1.2422458826774873E-2</v>
      </c>
      <c r="X7" s="19">
        <f>ROUND(IFERROR('1.1 Jakotaulu'!M$17*Ohj.lask.[[#This Row],[%-osuus 5]],0),0)</f>
        <v>431227</v>
      </c>
      <c r="Y7" s="21">
        <f>IFERROR(Ohj.lask.[[#This Row],[Jaettava € 6]]/Ohj.lask.[[#Totals],[Jaettava € 6]],"")</f>
        <v>1.320181602559038E-2</v>
      </c>
      <c r="Z7" s="25">
        <f>IFERROR(Ohj.lask.[[#This Row],[Jaettava € 1]]+Ohj.lask.[[#This Row],[Jaettava € 2]]+Ohj.lask.[[#This Row],[Jaettava € 3]]+Ohj.lask.[[#This Row],[Jaettava € 4]]+Ohj.lask.[[#This Row],[Jaettava € 5]],"")</f>
        <v>22725408</v>
      </c>
      <c r="AA7" s="123">
        <f>0</f>
        <v>0</v>
      </c>
      <c r="AB7" s="19">
        <f>Ohj.lask.[[#This Row],[Jaettava € 1]]+Ohj.lask.[[#This Row],[Jaettava €]]</f>
        <v>11704688</v>
      </c>
      <c r="AC7" s="107">
        <f>Ohj.lask.[[#This Row],[Jaettava € 2]]</f>
        <v>6964927</v>
      </c>
      <c r="AD7" s="19">
        <f>Ohj.lask.[[#This Row],[Jaettava € 3]]+Ohj.lask.[[#This Row],[Jaettava € 4]]+Ohj.lask.[[#This Row],[Jaettava € 5]]</f>
        <v>4055793</v>
      </c>
      <c r="AE7" s="36">
        <f>Ohj.lask.[[#This Row],[Jaettava € 6]]+Ohj.lask.[[#This Row],[Jaettava €]]</f>
        <v>22725408</v>
      </c>
      <c r="AF7" s="36">
        <f>IFERROR(VLOOKUP(Ohj.lask.[[#This Row],[Y-tunnus]],'3.1 Alv vahvistettu'!A:Y,COLUMN(C:C),FALSE),0)</f>
        <v>1258264.6299999999</v>
      </c>
      <c r="AG7" s="25">
        <f>Ohj.lask.[[#This Row],[Perus-, suoritus- ja vaikuttavuusrahoitus yhteensä, €]]+Ohj.lask.[[#This Row],[Alv-korvaus, €]]</f>
        <v>23983672.629999999</v>
      </c>
    </row>
    <row r="8" spans="1:33" x14ac:dyDescent="0.2">
      <c r="A8" s="131" t="s">
        <v>406</v>
      </c>
      <c r="B8" s="16" t="s">
        <v>23</v>
      </c>
      <c r="C8" s="16" t="s">
        <v>247</v>
      </c>
      <c r="D8" s="16" t="s">
        <v>412</v>
      </c>
      <c r="E8" s="16" t="s">
        <v>474</v>
      </c>
      <c r="F8" s="114">
        <v>329</v>
      </c>
      <c r="G8" s="122">
        <f>0</f>
        <v>0</v>
      </c>
      <c r="H8" s="35">
        <f t="shared" si="0"/>
        <v>329</v>
      </c>
      <c r="I8" s="17">
        <f>IFERROR(VLOOKUP($A8,'2.1 Toteut. op.vuodet'!$A:$Q,COLUMN('2.1 Toteut. op.vuodet'!Q:Q),FALSE),0)</f>
        <v>1.2094488730235278</v>
      </c>
      <c r="J8" s="11">
        <f t="shared" si="1"/>
        <v>397.9</v>
      </c>
      <c r="K8" s="18">
        <f>IFERROR(Ohj.lask.[[#This Row],[Painotetut opiskelija-vuodet]]/Ohj.lask.[[#Totals],[Painotetut opiskelija-vuodet]],0)</f>
        <v>1.9894184338442112E-3</v>
      </c>
      <c r="L8" s="19">
        <f>ROUND(IFERROR('1.1 Jakotaulu'!L$10*Ohj.lask.[[#This Row],[%-osuus 1]],0),0)</f>
        <v>2319601</v>
      </c>
      <c r="M8" s="211">
        <f>IFERROR(ROUND(VLOOKUP($A8,'2.2 Tutk. ja osien pain. pist.'!$A:$Q,COLUMN('2.2 Tutk. ja osien pain. pist.'!P:P),FALSE),1),0)</f>
        <v>41495.599999999999</v>
      </c>
      <c r="N8" s="18">
        <f>IFERROR(Ohj.lask.[[#This Row],[Painotetut pisteet 2]]/Ohj.lask.[[#Totals],[Painotetut pisteet 2]],0)</f>
        <v>2.6517455166817729E-3</v>
      </c>
      <c r="O8" s="25">
        <f>ROUND(IFERROR('1.1 Jakotaulu'!K$11*Ohj.lask.[[#This Row],[%-osuus 2]],0),0)</f>
        <v>981880</v>
      </c>
      <c r="P8" s="233">
        <f>IFERROR(ROUND(VLOOKUP($A8,'2.3 Työll. ja jatko-opisk.'!$A:$K,COLUMN('2.3 Työll. ja jatko-opisk.'!I:I),FALSE),1),0)</f>
        <v>335.9</v>
      </c>
      <c r="Q8" s="18">
        <f>IFERROR(Ohj.lask.[[#This Row],[Painotetut pisteet 3]]/Ohj.lask.[[#Totals],[Painotetut pisteet 3]],0)</f>
        <v>1.7732256130007687E-3</v>
      </c>
      <c r="R8" s="19">
        <f>ROUND(IFERROR('1.1 Jakotaulu'!L$13*Ohj.lask.[[#This Row],[%-osuus 3]],0),0)</f>
        <v>246219</v>
      </c>
      <c r="S8" s="211">
        <f>IFERROR(ROUND(VLOOKUP($A8,'2.4 Aloittaneet palaute'!$A:$K,COLUMN('2.4 Aloittaneet palaute'!J:J),FALSE),1),0)</f>
        <v>2344.3000000000002</v>
      </c>
      <c r="T8" s="22">
        <f>IFERROR(Ohj.lask.[[#This Row],[Painotetut pisteet 4]]/Ohj.lask.[[#Totals],[Painotetut pisteet 4]],0)</f>
        <v>1.8829162318736278E-3</v>
      </c>
      <c r="U8" s="25">
        <f>ROUND(IFERROR('1.1 Jakotaulu'!M$16*Ohj.lask.[[#This Row],[%-osuus 4]],0),0)</f>
        <v>21788</v>
      </c>
      <c r="V8" s="235">
        <f>IFERROR(ROUND(VLOOKUP($A8,'2.5 Päättäneet palaute'!$A:$AC,COLUMN('2.5 Päättäneet palaute'!AB:AB),FALSE),1),0)</f>
        <v>12809.9</v>
      </c>
      <c r="W8" s="22">
        <f>IFERROR(Ohj.lask.[[#This Row],[Painotetut pisteet 5]]/Ohj.lask.[[#Totals],[Painotetut pisteet 5]],0)</f>
        <v>1.9344180938031873E-3</v>
      </c>
      <c r="X8" s="19">
        <f>ROUND(IFERROR('1.1 Jakotaulu'!M$17*Ohj.lask.[[#This Row],[%-osuus 5]],0),0)</f>
        <v>67150</v>
      </c>
      <c r="Y8" s="21">
        <f>IFERROR(Ohj.lask.[[#This Row],[Jaettava € 6]]/Ohj.lask.[[#Totals],[Jaettava € 6]],"")</f>
        <v>2.1126232729318192E-3</v>
      </c>
      <c r="Z8" s="25">
        <f>IFERROR(Ohj.lask.[[#This Row],[Jaettava € 1]]+Ohj.lask.[[#This Row],[Jaettava € 2]]+Ohj.lask.[[#This Row],[Jaettava € 3]]+Ohj.lask.[[#This Row],[Jaettava € 4]]+Ohj.lask.[[#This Row],[Jaettava € 5]],"")</f>
        <v>3636638</v>
      </c>
      <c r="AA8" s="123">
        <f>0</f>
        <v>0</v>
      </c>
      <c r="AB8" s="19">
        <f>Ohj.lask.[[#This Row],[Jaettava € 1]]+Ohj.lask.[[#This Row],[Jaettava €]]</f>
        <v>2319601</v>
      </c>
      <c r="AC8" s="107">
        <f>Ohj.lask.[[#This Row],[Jaettava € 2]]</f>
        <v>981880</v>
      </c>
      <c r="AD8" s="19">
        <f>Ohj.lask.[[#This Row],[Jaettava € 3]]+Ohj.lask.[[#This Row],[Jaettava € 4]]+Ohj.lask.[[#This Row],[Jaettava € 5]]</f>
        <v>335157</v>
      </c>
      <c r="AE8" s="36">
        <f>Ohj.lask.[[#This Row],[Jaettava € 6]]+Ohj.lask.[[#This Row],[Jaettava €]]</f>
        <v>3636638</v>
      </c>
      <c r="AF8" s="36">
        <f>IFERROR(VLOOKUP(Ohj.lask.[[#This Row],[Y-tunnus]],'3.1 Alv vahvistettu'!A:Y,COLUMN(C:C),FALSE),0)</f>
        <v>383470.83</v>
      </c>
      <c r="AG8" s="25">
        <f>Ohj.lask.[[#This Row],[Perus-, suoritus- ja vaikuttavuusrahoitus yhteensä, €]]+Ohj.lask.[[#This Row],[Alv-korvaus, €]]</f>
        <v>4020108.83</v>
      </c>
    </row>
    <row r="9" spans="1:33" x14ac:dyDescent="0.2">
      <c r="A9" s="131" t="s">
        <v>403</v>
      </c>
      <c r="B9" s="16" t="s">
        <v>189</v>
      </c>
      <c r="C9" s="16" t="s">
        <v>236</v>
      </c>
      <c r="D9" s="16" t="s">
        <v>412</v>
      </c>
      <c r="E9" s="16" t="s">
        <v>474</v>
      </c>
      <c r="F9" s="114">
        <v>20</v>
      </c>
      <c r="G9" s="122">
        <f>0</f>
        <v>0</v>
      </c>
      <c r="H9" s="35">
        <f t="shared" si="0"/>
        <v>20</v>
      </c>
      <c r="I9" s="17">
        <f>IFERROR(VLOOKUP($A9,'2.1 Toteut. op.vuodet'!$A:$Q,COLUMN('2.1 Toteut. op.vuodet'!Q:Q),FALSE),0)</f>
        <v>0.86732533904518883</v>
      </c>
      <c r="J9" s="11">
        <f t="shared" si="1"/>
        <v>17.3</v>
      </c>
      <c r="K9" s="18">
        <f>IFERROR(Ohj.lask.[[#This Row],[Painotetut opiskelija-vuodet]]/Ohj.lask.[[#Totals],[Painotetut opiskelija-vuodet]],0)</f>
        <v>8.6496453645400494E-5</v>
      </c>
      <c r="L9" s="19">
        <f>ROUND(IFERROR('1.1 Jakotaulu'!L$10*Ohj.lask.[[#This Row],[%-osuus 1]],0),0)</f>
        <v>100852</v>
      </c>
      <c r="M9" s="211">
        <f>IFERROR(ROUND(VLOOKUP($A9,'2.2 Tutk. ja osien pain. pist.'!$A:$Q,COLUMN('2.2 Tutk. ja osien pain. pist.'!P:P),FALSE),1),0)</f>
        <v>1479.1</v>
      </c>
      <c r="N9" s="18">
        <f>IFERROR(Ohj.lask.[[#This Row],[Painotetut pisteet 2]]/Ohj.lask.[[#Totals],[Painotetut pisteet 2]],0)</f>
        <v>9.4520787594925973E-5</v>
      </c>
      <c r="O9" s="25">
        <f>ROUND(IFERROR('1.1 Jakotaulu'!K$11*Ohj.lask.[[#This Row],[%-osuus 2]],0),0)</f>
        <v>34999</v>
      </c>
      <c r="P9" s="233">
        <f>IFERROR(ROUND(VLOOKUP($A9,'2.3 Työll. ja jatko-opisk.'!$A:$K,COLUMN('2.3 Työll. ja jatko-opisk.'!I:I),FALSE),1),0)</f>
        <v>32.5</v>
      </c>
      <c r="Q9" s="18">
        <f>IFERROR(Ohj.lask.[[#This Row],[Painotetut pisteet 3]]/Ohj.lask.[[#Totals],[Painotetut pisteet 3]],0)</f>
        <v>1.7156842043026193E-4</v>
      </c>
      <c r="R9" s="19">
        <f>ROUND(IFERROR('1.1 Jakotaulu'!L$13*Ohj.lask.[[#This Row],[%-osuus 3]],0),0)</f>
        <v>23823</v>
      </c>
      <c r="S9" s="211">
        <f>IFERROR(ROUND(VLOOKUP($A9,'2.4 Aloittaneet palaute'!$A:$K,COLUMN('2.4 Aloittaneet palaute'!J:J),FALSE),1),0)</f>
        <v>0</v>
      </c>
      <c r="T9" s="22">
        <f>IFERROR(Ohj.lask.[[#This Row],[Painotetut pisteet 4]]/Ohj.lask.[[#Totals],[Painotetut pisteet 4]],0)</f>
        <v>0</v>
      </c>
      <c r="U9" s="25">
        <f>ROUND(IFERROR('1.1 Jakotaulu'!M$16*Ohj.lask.[[#This Row],[%-osuus 4]],0),0)</f>
        <v>0</v>
      </c>
      <c r="V9" s="235">
        <f>IFERROR(ROUND(VLOOKUP($A9,'2.5 Päättäneet palaute'!$A:$AC,COLUMN('2.5 Päättäneet palaute'!AB:AB),FALSE),1),0)</f>
        <v>0</v>
      </c>
      <c r="W9" s="22">
        <f>IFERROR(Ohj.lask.[[#This Row],[Painotetut pisteet 5]]/Ohj.lask.[[#Totals],[Painotetut pisteet 5]],0)</f>
        <v>0</v>
      </c>
      <c r="X9" s="19">
        <f>ROUND(IFERROR('1.1 Jakotaulu'!M$17*Ohj.lask.[[#This Row],[%-osuus 5]],0),0)</f>
        <v>0</v>
      </c>
      <c r="Y9" s="21">
        <f>IFERROR(Ohj.lask.[[#This Row],[Jaettava € 6]]/Ohj.lask.[[#Totals],[Jaettava € 6]],"")</f>
        <v>9.2759028663869019E-5</v>
      </c>
      <c r="Z9" s="25">
        <f>IFERROR(Ohj.lask.[[#This Row],[Jaettava € 1]]+Ohj.lask.[[#This Row],[Jaettava € 2]]+Ohj.lask.[[#This Row],[Jaettava € 3]]+Ohj.lask.[[#This Row],[Jaettava € 4]]+Ohj.lask.[[#This Row],[Jaettava € 5]],"")</f>
        <v>159674</v>
      </c>
      <c r="AA9" s="123">
        <f>0</f>
        <v>0</v>
      </c>
      <c r="AB9" s="19">
        <f>Ohj.lask.[[#This Row],[Jaettava € 1]]+Ohj.lask.[[#This Row],[Jaettava €]]</f>
        <v>100852</v>
      </c>
      <c r="AC9" s="107">
        <f>Ohj.lask.[[#This Row],[Jaettava € 2]]</f>
        <v>34999</v>
      </c>
      <c r="AD9" s="19">
        <f>Ohj.lask.[[#This Row],[Jaettava € 3]]+Ohj.lask.[[#This Row],[Jaettava € 4]]+Ohj.lask.[[#This Row],[Jaettava € 5]]</f>
        <v>23823</v>
      </c>
      <c r="AE9" s="36">
        <f>Ohj.lask.[[#This Row],[Jaettava € 6]]+Ohj.lask.[[#This Row],[Jaettava €]]</f>
        <v>159674</v>
      </c>
      <c r="AF9" s="36">
        <f>IFERROR(VLOOKUP(Ohj.lask.[[#This Row],[Y-tunnus]],'3.1 Alv vahvistettu'!A:Y,COLUMN(C:C),FALSE),0)</f>
        <v>45032.33</v>
      </c>
      <c r="AG9" s="25">
        <f>Ohj.lask.[[#This Row],[Perus-, suoritus- ja vaikuttavuusrahoitus yhteensä, €]]+Ohj.lask.[[#This Row],[Alv-korvaus, €]]</f>
        <v>204706.33000000002</v>
      </c>
    </row>
    <row r="10" spans="1:33" x14ac:dyDescent="0.2">
      <c r="A10" s="131" t="s">
        <v>405</v>
      </c>
      <c r="B10" s="16" t="s">
        <v>24</v>
      </c>
      <c r="C10" s="16" t="s">
        <v>247</v>
      </c>
      <c r="D10" s="16" t="s">
        <v>412</v>
      </c>
      <c r="E10" s="16" t="s">
        <v>474</v>
      </c>
      <c r="F10" s="114">
        <v>79</v>
      </c>
      <c r="G10" s="122">
        <f>0</f>
        <v>0</v>
      </c>
      <c r="H10" s="35">
        <f t="shared" si="0"/>
        <v>79</v>
      </c>
      <c r="I10" s="17">
        <f>IFERROR(VLOOKUP($A10,'2.1 Toteut. op.vuodet'!$A:$Q,COLUMN('2.1 Toteut. op.vuodet'!Q:Q),FALSE),0)</f>
        <v>5.4551501623901757</v>
      </c>
      <c r="J10" s="11">
        <f t="shared" si="1"/>
        <v>431</v>
      </c>
      <c r="K10" s="18">
        <f>IFERROR(Ohj.lask.[[#This Row],[Painotetut opiskelija-vuodet]]/Ohj.lask.[[#Totals],[Painotetut opiskelija-vuodet]],0)</f>
        <v>2.1549116486224056E-3</v>
      </c>
      <c r="L10" s="19">
        <f>ROUND(IFERROR('1.1 Jakotaulu'!L$10*Ohj.lask.[[#This Row],[%-osuus 1]],0),0)</f>
        <v>2512561</v>
      </c>
      <c r="M10" s="211">
        <f>IFERROR(ROUND(VLOOKUP($A10,'2.2 Tutk. ja osien pain. pist.'!$A:$Q,COLUMN('2.2 Tutk. ja osien pain. pist.'!P:P),FALSE),1),0)</f>
        <v>22038.2</v>
      </c>
      <c r="N10" s="18">
        <f>IFERROR(Ohj.lask.[[#This Row],[Painotetut pisteet 2]]/Ohj.lask.[[#Totals],[Painotetut pisteet 2]],0)</f>
        <v>1.408334812503886E-3</v>
      </c>
      <c r="O10" s="25">
        <f>ROUND(IFERROR('1.1 Jakotaulu'!K$11*Ohj.lask.[[#This Row],[%-osuus 2]],0),0)</f>
        <v>521474</v>
      </c>
      <c r="P10" s="233">
        <f>IFERROR(ROUND(VLOOKUP($A10,'2.3 Työll. ja jatko-opisk.'!$A:$K,COLUMN('2.3 Työll. ja jatko-opisk.'!I:I),FALSE),1),0)</f>
        <v>0</v>
      </c>
      <c r="Q10" s="18">
        <f>IFERROR(Ohj.lask.[[#This Row],[Painotetut pisteet 3]]/Ohj.lask.[[#Totals],[Painotetut pisteet 3]],0)</f>
        <v>0</v>
      </c>
      <c r="R10" s="19">
        <f>ROUND(IFERROR('1.1 Jakotaulu'!L$13*Ohj.lask.[[#This Row],[%-osuus 3]],0),0)</f>
        <v>0</v>
      </c>
      <c r="S10" s="211">
        <f>IFERROR(ROUND(VLOOKUP($A10,'2.4 Aloittaneet palaute'!$A:$K,COLUMN('2.4 Aloittaneet palaute'!J:J),FALSE),1),0)</f>
        <v>395</v>
      </c>
      <c r="T10" s="22">
        <f>IFERROR(Ohj.lask.[[#This Row],[Painotetut pisteet 4]]/Ohj.lask.[[#Totals],[Painotetut pisteet 4]],0)</f>
        <v>3.1725969866914768E-4</v>
      </c>
      <c r="U10" s="25">
        <f>ROUND(IFERROR('1.1 Jakotaulu'!M$16*Ohj.lask.[[#This Row],[%-osuus 4]],0),0)</f>
        <v>3671</v>
      </c>
      <c r="V10" s="235">
        <f>IFERROR(ROUND(VLOOKUP($A10,'2.5 Päättäneet palaute'!$A:$AC,COLUMN('2.5 Päättäneet palaute'!AB:AB),FALSE),1),0)</f>
        <v>2820</v>
      </c>
      <c r="W10" s="22">
        <f>IFERROR(Ohj.lask.[[#This Row],[Painotetut pisteet 5]]/Ohj.lask.[[#Totals],[Painotetut pisteet 5]],0)</f>
        <v>4.2584712015901672E-4</v>
      </c>
      <c r="X10" s="19">
        <f>ROUND(IFERROR('1.1 Jakotaulu'!M$17*Ohj.lask.[[#This Row],[%-osuus 5]],0),0)</f>
        <v>14783</v>
      </c>
      <c r="Y10" s="21">
        <f>IFERROR(Ohj.lask.[[#This Row],[Jaettava € 6]]/Ohj.lask.[[#Totals],[Jaettava € 6]],"")</f>
        <v>1.7732750143864679E-3</v>
      </c>
      <c r="Z10" s="25">
        <f>IFERROR(Ohj.lask.[[#This Row],[Jaettava € 1]]+Ohj.lask.[[#This Row],[Jaettava € 2]]+Ohj.lask.[[#This Row],[Jaettava € 3]]+Ohj.lask.[[#This Row],[Jaettava € 4]]+Ohj.lask.[[#This Row],[Jaettava € 5]],"")</f>
        <v>3052489</v>
      </c>
      <c r="AA10" s="123">
        <f>0</f>
        <v>0</v>
      </c>
      <c r="AB10" s="19">
        <f>Ohj.lask.[[#This Row],[Jaettava € 1]]+Ohj.lask.[[#This Row],[Jaettava €]]</f>
        <v>2512561</v>
      </c>
      <c r="AC10" s="107">
        <f>Ohj.lask.[[#This Row],[Jaettava € 2]]</f>
        <v>521474</v>
      </c>
      <c r="AD10" s="19">
        <f>Ohj.lask.[[#This Row],[Jaettava € 3]]+Ohj.lask.[[#This Row],[Jaettava € 4]]+Ohj.lask.[[#This Row],[Jaettava € 5]]</f>
        <v>18454</v>
      </c>
      <c r="AE10" s="36">
        <f>Ohj.lask.[[#This Row],[Jaettava € 6]]+Ohj.lask.[[#This Row],[Jaettava €]]</f>
        <v>3052489</v>
      </c>
      <c r="AF10" s="36">
        <f>IFERROR(VLOOKUP(Ohj.lask.[[#This Row],[Y-tunnus]],'3.1 Alv vahvistettu'!A:Y,COLUMN(C:C),FALSE),0)</f>
        <v>111638</v>
      </c>
      <c r="AG10" s="25">
        <f>Ohj.lask.[[#This Row],[Perus-, suoritus- ja vaikuttavuusrahoitus yhteensä, €]]+Ohj.lask.[[#This Row],[Alv-korvaus, €]]</f>
        <v>3164127</v>
      </c>
    </row>
    <row r="11" spans="1:33" x14ac:dyDescent="0.2">
      <c r="A11" s="131" t="s">
        <v>404</v>
      </c>
      <c r="B11" s="16" t="s">
        <v>27</v>
      </c>
      <c r="C11" s="16" t="s">
        <v>236</v>
      </c>
      <c r="D11" s="16" t="s">
        <v>412</v>
      </c>
      <c r="E11" s="16" t="s">
        <v>474</v>
      </c>
      <c r="F11" s="114">
        <v>986</v>
      </c>
      <c r="G11" s="122">
        <f>0</f>
        <v>0</v>
      </c>
      <c r="H11" s="35">
        <f t="shared" si="0"/>
        <v>986</v>
      </c>
      <c r="I11" s="17">
        <f>IFERROR(VLOOKUP($A11,'2.1 Toteut. op.vuodet'!$A:$Q,COLUMN('2.1 Toteut. op.vuodet'!Q:Q),FALSE),0)</f>
        <v>4.9254666872708039</v>
      </c>
      <c r="J11" s="11">
        <f t="shared" si="1"/>
        <v>4856.5</v>
      </c>
      <c r="K11" s="18">
        <f>IFERROR(Ohj.lask.[[#This Row],[Painotetut opiskelija-vuodet]]/Ohj.lask.[[#Totals],[Painotetut opiskelija-vuodet]],0)</f>
        <v>2.4281504458317196E-2</v>
      </c>
      <c r="L11" s="19">
        <f>ROUND(IFERROR('1.1 Jakotaulu'!L$10*Ohj.lask.[[#This Row],[%-osuus 1]],0),0)</f>
        <v>28311494</v>
      </c>
      <c r="M11" s="211">
        <f>IFERROR(ROUND(VLOOKUP($A11,'2.2 Tutk. ja osien pain. pist.'!$A:$Q,COLUMN('2.2 Tutk. ja osien pain. pist.'!P:P),FALSE),1),0)</f>
        <v>216166.9</v>
      </c>
      <c r="N11" s="18">
        <f>IFERROR(Ohj.lask.[[#This Row],[Painotetut pisteet 2]]/Ohj.lask.[[#Totals],[Painotetut pisteet 2]],0)</f>
        <v>1.3813985288319655E-2</v>
      </c>
      <c r="O11" s="25">
        <f>ROUND(IFERROR('1.1 Jakotaulu'!K$11*Ohj.lask.[[#This Row],[%-osuus 2]],0),0)</f>
        <v>5115001</v>
      </c>
      <c r="P11" s="233">
        <f>IFERROR(ROUND(VLOOKUP($A11,'2.3 Työll. ja jatko-opisk.'!$A:$K,COLUMN('2.3 Työll. ja jatko-opisk.'!I:I),FALSE),1),0)</f>
        <v>415.2</v>
      </c>
      <c r="Q11" s="18">
        <f>IFERROR(Ohj.lask.[[#This Row],[Painotetut pisteet 3]]/Ohj.lask.[[#Totals],[Painotetut pisteet 3]],0)</f>
        <v>2.1918525588506079E-3</v>
      </c>
      <c r="R11" s="19">
        <f>ROUND(IFERROR('1.1 Jakotaulu'!L$13*Ohj.lask.[[#This Row],[%-osuus 3]],0),0)</f>
        <v>304347</v>
      </c>
      <c r="S11" s="211">
        <f>IFERROR(ROUND(VLOOKUP($A11,'2.4 Aloittaneet palaute'!$A:$K,COLUMN('2.4 Aloittaneet palaute'!J:J),FALSE),1),0)</f>
        <v>5278.7</v>
      </c>
      <c r="T11" s="22">
        <f>IFERROR(Ohj.lask.[[#This Row],[Painotetut pisteet 4]]/Ohj.lask.[[#Totals],[Painotetut pisteet 4]],0)</f>
        <v>4.2397943578856455E-3</v>
      </c>
      <c r="U11" s="25">
        <f>ROUND(IFERROR('1.1 Jakotaulu'!M$16*Ohj.lask.[[#This Row],[%-osuus 4]],0),0)</f>
        <v>49059</v>
      </c>
      <c r="V11" s="235">
        <f>IFERROR(ROUND(VLOOKUP($A11,'2.5 Päättäneet palaute'!$A:$AC,COLUMN('2.5 Päättäneet palaute'!AB:AB),FALSE),1),0)</f>
        <v>29997.599999999999</v>
      </c>
      <c r="W11" s="22">
        <f>IFERROR(Ohj.lask.[[#This Row],[Painotetut pisteet 5]]/Ohj.lask.[[#Totals],[Painotetut pisteet 5]],0)</f>
        <v>4.5299260892489781E-3</v>
      </c>
      <c r="X11" s="19">
        <f>ROUND(IFERROR('1.1 Jakotaulu'!M$17*Ohj.lask.[[#This Row],[%-osuus 5]],0),0)</f>
        <v>157249</v>
      </c>
      <c r="Y11" s="21">
        <f>IFERROR(Ohj.lask.[[#This Row],[Jaettava € 6]]/Ohj.lask.[[#Totals],[Jaettava € 6]],"")</f>
        <v>1.9715026050703448E-2</v>
      </c>
      <c r="Z11" s="25">
        <f>IFERROR(Ohj.lask.[[#This Row],[Jaettava € 1]]+Ohj.lask.[[#This Row],[Jaettava € 2]]+Ohj.lask.[[#This Row],[Jaettava € 3]]+Ohj.lask.[[#This Row],[Jaettava € 4]]+Ohj.lask.[[#This Row],[Jaettava € 5]],"")</f>
        <v>33937150</v>
      </c>
      <c r="AA11" s="123">
        <f>0</f>
        <v>0</v>
      </c>
      <c r="AB11" s="19">
        <f>Ohj.lask.[[#This Row],[Jaettava € 1]]+Ohj.lask.[[#This Row],[Jaettava €]]</f>
        <v>28311494</v>
      </c>
      <c r="AC11" s="107">
        <f>Ohj.lask.[[#This Row],[Jaettava € 2]]</f>
        <v>5115001</v>
      </c>
      <c r="AD11" s="19">
        <f>Ohj.lask.[[#This Row],[Jaettava € 3]]+Ohj.lask.[[#This Row],[Jaettava € 4]]+Ohj.lask.[[#This Row],[Jaettava € 5]]</f>
        <v>510655</v>
      </c>
      <c r="AE11" s="36">
        <f>Ohj.lask.[[#This Row],[Jaettava € 6]]+Ohj.lask.[[#This Row],[Jaettava €]]</f>
        <v>33937150</v>
      </c>
      <c r="AF11" s="36">
        <f>IFERROR(VLOOKUP(Ohj.lask.[[#This Row],[Y-tunnus]],'3.1 Alv vahvistettu'!A:Y,COLUMN(C:C),FALSE),0)</f>
        <v>2068624.1300000001</v>
      </c>
      <c r="AG11" s="25">
        <f>Ohj.lask.[[#This Row],[Perus-, suoritus- ja vaikuttavuusrahoitus yhteensä, €]]+Ohj.lask.[[#This Row],[Alv-korvaus, €]]</f>
        <v>36005774.130000003</v>
      </c>
    </row>
    <row r="12" spans="1:33" x14ac:dyDescent="0.2">
      <c r="A12" s="131" t="s">
        <v>402</v>
      </c>
      <c r="B12" s="16" t="s">
        <v>207</v>
      </c>
      <c r="C12" s="16" t="s">
        <v>236</v>
      </c>
      <c r="D12" s="16" t="s">
        <v>412</v>
      </c>
      <c r="E12" s="16" t="s">
        <v>474</v>
      </c>
      <c r="F12" s="114">
        <v>68</v>
      </c>
      <c r="G12" s="122">
        <f>0</f>
        <v>0</v>
      </c>
      <c r="H12" s="35">
        <f t="shared" si="0"/>
        <v>68</v>
      </c>
      <c r="I12" s="17">
        <f>IFERROR(VLOOKUP($A12,'2.1 Toteut. op.vuodet'!$A:$Q,COLUMN('2.1 Toteut. op.vuodet'!Q:Q),FALSE),0)</f>
        <v>0.56865015725101997</v>
      </c>
      <c r="J12" s="11">
        <f t="shared" si="1"/>
        <v>38.700000000000003</v>
      </c>
      <c r="K12" s="18">
        <f>IFERROR(Ohj.lask.[[#This Row],[Painotetut opiskelija-vuodet]]/Ohj.lask.[[#Totals],[Painotetut opiskelija-vuodet]],0)</f>
        <v>1.9349206682526008E-4</v>
      </c>
      <c r="L12" s="19">
        <f>ROUND(IFERROR('1.1 Jakotaulu'!L$10*Ohj.lask.[[#This Row],[%-osuus 1]],0),0)</f>
        <v>225606</v>
      </c>
      <c r="M12" s="211">
        <f>IFERROR(ROUND(VLOOKUP($A12,'2.2 Tutk. ja osien pain. pist.'!$A:$Q,COLUMN('2.2 Tutk. ja osien pain. pist.'!P:P),FALSE),1),0)</f>
        <v>5489.2</v>
      </c>
      <c r="N12" s="18">
        <f>IFERROR(Ohj.lask.[[#This Row],[Painotetut pisteet 2]]/Ohj.lask.[[#Totals],[Painotetut pisteet 2]],0)</f>
        <v>3.5078325148135193E-4</v>
      </c>
      <c r="O12" s="25">
        <f>ROUND(IFERROR('1.1 Jakotaulu'!K$11*Ohj.lask.[[#This Row],[%-osuus 2]],0),0)</f>
        <v>129887</v>
      </c>
      <c r="P12" s="233">
        <f>IFERROR(ROUND(VLOOKUP($A12,'2.3 Työll. ja jatko-opisk.'!$A:$K,COLUMN('2.3 Työll. ja jatko-opisk.'!I:I),FALSE),1),0)</f>
        <v>124.6</v>
      </c>
      <c r="Q12" s="18">
        <f>IFERROR(Ohj.lask.[[#This Row],[Painotetut pisteet 3]]/Ohj.lask.[[#Totals],[Painotetut pisteet 3]],0)</f>
        <v>6.5776692878801953E-4</v>
      </c>
      <c r="R12" s="19">
        <f>ROUND(IFERROR('1.1 Jakotaulu'!L$13*Ohj.lask.[[#This Row],[%-osuus 3]],0),0)</f>
        <v>91333</v>
      </c>
      <c r="S12" s="211">
        <f>IFERROR(ROUND(VLOOKUP($A12,'2.4 Aloittaneet palaute'!$A:$K,COLUMN('2.4 Aloittaneet palaute'!J:J),FALSE),1),0)</f>
        <v>3063.9</v>
      </c>
      <c r="T12" s="22">
        <f>IFERROR(Ohj.lask.[[#This Row],[Painotetut pisteet 4]]/Ohj.lask.[[#Totals],[Painotetut pisteet 4]],0)</f>
        <v>2.4608911158288649E-3</v>
      </c>
      <c r="U12" s="25">
        <f>ROUND(IFERROR('1.1 Jakotaulu'!M$16*Ohj.lask.[[#This Row],[%-osuus 4]],0),0)</f>
        <v>28475</v>
      </c>
      <c r="V12" s="235">
        <f>IFERROR(ROUND(VLOOKUP($A12,'2.5 Päättäneet palaute'!$A:$AC,COLUMN('2.5 Päättäneet palaute'!AB:AB),FALSE),1),0)</f>
        <v>14847.8</v>
      </c>
      <c r="W12" s="22">
        <f>IFERROR(Ohj.lask.[[#This Row],[Painotetut pisteet 5]]/Ohj.lask.[[#Totals],[Painotetut pisteet 5]],0)</f>
        <v>2.2421605924457617E-3</v>
      </c>
      <c r="X12" s="19">
        <f>ROUND(IFERROR('1.1 Jakotaulu'!M$17*Ohj.lask.[[#This Row],[%-osuus 5]],0),0)</f>
        <v>77833</v>
      </c>
      <c r="Y12" s="21">
        <f>IFERROR(Ohj.lask.[[#This Row],[Jaettava € 6]]/Ohj.lask.[[#Totals],[Jaettava € 6]],"")</f>
        <v>3.2133078999060916E-4</v>
      </c>
      <c r="Z12" s="25">
        <f>IFERROR(Ohj.lask.[[#This Row],[Jaettava € 1]]+Ohj.lask.[[#This Row],[Jaettava € 2]]+Ohj.lask.[[#This Row],[Jaettava € 3]]+Ohj.lask.[[#This Row],[Jaettava € 4]]+Ohj.lask.[[#This Row],[Jaettava € 5]],"")</f>
        <v>553134</v>
      </c>
      <c r="AA12" s="123">
        <f>0</f>
        <v>0</v>
      </c>
      <c r="AB12" s="19">
        <f>Ohj.lask.[[#This Row],[Jaettava € 1]]+Ohj.lask.[[#This Row],[Jaettava €]]</f>
        <v>225606</v>
      </c>
      <c r="AC12" s="107">
        <f>Ohj.lask.[[#This Row],[Jaettava € 2]]</f>
        <v>129887</v>
      </c>
      <c r="AD12" s="19">
        <f>Ohj.lask.[[#This Row],[Jaettava € 3]]+Ohj.lask.[[#This Row],[Jaettava € 4]]+Ohj.lask.[[#This Row],[Jaettava € 5]]</f>
        <v>197641</v>
      </c>
      <c r="AE12" s="36">
        <f>Ohj.lask.[[#This Row],[Jaettava € 6]]+Ohj.lask.[[#This Row],[Jaettava €]]</f>
        <v>553134</v>
      </c>
      <c r="AF12" s="36">
        <f>IFERROR(VLOOKUP(Ohj.lask.[[#This Row],[Y-tunnus]],'3.1 Alv vahvistettu'!A:Y,COLUMN(C:C),FALSE),0)</f>
        <v>37781.120000000003</v>
      </c>
      <c r="AG12" s="25">
        <f>Ohj.lask.[[#This Row],[Perus-, suoritus- ja vaikuttavuusrahoitus yhteensä, €]]+Ohj.lask.[[#This Row],[Alv-korvaus, €]]</f>
        <v>590915.12</v>
      </c>
    </row>
    <row r="13" spans="1:33" x14ac:dyDescent="0.2">
      <c r="A13" s="131" t="s">
        <v>401</v>
      </c>
      <c r="B13" s="16" t="s">
        <v>29</v>
      </c>
      <c r="C13" s="98" t="s">
        <v>236</v>
      </c>
      <c r="D13" s="98" t="s">
        <v>412</v>
      </c>
      <c r="E13" s="98" t="s">
        <v>475</v>
      </c>
      <c r="F13" s="113">
        <v>1592</v>
      </c>
      <c r="G13" s="122">
        <f>0</f>
        <v>0</v>
      </c>
      <c r="H13" s="35">
        <f t="shared" si="0"/>
        <v>1592</v>
      </c>
      <c r="I13" s="17">
        <f>IFERROR(VLOOKUP($A13,'2.1 Toteut. op.vuodet'!$A:$Q,COLUMN('2.1 Toteut. op.vuodet'!Q:Q),FALSE),0)</f>
        <v>1.0397313269662878</v>
      </c>
      <c r="J13" s="11">
        <f t="shared" si="1"/>
        <v>1655.3</v>
      </c>
      <c r="K13" s="18">
        <f>IFERROR(Ohj.lask.[[#This Row],[Painotetut opiskelija-vuodet]]/Ohj.lask.[[#Totals],[Painotetut opiskelija-vuodet]],0)</f>
        <v>8.2761606774122212E-3</v>
      </c>
      <c r="L13" s="19">
        <f>ROUND(IFERROR('1.1 Jakotaulu'!L$10*Ohj.lask.[[#This Row],[%-osuus 1]],0),0)</f>
        <v>9649751</v>
      </c>
      <c r="M13" s="211">
        <f>IFERROR(ROUND(VLOOKUP($A13,'2.2 Tutk. ja osien pain. pist.'!$A:$Q,COLUMN('2.2 Tutk. ja osien pain. pist.'!P:P),FALSE),1),0)</f>
        <v>136890.20000000001</v>
      </c>
      <c r="N13" s="18">
        <f>IFERROR(Ohj.lask.[[#This Row],[Painotetut pisteet 2]]/Ohj.lask.[[#Totals],[Painotetut pisteet 2]],0)</f>
        <v>8.7478666202602511E-3</v>
      </c>
      <c r="O13" s="25">
        <f>ROUND(IFERROR('1.1 Jakotaulu'!K$11*Ohj.lask.[[#This Row],[%-osuus 2]],0),0)</f>
        <v>3239134</v>
      </c>
      <c r="P13" s="233">
        <f>IFERROR(ROUND(VLOOKUP($A13,'2.3 Työll. ja jatko-opisk.'!$A:$K,COLUMN('2.3 Työll. ja jatko-opisk.'!I:I),FALSE),1),0)</f>
        <v>1774.6</v>
      </c>
      <c r="Q13" s="22">
        <f>IFERROR(Ohj.lask.[[#This Row],[Painotetut pisteet 3]]/Ohj.lask.[[#Totals],[Painotetut pisteet 3]],0)</f>
        <v>9.3681636583243938E-3</v>
      </c>
      <c r="R13" s="19">
        <f>ROUND(IFERROR('1.1 Jakotaulu'!L$13*Ohj.lask.[[#This Row],[%-osuus 3]],0),0)</f>
        <v>1300806</v>
      </c>
      <c r="S13" s="211">
        <f>IFERROR(ROUND(VLOOKUP($A13,'2.4 Aloittaneet palaute'!$A:$K,COLUMN('2.4 Aloittaneet palaute'!J:J),FALSE),1),0)</f>
        <v>10276</v>
      </c>
      <c r="T13" s="22">
        <f>IFERROR(Ohj.lask.[[#This Row],[Painotetut pisteet 4]]/Ohj.lask.[[#Totals],[Painotetut pisteet 4]],0)</f>
        <v>8.2535713000611698E-3</v>
      </c>
      <c r="U13" s="25">
        <f>ROUND(IFERROR('1.1 Jakotaulu'!M$16*Ohj.lask.[[#This Row],[%-osuus 4]],0),0)</f>
        <v>95503</v>
      </c>
      <c r="V13" s="235">
        <f>IFERROR(ROUND(VLOOKUP($A13,'2.5 Päättäneet palaute'!$A:$AC,COLUMN('2.5 Päättäneet palaute'!AB:AB),FALSE),1),0)</f>
        <v>41845.9</v>
      </c>
      <c r="W13" s="22">
        <f>IFERROR(Ohj.lask.[[#This Row],[Painotetut pisteet 5]]/Ohj.lask.[[#Totals],[Painotetut pisteet 5]],0)</f>
        <v>6.3191333352702831E-3</v>
      </c>
      <c r="X13" s="19">
        <f>ROUND(IFERROR('1.1 Jakotaulu'!M$17*Ohj.lask.[[#This Row],[%-osuus 5]],0),0)</f>
        <v>219359</v>
      </c>
      <c r="Y13" s="21">
        <f>IFERROR(Ohj.lask.[[#This Row],[Jaettava € 6]]/Ohj.lask.[[#Totals],[Jaettava € 6]],"")</f>
        <v>8.4260947147538571E-3</v>
      </c>
      <c r="Z13" s="25">
        <f>IFERROR(Ohj.lask.[[#This Row],[Jaettava € 1]]+Ohj.lask.[[#This Row],[Jaettava € 2]]+Ohj.lask.[[#This Row],[Jaettava € 3]]+Ohj.lask.[[#This Row],[Jaettava € 4]]+Ohj.lask.[[#This Row],[Jaettava € 5]],"")</f>
        <v>14504553</v>
      </c>
      <c r="AA13" s="123">
        <f>0</f>
        <v>0</v>
      </c>
      <c r="AB13" s="19">
        <f>Ohj.lask.[[#This Row],[Jaettava € 1]]+Ohj.lask.[[#This Row],[Jaettava €]]</f>
        <v>9649751</v>
      </c>
      <c r="AC13" s="107">
        <f>Ohj.lask.[[#This Row],[Jaettava € 2]]</f>
        <v>3239134</v>
      </c>
      <c r="AD13" s="19">
        <f>Ohj.lask.[[#This Row],[Jaettava € 3]]+Ohj.lask.[[#This Row],[Jaettava € 4]]+Ohj.lask.[[#This Row],[Jaettava € 5]]</f>
        <v>1615668</v>
      </c>
      <c r="AE13" s="36">
        <f>Ohj.lask.[[#This Row],[Jaettava € 6]]+Ohj.lask.[[#This Row],[Jaettava €]]</f>
        <v>14504553</v>
      </c>
      <c r="AF13" s="36">
        <f>IFERROR(VLOOKUP(Ohj.lask.[[#This Row],[Y-tunnus]],'3.1 Alv vahvistettu'!A:Y,COLUMN(C:C),FALSE),0)</f>
        <v>1127737.58</v>
      </c>
      <c r="AG13" s="25">
        <f>Ohj.lask.[[#This Row],[Perus-, suoritus- ja vaikuttavuusrahoitus yhteensä, €]]+Ohj.lask.[[#This Row],[Alv-korvaus, €]]</f>
        <v>15632290.58</v>
      </c>
    </row>
    <row r="14" spans="1:33" x14ac:dyDescent="0.2">
      <c r="A14" s="131" t="s">
        <v>237</v>
      </c>
      <c r="B14" s="16" t="s">
        <v>208</v>
      </c>
      <c r="C14" s="16" t="s">
        <v>236</v>
      </c>
      <c r="D14" s="16" t="s">
        <v>412</v>
      </c>
      <c r="E14" s="16" t="s">
        <v>476</v>
      </c>
      <c r="F14" s="114">
        <v>2494</v>
      </c>
      <c r="G14" s="122">
        <f>0</f>
        <v>0</v>
      </c>
      <c r="H14" s="35">
        <f t="shared" si="0"/>
        <v>2494</v>
      </c>
      <c r="I14" s="17">
        <f>IFERROR(VLOOKUP($A14,'2.1 Toteut. op.vuodet'!$A:$Q,COLUMN('2.1 Toteut. op.vuodet'!Q:Q),FALSE),0)</f>
        <v>0.92108631199293245</v>
      </c>
      <c r="J14" s="11">
        <f t="shared" si="1"/>
        <v>2297.1999999999998</v>
      </c>
      <c r="K14" s="18">
        <f>IFERROR(Ohj.lask.[[#This Row],[Painotetut opiskelija-vuodet]]/Ohj.lask.[[#Totals],[Painotetut opiskelija-vuodet]],0)</f>
        <v>1.1485529093307167E-2</v>
      </c>
      <c r="L14" s="19">
        <f>ROUND(IFERROR('1.1 Jakotaulu'!L$10*Ohj.lask.[[#This Row],[%-osuus 1]],0),0)</f>
        <v>13391777</v>
      </c>
      <c r="M14" s="211">
        <f>IFERROR(ROUND(VLOOKUP($A14,'2.2 Tutk. ja osien pain. pist.'!$A:$Q,COLUMN('2.2 Tutk. ja osien pain. pist.'!P:P),FALSE),1),0)</f>
        <v>255151.8</v>
      </c>
      <c r="N14" s="18">
        <f>IFERROR(Ohj.lask.[[#This Row],[Painotetut pisteet 2]]/Ohj.lask.[[#Totals],[Painotetut pisteet 2]],0)</f>
        <v>1.6305286385141664E-2</v>
      </c>
      <c r="O14" s="25">
        <f>ROUND(IFERROR('1.1 Jakotaulu'!K$11*Ohj.lask.[[#This Row],[%-osuus 2]],0),0)</f>
        <v>6037473</v>
      </c>
      <c r="P14" s="233">
        <f>IFERROR(ROUND(VLOOKUP($A14,'2.3 Työll. ja jatko-opisk.'!$A:$K,COLUMN('2.3 Työll. ja jatko-opisk.'!I:I),FALSE),1),0)</f>
        <v>2929.4</v>
      </c>
      <c r="Q14" s="18">
        <f>IFERROR(Ohj.lask.[[#This Row],[Painotetut pisteet 3]]/Ohj.lask.[[#Totals],[Painotetut pisteet 3]],0)</f>
        <v>1.5464385563335672E-2</v>
      </c>
      <c r="R14" s="19">
        <f>ROUND(IFERROR('1.1 Jakotaulu'!L$13*Ohj.lask.[[#This Row],[%-osuus 3]],0),0)</f>
        <v>2147290</v>
      </c>
      <c r="S14" s="211">
        <f>IFERROR(ROUND(VLOOKUP($A14,'2.4 Aloittaneet palaute'!$A:$K,COLUMN('2.4 Aloittaneet palaute'!J:J),FALSE),1),0)</f>
        <v>33320.400000000001</v>
      </c>
      <c r="T14" s="22">
        <f>IFERROR(Ohj.lask.[[#This Row],[Painotetut pisteet 4]]/Ohj.lask.[[#Totals],[Painotetut pisteet 4]],0)</f>
        <v>2.6762582439330301E-2</v>
      </c>
      <c r="U14" s="25">
        <f>ROUND(IFERROR('1.1 Jakotaulu'!M$16*Ohj.lask.[[#This Row],[%-osuus 4]],0),0)</f>
        <v>309674</v>
      </c>
      <c r="V14" s="235">
        <f>IFERROR(ROUND(VLOOKUP($A14,'2.5 Päättäneet palaute'!$A:$AC,COLUMN('2.5 Päättäneet palaute'!AB:AB),FALSE),1),0)</f>
        <v>206885.7</v>
      </c>
      <c r="W14" s="22">
        <f>IFERROR(Ohj.lask.[[#This Row],[Painotetut pisteet 5]]/Ohj.lask.[[#Totals],[Painotetut pisteet 5]],0)</f>
        <v>3.1241730335844781E-2</v>
      </c>
      <c r="X14" s="19">
        <f>ROUND(IFERROR('1.1 Jakotaulu'!M$17*Ohj.lask.[[#This Row],[%-osuus 5]],0),0)</f>
        <v>1084509</v>
      </c>
      <c r="Y14" s="21">
        <f>IFERROR(Ohj.lask.[[#This Row],[Jaettava € 6]]/Ohj.lask.[[#Totals],[Jaettava € 6]],"")</f>
        <v>1.3344326272197072E-2</v>
      </c>
      <c r="Z14" s="25">
        <f>IFERROR(Ohj.lask.[[#This Row],[Jaettava € 1]]+Ohj.lask.[[#This Row],[Jaettava € 2]]+Ohj.lask.[[#This Row],[Jaettava € 3]]+Ohj.lask.[[#This Row],[Jaettava € 4]]+Ohj.lask.[[#This Row],[Jaettava € 5]],"")</f>
        <v>22970723</v>
      </c>
      <c r="AA14" s="123">
        <f>0</f>
        <v>0</v>
      </c>
      <c r="AB14" s="19">
        <f>Ohj.lask.[[#This Row],[Jaettava € 1]]+Ohj.lask.[[#This Row],[Jaettava €]]</f>
        <v>13391777</v>
      </c>
      <c r="AC14" s="107">
        <f>Ohj.lask.[[#This Row],[Jaettava € 2]]</f>
        <v>6037473</v>
      </c>
      <c r="AD14" s="19">
        <f>Ohj.lask.[[#This Row],[Jaettava € 3]]+Ohj.lask.[[#This Row],[Jaettava € 4]]+Ohj.lask.[[#This Row],[Jaettava € 5]]</f>
        <v>3541473</v>
      </c>
      <c r="AE14" s="36">
        <f>Ohj.lask.[[#This Row],[Jaettava € 6]]+Ohj.lask.[[#This Row],[Jaettava €]]</f>
        <v>22970723</v>
      </c>
      <c r="AF14" s="36">
        <f>IFERROR(VLOOKUP(Ohj.lask.[[#This Row],[Y-tunnus]],'3.1 Alv vahvistettu'!A:Y,COLUMN(C:C),FALSE),0)</f>
        <v>1414983.92</v>
      </c>
      <c r="AG14" s="25">
        <f>Ohj.lask.[[#This Row],[Perus-, suoritus- ja vaikuttavuusrahoitus yhteensä, €]]+Ohj.lask.[[#This Row],[Alv-korvaus, €]]</f>
        <v>24385706.920000002</v>
      </c>
    </row>
    <row r="15" spans="1:33" x14ac:dyDescent="0.2">
      <c r="A15" s="131" t="s">
        <v>399</v>
      </c>
      <c r="B15" s="16" t="s">
        <v>30</v>
      </c>
      <c r="C15" s="16" t="s">
        <v>236</v>
      </c>
      <c r="D15" s="16" t="s">
        <v>412</v>
      </c>
      <c r="E15" s="16" t="s">
        <v>474</v>
      </c>
      <c r="F15" s="114">
        <v>0</v>
      </c>
      <c r="G15" s="122">
        <f>0</f>
        <v>0</v>
      </c>
      <c r="H15" s="35">
        <f t="shared" si="0"/>
        <v>0</v>
      </c>
      <c r="I15" s="17">
        <f>IFERROR(VLOOKUP($A15,'2.1 Toteut. op.vuodet'!$A:$Q,COLUMN('2.1 Toteut. op.vuodet'!Q:Q),FALSE),0)</f>
        <v>0.67374999999999985</v>
      </c>
      <c r="J15" s="11">
        <f t="shared" si="1"/>
        <v>0</v>
      </c>
      <c r="K15" s="18">
        <f>IFERROR(Ohj.lask.[[#This Row],[Painotetut opiskelija-vuodet]]/Ohj.lask.[[#Totals],[Painotetut opiskelija-vuodet]],0)</f>
        <v>0</v>
      </c>
      <c r="L15" s="19">
        <f>ROUND(IFERROR('1.1 Jakotaulu'!L$10*Ohj.lask.[[#This Row],[%-osuus 1]],0),0)</f>
        <v>0</v>
      </c>
      <c r="M15" s="211">
        <f>IFERROR(ROUND(VLOOKUP($A15,'2.2 Tutk. ja osien pain. pist.'!$A:$Q,COLUMN('2.2 Tutk. ja osien pain. pist.'!P:P),FALSE),1),0)</f>
        <v>694</v>
      </c>
      <c r="N15" s="18">
        <f>IFERROR(Ohj.lask.[[#This Row],[Painotetut pisteet 2]]/Ohj.lask.[[#Totals],[Painotetut pisteet 2]],0)</f>
        <v>4.4349554858277757E-5</v>
      </c>
      <c r="O15" s="25">
        <f>ROUND(IFERROR('1.1 Jakotaulu'!K$11*Ohj.lask.[[#This Row],[%-osuus 2]],0),0)</f>
        <v>16422</v>
      </c>
      <c r="P15" s="233">
        <f>IFERROR(ROUND(VLOOKUP($A15,'2.3 Työll. ja jatko-opisk.'!$A:$K,COLUMN('2.3 Työll. ja jatko-opisk.'!I:I),FALSE),1),0)</f>
        <v>0</v>
      </c>
      <c r="Q15" s="18">
        <f>IFERROR(Ohj.lask.[[#This Row],[Painotetut pisteet 3]]/Ohj.lask.[[#Totals],[Painotetut pisteet 3]],0)</f>
        <v>0</v>
      </c>
      <c r="R15" s="19">
        <f>ROUND(IFERROR('1.1 Jakotaulu'!L$13*Ohj.lask.[[#This Row],[%-osuus 3]],0),0)</f>
        <v>0</v>
      </c>
      <c r="S15" s="211">
        <f>IFERROR(ROUND(VLOOKUP($A15,'2.4 Aloittaneet palaute'!$A:$K,COLUMN('2.4 Aloittaneet palaute'!J:J),FALSE),1),0)</f>
        <v>657.6</v>
      </c>
      <c r="T15" s="22">
        <f>IFERROR(Ohj.lask.[[#This Row],[Painotetut pisteet 4]]/Ohj.lask.[[#Totals],[Painotetut pisteet 4]],0)</f>
        <v>5.2817715910083928E-4</v>
      </c>
      <c r="U15" s="25">
        <f>ROUND(IFERROR('1.1 Jakotaulu'!M$16*Ohj.lask.[[#This Row],[%-osuus 4]],0),0)</f>
        <v>6112</v>
      </c>
      <c r="V15" s="235">
        <f>IFERROR(ROUND(VLOOKUP($A15,'2.5 Päättäneet palaute'!$A:$AC,COLUMN('2.5 Päättäneet palaute'!AB:AB),FALSE),1),0)</f>
        <v>3291</v>
      </c>
      <c r="W15" s="22">
        <f>IFERROR(Ohj.lask.[[#This Row],[Painotetut pisteet 5]]/Ohj.lask.[[#Totals],[Painotetut pisteet 5]],0)</f>
        <v>4.9697264980259719E-4</v>
      </c>
      <c r="X15" s="19">
        <f>ROUND(IFERROR('1.1 Jakotaulu'!M$17*Ohj.lask.[[#This Row],[%-osuus 5]],0),0)</f>
        <v>17252</v>
      </c>
      <c r="Y15" s="21">
        <f>IFERROR(Ohj.lask.[[#This Row],[Jaettava € 6]]/Ohj.lask.[[#Totals],[Jaettava € 6]],"")</f>
        <v>2.3112784263065326E-5</v>
      </c>
      <c r="Z15" s="25">
        <f>IFERROR(Ohj.lask.[[#This Row],[Jaettava € 1]]+Ohj.lask.[[#This Row],[Jaettava € 2]]+Ohj.lask.[[#This Row],[Jaettava € 3]]+Ohj.lask.[[#This Row],[Jaettava € 4]]+Ohj.lask.[[#This Row],[Jaettava € 5]],"")</f>
        <v>39786</v>
      </c>
      <c r="AA15" s="123">
        <f>0</f>
        <v>0</v>
      </c>
      <c r="AB15" s="19">
        <f>Ohj.lask.[[#This Row],[Jaettava € 1]]+Ohj.lask.[[#This Row],[Jaettava €]]</f>
        <v>0</v>
      </c>
      <c r="AC15" s="107">
        <f>Ohj.lask.[[#This Row],[Jaettava € 2]]</f>
        <v>16422</v>
      </c>
      <c r="AD15" s="19">
        <f>Ohj.lask.[[#This Row],[Jaettava € 3]]+Ohj.lask.[[#This Row],[Jaettava € 4]]+Ohj.lask.[[#This Row],[Jaettava € 5]]</f>
        <v>23364</v>
      </c>
      <c r="AE15" s="36">
        <f>Ohj.lask.[[#This Row],[Jaettava € 6]]+Ohj.lask.[[#This Row],[Jaettava €]]</f>
        <v>39786</v>
      </c>
      <c r="AF15" s="36">
        <f>IFERROR(VLOOKUP(Ohj.lask.[[#This Row],[Y-tunnus]],'3.1 Alv vahvistettu'!A:Y,COLUMN(C:C),FALSE),0)</f>
        <v>0</v>
      </c>
      <c r="AG15" s="25">
        <f>Ohj.lask.[[#This Row],[Perus-, suoritus- ja vaikuttavuusrahoitus yhteensä, €]]+Ohj.lask.[[#This Row],[Alv-korvaus, €]]</f>
        <v>39786</v>
      </c>
    </row>
    <row r="16" spans="1:33" x14ac:dyDescent="0.2">
      <c r="A16" s="131" t="s">
        <v>398</v>
      </c>
      <c r="B16" s="16" t="s">
        <v>31</v>
      </c>
      <c r="C16" s="16" t="s">
        <v>236</v>
      </c>
      <c r="D16" s="16" t="s">
        <v>411</v>
      </c>
      <c r="E16" s="16" t="s">
        <v>474</v>
      </c>
      <c r="F16" s="114">
        <v>5838</v>
      </c>
      <c r="G16" s="122">
        <f>0</f>
        <v>0</v>
      </c>
      <c r="H16" s="35">
        <f t="shared" si="0"/>
        <v>5838</v>
      </c>
      <c r="I16" s="17">
        <f>IFERROR(VLOOKUP($A16,'2.1 Toteut. op.vuodet'!$A:$Q,COLUMN('2.1 Toteut. op.vuodet'!Q:Q),FALSE),0)</f>
        <v>0.9874384368953758</v>
      </c>
      <c r="J16" s="11">
        <f t="shared" si="1"/>
        <v>5764.7</v>
      </c>
      <c r="K16" s="18">
        <f>IFERROR(Ohj.lask.[[#This Row],[Painotetut opiskelija-vuodet]]/Ohj.lask.[[#Totals],[Painotetut opiskelija-vuodet]],0)</f>
        <v>2.8822318284950302E-2</v>
      </c>
      <c r="L16" s="19">
        <f>ROUND(IFERROR('1.1 Jakotaulu'!L$10*Ohj.lask.[[#This Row],[%-osuus 1]],0),0)</f>
        <v>33605944</v>
      </c>
      <c r="M16" s="211">
        <f>IFERROR(ROUND(VLOOKUP($A16,'2.2 Tutk. ja osien pain. pist.'!$A:$Q,COLUMN('2.2 Tutk. ja osien pain. pist.'!P:P),FALSE),1),0)</f>
        <v>575985.19999999995</v>
      </c>
      <c r="N16" s="18">
        <f>IFERROR(Ohj.lask.[[#This Row],[Painotetut pisteet 2]]/Ohj.lask.[[#Totals],[Painotetut pisteet 2]],0)</f>
        <v>3.6807906664201848E-2</v>
      </c>
      <c r="O16" s="25">
        <f>ROUND(IFERROR('1.1 Jakotaulu'!K$11*Ohj.lask.[[#This Row],[%-osuus 2]],0),0)</f>
        <v>13629121</v>
      </c>
      <c r="P16" s="233">
        <f>IFERROR(ROUND(VLOOKUP($A16,'2.3 Työll. ja jatko-opisk.'!$A:$K,COLUMN('2.3 Työll. ja jatko-opisk.'!I:I),FALSE),1),0)</f>
        <v>7446.3</v>
      </c>
      <c r="Q16" s="18">
        <f>IFERROR(Ohj.lask.[[#This Row],[Painotetut pisteet 3]]/Ohj.lask.[[#Totals],[Painotetut pisteet 3]],0)</f>
        <v>3.9309228586149519E-2</v>
      </c>
      <c r="R16" s="19">
        <f>ROUND(IFERROR('1.1 Jakotaulu'!L$13*Ohj.lask.[[#This Row],[%-osuus 3]],0),0)</f>
        <v>5458239</v>
      </c>
      <c r="S16" s="211">
        <f>IFERROR(ROUND(VLOOKUP($A16,'2.4 Aloittaneet palaute'!$A:$K,COLUMN('2.4 Aloittaneet palaute'!J:J),FALSE),1),0)</f>
        <v>45607</v>
      </c>
      <c r="T16" s="22">
        <f>IFERROR(Ohj.lask.[[#This Row],[Painotetut pisteet 4]]/Ohj.lask.[[#Totals],[Painotetut pisteet 4]],0)</f>
        <v>3.6631045765072957E-2</v>
      </c>
      <c r="U16" s="25">
        <f>ROUND(IFERROR('1.1 Jakotaulu'!M$16*Ohj.lask.[[#This Row],[%-osuus 4]],0),0)</f>
        <v>423864</v>
      </c>
      <c r="V16" s="235">
        <f>IFERROR(ROUND(VLOOKUP($A16,'2.5 Päättäneet palaute'!$A:$AC,COLUMN('2.5 Päättäneet palaute'!AB:AB),FALSE),1),0)</f>
        <v>127313</v>
      </c>
      <c r="W16" s="22">
        <f>IFERROR(Ohj.lask.[[#This Row],[Painotetut pisteet 5]]/Ohj.lask.[[#Totals],[Painotetut pisteet 5]],0)</f>
        <v>1.9225487379008827E-2</v>
      </c>
      <c r="X16" s="19">
        <f>ROUND(IFERROR('1.1 Jakotaulu'!M$17*Ohj.lask.[[#This Row],[%-osuus 5]],0),0)</f>
        <v>667383</v>
      </c>
      <c r="Y16" s="21">
        <f>IFERROR(Ohj.lask.[[#This Row],[Jaettava € 6]]/Ohj.lask.[[#Totals],[Jaettava € 6]],"")</f>
        <v>3.1244928466014035E-2</v>
      </c>
      <c r="Z16" s="25">
        <f>IFERROR(Ohj.lask.[[#This Row],[Jaettava € 1]]+Ohj.lask.[[#This Row],[Jaettava € 2]]+Ohj.lask.[[#This Row],[Jaettava € 3]]+Ohj.lask.[[#This Row],[Jaettava € 4]]+Ohj.lask.[[#This Row],[Jaettava € 5]],"")</f>
        <v>53784551</v>
      </c>
      <c r="AA16" s="123">
        <f>0</f>
        <v>0</v>
      </c>
      <c r="AB16" s="19">
        <f>Ohj.lask.[[#This Row],[Jaettava € 1]]+Ohj.lask.[[#This Row],[Jaettava €]]</f>
        <v>33605944</v>
      </c>
      <c r="AC16" s="107">
        <f>Ohj.lask.[[#This Row],[Jaettava € 2]]</f>
        <v>13629121</v>
      </c>
      <c r="AD16" s="19">
        <f>Ohj.lask.[[#This Row],[Jaettava € 3]]+Ohj.lask.[[#This Row],[Jaettava € 4]]+Ohj.lask.[[#This Row],[Jaettava € 5]]</f>
        <v>6549486</v>
      </c>
      <c r="AE16" s="36">
        <f>Ohj.lask.[[#This Row],[Jaettava € 6]]+Ohj.lask.[[#This Row],[Jaettava €]]</f>
        <v>53784551</v>
      </c>
      <c r="AF16" s="36">
        <f>IFERROR(VLOOKUP(Ohj.lask.[[#This Row],[Y-tunnus]],'3.1 Alv vahvistettu'!A:Y,COLUMN(C:C),FALSE),0)</f>
        <v>0</v>
      </c>
      <c r="AG16" s="25">
        <f>Ohj.lask.[[#This Row],[Perus-, suoritus- ja vaikuttavuusrahoitus yhteensä, €]]+Ohj.lask.[[#This Row],[Alv-korvaus, €]]</f>
        <v>53784551</v>
      </c>
    </row>
    <row r="17" spans="1:33" x14ac:dyDescent="0.2">
      <c r="A17" s="131" t="s">
        <v>397</v>
      </c>
      <c r="B17" s="16" t="s">
        <v>32</v>
      </c>
      <c r="C17" s="98" t="s">
        <v>396</v>
      </c>
      <c r="D17" s="98" t="s">
        <v>411</v>
      </c>
      <c r="E17" s="98" t="s">
        <v>474</v>
      </c>
      <c r="F17" s="113">
        <v>2900</v>
      </c>
      <c r="G17" s="122">
        <f>0</f>
        <v>0</v>
      </c>
      <c r="H17" s="35">
        <f t="shared" si="0"/>
        <v>2900</v>
      </c>
      <c r="I17" s="17">
        <f>IFERROR(VLOOKUP($A17,'2.1 Toteut. op.vuodet'!$A:$Q,COLUMN('2.1 Toteut. op.vuodet'!Q:Q),FALSE),0)</f>
        <v>1.0260961768909034</v>
      </c>
      <c r="J17" s="11">
        <f t="shared" si="1"/>
        <v>2975.7</v>
      </c>
      <c r="K17" s="18">
        <f>IFERROR(Ohj.lask.[[#This Row],[Painotetut opiskelija-vuodet]]/Ohj.lask.[[#Totals],[Painotetut opiskelija-vuodet]],0)</f>
        <v>1.4877890006509725E-2</v>
      </c>
      <c r="L17" s="19">
        <f>ROUND(IFERROR('1.1 Jakotaulu'!L$10*Ohj.lask.[[#This Row],[%-osuus 1]],0),0)</f>
        <v>17347166</v>
      </c>
      <c r="M17" s="211">
        <f>IFERROR(ROUND(VLOOKUP($A17,'2.2 Tutk. ja osien pain. pist.'!$A:$Q,COLUMN('2.2 Tutk. ja osien pain. pist.'!P:P),FALSE),1),0)</f>
        <v>273319.90000000002</v>
      </c>
      <c r="N17" s="18">
        <f>IFERROR(Ohj.lask.[[#This Row],[Painotetut pisteet 2]]/Ohj.lask.[[#Totals],[Painotetut pisteet 2]],0)</f>
        <v>1.7466305329840046E-2</v>
      </c>
      <c r="O17" s="25">
        <f>ROUND(IFERROR('1.1 Jakotaulu'!K$11*Ohj.lask.[[#This Row],[%-osuus 2]],0),0)</f>
        <v>6467371</v>
      </c>
      <c r="P17" s="233">
        <f>IFERROR(ROUND(VLOOKUP($A17,'2.3 Työll. ja jatko-opisk.'!$A:$K,COLUMN('2.3 Työll. ja jatko-opisk.'!I:I),FALSE),1),0)</f>
        <v>3442.4</v>
      </c>
      <c r="Q17" s="22">
        <f>IFERROR(Ohj.lask.[[#This Row],[Painotetut pisteet 3]]/Ohj.lask.[[#Totals],[Painotetut pisteet 3]],0)</f>
        <v>1.8172527091973343E-2</v>
      </c>
      <c r="R17" s="19">
        <f>ROUND(IFERROR('1.1 Jakotaulu'!L$13*Ohj.lask.[[#This Row],[%-osuus 3]],0),0)</f>
        <v>2523326</v>
      </c>
      <c r="S17" s="211">
        <f>IFERROR(ROUND(VLOOKUP($A17,'2.4 Aloittaneet palaute'!$A:$K,COLUMN('2.4 Aloittaneet palaute'!J:J),FALSE),1),0)</f>
        <v>27654.6</v>
      </c>
      <c r="T17" s="22">
        <f>IFERROR(Ohj.lask.[[#This Row],[Painotetut pisteet 4]]/Ohj.lask.[[#Totals],[Painotetut pisteet 4]],0)</f>
        <v>2.2211873576748888E-2</v>
      </c>
      <c r="U17" s="25">
        <f>ROUND(IFERROR('1.1 Jakotaulu'!M$16*Ohj.lask.[[#This Row],[%-osuus 4]],0),0)</f>
        <v>257017</v>
      </c>
      <c r="V17" s="235">
        <f>IFERROR(ROUND(VLOOKUP($A17,'2.5 Päättäneet palaute'!$A:$AC,COLUMN('2.5 Päättäneet palaute'!AB:AB),FALSE),1),0)</f>
        <v>167706</v>
      </c>
      <c r="W17" s="22">
        <f>IFERROR(Ohj.lask.[[#This Row],[Painotetut pisteet 5]]/Ohj.lask.[[#Totals],[Painotetut pisteet 5]],0)</f>
        <v>2.532521884162697E-2</v>
      </c>
      <c r="X17" s="19">
        <f>ROUND(IFERROR('1.1 Jakotaulu'!M$17*Ohj.lask.[[#This Row],[%-osuus 5]],0),0)</f>
        <v>879126</v>
      </c>
      <c r="Y17" s="21">
        <f>IFERROR(Ohj.lask.[[#This Row],[Jaettava € 6]]/Ohj.lask.[[#Totals],[Jaettava € 6]],"")</f>
        <v>1.5960407518226572E-2</v>
      </c>
      <c r="Z17" s="25">
        <f>IFERROR(Ohj.lask.[[#This Row],[Jaettava € 1]]+Ohj.lask.[[#This Row],[Jaettava € 2]]+Ohj.lask.[[#This Row],[Jaettava € 3]]+Ohj.lask.[[#This Row],[Jaettava € 4]]+Ohj.lask.[[#This Row],[Jaettava € 5]],"")</f>
        <v>27474006</v>
      </c>
      <c r="AA17" s="123">
        <f>0</f>
        <v>0</v>
      </c>
      <c r="AB17" s="19">
        <f>Ohj.lask.[[#This Row],[Jaettava € 1]]+Ohj.lask.[[#This Row],[Jaettava €]]</f>
        <v>17347166</v>
      </c>
      <c r="AC17" s="107">
        <f>Ohj.lask.[[#This Row],[Jaettava € 2]]</f>
        <v>6467371</v>
      </c>
      <c r="AD17" s="19">
        <f>Ohj.lask.[[#This Row],[Jaettava € 3]]+Ohj.lask.[[#This Row],[Jaettava € 4]]+Ohj.lask.[[#This Row],[Jaettava € 5]]</f>
        <v>3659469</v>
      </c>
      <c r="AE17" s="36">
        <f>Ohj.lask.[[#This Row],[Jaettava € 6]]+Ohj.lask.[[#This Row],[Jaettava €]]</f>
        <v>27474006</v>
      </c>
      <c r="AF17" s="36">
        <f>IFERROR(VLOOKUP(Ohj.lask.[[#This Row],[Y-tunnus]],'3.1 Alv vahvistettu'!A:Y,COLUMN(C:C),FALSE),0)</f>
        <v>0</v>
      </c>
      <c r="AG17" s="25">
        <f>Ohj.lask.[[#This Row],[Perus-, suoritus- ja vaikuttavuusrahoitus yhteensä, €]]+Ohj.lask.[[#This Row],[Alv-korvaus, €]]</f>
        <v>27474006</v>
      </c>
    </row>
    <row r="18" spans="1:33" x14ac:dyDescent="0.2">
      <c r="A18" s="131" t="s">
        <v>395</v>
      </c>
      <c r="B18" s="16" t="s">
        <v>33</v>
      </c>
      <c r="C18" s="98" t="s">
        <v>270</v>
      </c>
      <c r="D18" s="98" t="s">
        <v>412</v>
      </c>
      <c r="E18" s="98" t="s">
        <v>474</v>
      </c>
      <c r="F18" s="113">
        <v>2518</v>
      </c>
      <c r="G18" s="122">
        <f>0</f>
        <v>0</v>
      </c>
      <c r="H18" s="35">
        <f t="shared" si="0"/>
        <v>2518</v>
      </c>
      <c r="I18" s="17">
        <f>IFERROR(VLOOKUP($A18,'2.1 Toteut. op.vuodet'!$A:$Q,COLUMN('2.1 Toteut. op.vuodet'!Q:Q),FALSE),0)</f>
        <v>1.1654110578266805</v>
      </c>
      <c r="J18" s="11">
        <f t="shared" si="1"/>
        <v>2934.5</v>
      </c>
      <c r="K18" s="18">
        <f>IFERROR(Ohj.lask.[[#This Row],[Painotetut opiskelija-vuodet]]/Ohj.lask.[[#Totals],[Painotetut opiskelija-vuodet]],0)</f>
        <v>1.4671898452163453E-2</v>
      </c>
      <c r="L18" s="19">
        <f>ROUND(IFERROR('1.1 Jakotaulu'!L$10*Ohj.lask.[[#This Row],[%-osuus 1]],0),0)</f>
        <v>17106986</v>
      </c>
      <c r="M18" s="211">
        <f>IFERROR(ROUND(VLOOKUP($A18,'2.2 Tutk. ja osien pain. pist.'!$A:$Q,COLUMN('2.2 Tutk. ja osien pain. pist.'!P:P),FALSE),1),0)</f>
        <v>247160.2</v>
      </c>
      <c r="N18" s="18">
        <f>IFERROR(Ohj.lask.[[#This Row],[Painotetut pisteet 2]]/Ohj.lask.[[#Totals],[Painotetut pisteet 2]],0)</f>
        <v>1.579458911913963E-2</v>
      </c>
      <c r="O18" s="25">
        <f>ROUND(IFERROR('1.1 Jakotaulu'!K$11*Ohj.lask.[[#This Row],[%-osuus 2]],0),0)</f>
        <v>5848373</v>
      </c>
      <c r="P18" s="233">
        <f>IFERROR(ROUND(VLOOKUP($A18,'2.3 Työll. ja jatko-opisk.'!$A:$K,COLUMN('2.3 Työll. ja jatko-opisk.'!I:I),FALSE),1),0)</f>
        <v>3105.7</v>
      </c>
      <c r="Q18" s="22">
        <f>IFERROR(Ohj.lask.[[#This Row],[Painotetut pisteet 3]]/Ohj.lask.[[#Totals],[Painotetut pisteet 3]],0)</f>
        <v>1.639507825631583E-2</v>
      </c>
      <c r="R18" s="19">
        <f>ROUND(IFERROR('1.1 Jakotaulu'!L$13*Ohj.lask.[[#This Row],[%-osuus 3]],0),0)</f>
        <v>2276520</v>
      </c>
      <c r="S18" s="211">
        <f>IFERROR(ROUND(VLOOKUP($A18,'2.4 Aloittaneet palaute'!$A:$K,COLUMN('2.4 Aloittaneet palaute'!J:J),FALSE),1),0)</f>
        <v>21216.1</v>
      </c>
      <c r="T18" s="22">
        <f>IFERROR(Ohj.lask.[[#This Row],[Painotetut pisteet 4]]/Ohj.lask.[[#Totals],[Painotetut pisteet 4]],0)</f>
        <v>1.7040540488441783E-2</v>
      </c>
      <c r="U18" s="25">
        <f>ROUND(IFERROR('1.1 Jakotaulu'!M$16*Ohj.lask.[[#This Row],[%-osuus 4]],0),0)</f>
        <v>197179</v>
      </c>
      <c r="V18" s="235">
        <f>IFERROR(ROUND(VLOOKUP($A18,'2.5 Päättäneet palaute'!$A:$AC,COLUMN('2.5 Päättäneet palaute'!AB:AB),FALSE),1),0)</f>
        <v>68732.2</v>
      </c>
      <c r="W18" s="22">
        <f>IFERROR(Ohj.lask.[[#This Row],[Painotetut pisteet 5]]/Ohj.lask.[[#Totals],[Painotetut pisteet 5]],0)</f>
        <v>1.037922320290552E-2</v>
      </c>
      <c r="X18" s="19">
        <f>ROUND(IFERROR('1.1 Jakotaulu'!M$17*Ohj.lask.[[#This Row],[%-osuus 5]],0),0)</f>
        <v>360299</v>
      </c>
      <c r="Y18" s="21">
        <f>IFERROR(Ohj.lask.[[#This Row],[Jaettava € 6]]/Ohj.lask.[[#Totals],[Jaettava € 6]],"")</f>
        <v>1.4981748469918404E-2</v>
      </c>
      <c r="Z18" s="25">
        <f>IFERROR(Ohj.lask.[[#This Row],[Jaettava € 1]]+Ohj.lask.[[#This Row],[Jaettava € 2]]+Ohj.lask.[[#This Row],[Jaettava € 3]]+Ohj.lask.[[#This Row],[Jaettava € 4]]+Ohj.lask.[[#This Row],[Jaettava € 5]],"")</f>
        <v>25789357</v>
      </c>
      <c r="AA18" s="123">
        <f>0</f>
        <v>0</v>
      </c>
      <c r="AB18" s="19">
        <f>Ohj.lask.[[#This Row],[Jaettava € 1]]+Ohj.lask.[[#This Row],[Jaettava €]]</f>
        <v>17106986</v>
      </c>
      <c r="AC18" s="107">
        <f>Ohj.lask.[[#This Row],[Jaettava € 2]]</f>
        <v>5848373</v>
      </c>
      <c r="AD18" s="19">
        <f>Ohj.lask.[[#This Row],[Jaettava € 3]]+Ohj.lask.[[#This Row],[Jaettava € 4]]+Ohj.lask.[[#This Row],[Jaettava € 5]]</f>
        <v>2833998</v>
      </c>
      <c r="AE18" s="36">
        <f>Ohj.lask.[[#This Row],[Jaettava € 6]]+Ohj.lask.[[#This Row],[Jaettava €]]</f>
        <v>25789357</v>
      </c>
      <c r="AF18" s="36">
        <f>IFERROR(VLOOKUP(Ohj.lask.[[#This Row],[Y-tunnus]],'3.1 Alv vahvistettu'!A:Y,COLUMN(C:C),FALSE),0)</f>
        <v>1602121.11</v>
      </c>
      <c r="AG18" s="25">
        <f>Ohj.lask.[[#This Row],[Perus-, suoritus- ja vaikuttavuusrahoitus yhteensä, €]]+Ohj.lask.[[#This Row],[Alv-korvaus, €]]</f>
        <v>27391478.109999999</v>
      </c>
    </row>
    <row r="19" spans="1:33" x14ac:dyDescent="0.2">
      <c r="A19" s="131" t="s">
        <v>394</v>
      </c>
      <c r="B19" s="16" t="s">
        <v>34</v>
      </c>
      <c r="C19" s="16" t="s">
        <v>285</v>
      </c>
      <c r="D19" s="16" t="s">
        <v>412</v>
      </c>
      <c r="E19" s="16" t="s">
        <v>474</v>
      </c>
      <c r="F19" s="114">
        <v>37</v>
      </c>
      <c r="G19" s="122">
        <f>0</f>
        <v>0</v>
      </c>
      <c r="H19" s="35">
        <f t="shared" si="0"/>
        <v>37</v>
      </c>
      <c r="I19" s="17">
        <f>IFERROR(VLOOKUP($A19,'2.1 Toteut. op.vuodet'!$A:$Q,COLUMN('2.1 Toteut. op.vuodet'!Q:Q),FALSE),0)</f>
        <v>0.83689239543726235</v>
      </c>
      <c r="J19" s="11">
        <f t="shared" si="1"/>
        <v>31</v>
      </c>
      <c r="K19" s="18">
        <f>IFERROR(Ohj.lask.[[#This Row],[Painotetut opiskelija-vuodet]]/Ohj.lask.[[#Totals],[Painotetut opiskelija-vuodet]],0)</f>
        <v>1.5499364526054424E-4</v>
      </c>
      <c r="L19" s="19">
        <f>ROUND(IFERROR('1.1 Jakotaulu'!L$10*Ohj.lask.[[#This Row],[%-osuus 1]],0),0)</f>
        <v>180718</v>
      </c>
      <c r="M19" s="211">
        <f>IFERROR(ROUND(VLOOKUP($A19,'2.2 Tutk. ja osien pain. pist.'!$A:$Q,COLUMN('2.2 Tutk. ja osien pain. pist.'!P:P),FALSE),1),0)</f>
        <v>1061.2</v>
      </c>
      <c r="N19" s="18">
        <f>IFERROR(Ohj.lask.[[#This Row],[Painotetut pisteet 2]]/Ohj.lask.[[#Totals],[Painotetut pisteet 2]],0)</f>
        <v>6.7815198293378029E-5</v>
      </c>
      <c r="O19" s="25">
        <f>ROUND(IFERROR('1.1 Jakotaulu'!K$11*Ohj.lask.[[#This Row],[%-osuus 2]],0),0)</f>
        <v>25110</v>
      </c>
      <c r="P19" s="233">
        <f>IFERROR(ROUND(VLOOKUP($A19,'2.3 Työll. ja jatko-opisk.'!$A:$K,COLUMN('2.3 Työll. ja jatko-opisk.'!I:I),FALSE),1),0)</f>
        <v>62.5</v>
      </c>
      <c r="Q19" s="18">
        <f>IFERROR(Ohj.lask.[[#This Row],[Painotetut pisteet 3]]/Ohj.lask.[[#Totals],[Painotetut pisteet 3]],0)</f>
        <v>3.2993927005819603E-4</v>
      </c>
      <c r="R19" s="19">
        <f>ROUND(IFERROR('1.1 Jakotaulu'!L$13*Ohj.lask.[[#This Row],[%-osuus 3]],0),0)</f>
        <v>45813</v>
      </c>
      <c r="S19" s="211">
        <f>IFERROR(ROUND(VLOOKUP($A19,'2.4 Aloittaneet palaute'!$A:$K,COLUMN('2.4 Aloittaneet palaute'!J:J),FALSE),1),0)</f>
        <v>518.1</v>
      </c>
      <c r="T19" s="22">
        <f>IFERROR(Ohj.lask.[[#This Row],[Painotetut pisteet 4]]/Ohj.lask.[[#Totals],[Painotetut pisteet 4]],0)</f>
        <v>4.1613227817844414E-4</v>
      </c>
      <c r="U19" s="25">
        <f>ROUND(IFERROR('1.1 Jakotaulu'!M$16*Ohj.lask.[[#This Row],[%-osuus 4]],0),0)</f>
        <v>4815</v>
      </c>
      <c r="V19" s="235">
        <f>IFERROR(ROUND(VLOOKUP($A19,'2.5 Päättäneet palaute'!$A:$AC,COLUMN('2.5 Päättäneet palaute'!AB:AB),FALSE),1),0)</f>
        <v>3754</v>
      </c>
      <c r="W19" s="22">
        <f>IFERROR(Ohj.lask.[[#This Row],[Painotetut pisteet 5]]/Ohj.lask.[[#Totals],[Painotetut pisteet 5]],0)</f>
        <v>5.6689010250955631E-4</v>
      </c>
      <c r="X19" s="19">
        <f>ROUND(IFERROR('1.1 Jakotaulu'!M$17*Ohj.lask.[[#This Row],[%-osuus 5]],0),0)</f>
        <v>19679</v>
      </c>
      <c r="Y19" s="21">
        <f>IFERROR(Ohj.lask.[[#This Row],[Jaettava € 6]]/Ohj.lask.[[#Totals],[Jaettava € 6]],"")</f>
        <v>1.6041443428546582E-4</v>
      </c>
      <c r="Z19" s="25">
        <f>IFERROR(Ohj.lask.[[#This Row],[Jaettava € 1]]+Ohj.lask.[[#This Row],[Jaettava € 2]]+Ohj.lask.[[#This Row],[Jaettava € 3]]+Ohj.lask.[[#This Row],[Jaettava € 4]]+Ohj.lask.[[#This Row],[Jaettava € 5]],"")</f>
        <v>276135</v>
      </c>
      <c r="AA19" s="123">
        <f>0</f>
        <v>0</v>
      </c>
      <c r="AB19" s="19">
        <f>Ohj.lask.[[#This Row],[Jaettava € 1]]+Ohj.lask.[[#This Row],[Jaettava €]]</f>
        <v>180718</v>
      </c>
      <c r="AC19" s="107">
        <f>Ohj.lask.[[#This Row],[Jaettava € 2]]</f>
        <v>25110</v>
      </c>
      <c r="AD19" s="19">
        <f>Ohj.lask.[[#This Row],[Jaettava € 3]]+Ohj.lask.[[#This Row],[Jaettava € 4]]+Ohj.lask.[[#This Row],[Jaettava € 5]]</f>
        <v>70307</v>
      </c>
      <c r="AE19" s="36">
        <f>Ohj.lask.[[#This Row],[Jaettava € 6]]+Ohj.lask.[[#This Row],[Jaettava €]]</f>
        <v>276135</v>
      </c>
      <c r="AF19" s="36">
        <f>IFERROR(VLOOKUP(Ohj.lask.[[#This Row],[Y-tunnus]],'3.1 Alv vahvistettu'!A:Y,COLUMN(C:C),FALSE),0)</f>
        <v>7870</v>
      </c>
      <c r="AG19" s="25">
        <f>Ohj.lask.[[#This Row],[Perus-, suoritus- ja vaikuttavuusrahoitus yhteensä, €]]+Ohj.lask.[[#This Row],[Alv-korvaus, €]]</f>
        <v>284005</v>
      </c>
    </row>
    <row r="20" spans="1:33" x14ac:dyDescent="0.2">
      <c r="A20" s="131" t="s">
        <v>393</v>
      </c>
      <c r="B20" s="16" t="s">
        <v>181</v>
      </c>
      <c r="C20" s="16" t="s">
        <v>236</v>
      </c>
      <c r="D20" s="16" t="s">
        <v>412</v>
      </c>
      <c r="E20" s="16" t="s">
        <v>474</v>
      </c>
      <c r="F20" s="114">
        <v>0</v>
      </c>
      <c r="G20" s="122">
        <f>0</f>
        <v>0</v>
      </c>
      <c r="H20" s="35">
        <f t="shared" si="0"/>
        <v>0</v>
      </c>
      <c r="I20" s="17">
        <f>IFERROR(VLOOKUP($A20,'2.1 Toteut. op.vuodet'!$A:$Q,COLUMN('2.1 Toteut. op.vuodet'!Q:Q),FALSE),0)</f>
        <v>0.43</v>
      </c>
      <c r="J20" s="11">
        <f t="shared" si="1"/>
        <v>0</v>
      </c>
      <c r="K20" s="18">
        <f>IFERROR(Ohj.lask.[[#This Row],[Painotetut opiskelija-vuodet]]/Ohj.lask.[[#Totals],[Painotetut opiskelija-vuodet]],0)</f>
        <v>0</v>
      </c>
      <c r="L20" s="19">
        <f>ROUND(IFERROR('1.1 Jakotaulu'!L$10*Ohj.lask.[[#This Row],[%-osuus 1]],0),0)</f>
        <v>0</v>
      </c>
      <c r="M20" s="211">
        <f>IFERROR(ROUND(VLOOKUP($A20,'2.2 Tutk. ja osien pain. pist.'!$A:$Q,COLUMN('2.2 Tutk. ja osien pain. pist.'!P:P),FALSE),1),0)</f>
        <v>0</v>
      </c>
      <c r="N20" s="18">
        <f>IFERROR(Ohj.lask.[[#This Row],[Painotetut pisteet 2]]/Ohj.lask.[[#Totals],[Painotetut pisteet 2]],0)</f>
        <v>0</v>
      </c>
      <c r="O20" s="25">
        <f>ROUND(IFERROR('1.1 Jakotaulu'!K$11*Ohj.lask.[[#This Row],[%-osuus 2]],0),0)</f>
        <v>0</v>
      </c>
      <c r="P20" s="233">
        <f>IFERROR(ROUND(VLOOKUP($A20,'2.3 Työll. ja jatko-opisk.'!$A:$K,COLUMN('2.3 Työll. ja jatko-opisk.'!I:I),FALSE),1),0)</f>
        <v>0</v>
      </c>
      <c r="Q20" s="18">
        <f>IFERROR(Ohj.lask.[[#This Row],[Painotetut pisteet 3]]/Ohj.lask.[[#Totals],[Painotetut pisteet 3]],0)</f>
        <v>0</v>
      </c>
      <c r="R20" s="19">
        <f>ROUND(IFERROR('1.1 Jakotaulu'!L$13*Ohj.lask.[[#This Row],[%-osuus 3]],0),0)</f>
        <v>0</v>
      </c>
      <c r="S20" s="211">
        <f>IFERROR(ROUND(VLOOKUP($A20,'2.4 Aloittaneet palaute'!$A:$K,COLUMN('2.4 Aloittaneet palaute'!J:J),FALSE),1),0)</f>
        <v>0</v>
      </c>
      <c r="T20" s="22">
        <f>IFERROR(Ohj.lask.[[#This Row],[Painotetut pisteet 4]]/Ohj.lask.[[#Totals],[Painotetut pisteet 4]],0)</f>
        <v>0</v>
      </c>
      <c r="U20" s="25">
        <f>ROUND(IFERROR('1.1 Jakotaulu'!M$16*Ohj.lask.[[#This Row],[%-osuus 4]],0),0)</f>
        <v>0</v>
      </c>
      <c r="V20" s="235">
        <f>IFERROR(ROUND(VLOOKUP($A20,'2.5 Päättäneet palaute'!$A:$AC,COLUMN('2.5 Päättäneet palaute'!AB:AB),FALSE),1),0)</f>
        <v>0</v>
      </c>
      <c r="W20" s="22">
        <f>IFERROR(Ohj.lask.[[#This Row],[Painotetut pisteet 5]]/Ohj.lask.[[#Totals],[Painotetut pisteet 5]],0)</f>
        <v>0</v>
      </c>
      <c r="X20" s="19">
        <f>ROUND(IFERROR('1.1 Jakotaulu'!M$17*Ohj.lask.[[#This Row],[%-osuus 5]],0),0)</f>
        <v>0</v>
      </c>
      <c r="Y20" s="21">
        <f>IFERROR(Ohj.lask.[[#This Row],[Jaettava € 6]]/Ohj.lask.[[#Totals],[Jaettava € 6]],"")</f>
        <v>0</v>
      </c>
      <c r="Z20" s="25">
        <f>IFERROR(Ohj.lask.[[#This Row],[Jaettava € 1]]+Ohj.lask.[[#This Row],[Jaettava € 2]]+Ohj.lask.[[#This Row],[Jaettava € 3]]+Ohj.lask.[[#This Row],[Jaettava € 4]]+Ohj.lask.[[#This Row],[Jaettava € 5]],"")</f>
        <v>0</v>
      </c>
      <c r="AA20" s="123">
        <f>0</f>
        <v>0</v>
      </c>
      <c r="AB20" s="19">
        <f>Ohj.lask.[[#This Row],[Jaettava € 1]]+Ohj.lask.[[#This Row],[Jaettava €]]</f>
        <v>0</v>
      </c>
      <c r="AC20" s="107">
        <f>Ohj.lask.[[#This Row],[Jaettava € 2]]</f>
        <v>0</v>
      </c>
      <c r="AD20" s="19">
        <f>Ohj.lask.[[#This Row],[Jaettava € 3]]+Ohj.lask.[[#This Row],[Jaettava € 4]]+Ohj.lask.[[#This Row],[Jaettava € 5]]</f>
        <v>0</v>
      </c>
      <c r="AE20" s="36">
        <f>Ohj.lask.[[#This Row],[Jaettava € 6]]+Ohj.lask.[[#This Row],[Jaettava €]]</f>
        <v>0</v>
      </c>
      <c r="AF20" s="36">
        <f>IFERROR(VLOOKUP(Ohj.lask.[[#This Row],[Y-tunnus]],'3.1 Alv vahvistettu'!A:Y,COLUMN(C:C),FALSE),0)</f>
        <v>188861.13</v>
      </c>
      <c r="AG20" s="25">
        <f>Ohj.lask.[[#This Row],[Perus-, suoritus- ja vaikuttavuusrahoitus yhteensä, €]]+Ohj.lask.[[#This Row],[Alv-korvaus, €]]</f>
        <v>188861.13</v>
      </c>
    </row>
    <row r="21" spans="1:33" x14ac:dyDescent="0.2">
      <c r="A21" s="131" t="s">
        <v>392</v>
      </c>
      <c r="B21" s="16" t="s">
        <v>35</v>
      </c>
      <c r="C21" s="98" t="s">
        <v>236</v>
      </c>
      <c r="D21" s="98" t="s">
        <v>412</v>
      </c>
      <c r="E21" s="98" t="s">
        <v>475</v>
      </c>
      <c r="F21" s="113">
        <v>108</v>
      </c>
      <c r="G21" s="122">
        <f>0</f>
        <v>0</v>
      </c>
      <c r="H21" s="35">
        <f t="shared" si="0"/>
        <v>108</v>
      </c>
      <c r="I21" s="17">
        <f>IFERROR(VLOOKUP($A21,'2.1 Toteut. op.vuodet'!$A:$Q,COLUMN('2.1 Toteut. op.vuodet'!Q:Q),FALSE),0)</f>
        <v>1.8210134644766369</v>
      </c>
      <c r="J21" s="11">
        <f t="shared" si="1"/>
        <v>196.7</v>
      </c>
      <c r="K21" s="18">
        <f>IFERROR(Ohj.lask.[[#This Row],[Painotetut opiskelija-vuodet]]/Ohj.lask.[[#Totals],[Painotetut opiskelija-vuodet]],0)</f>
        <v>9.8345967815319517E-4</v>
      </c>
      <c r="L21" s="19">
        <f>ROUND(IFERROR('1.1 Jakotaulu'!L$10*Ohj.lask.[[#This Row],[%-osuus 1]],0),0)</f>
        <v>1146684</v>
      </c>
      <c r="M21" s="211">
        <f>IFERROR(ROUND(VLOOKUP($A21,'2.2 Tutk. ja osien pain. pist.'!$A:$Q,COLUMN('2.2 Tutk. ja osien pain. pist.'!P:P),FALSE),1),0)</f>
        <v>14933.4</v>
      </c>
      <c r="N21" s="18">
        <f>IFERROR(Ohj.lask.[[#This Row],[Painotetut pisteet 2]]/Ohj.lask.[[#Totals],[Painotetut pisteet 2]],0)</f>
        <v>9.5430784224871039E-4</v>
      </c>
      <c r="O21" s="25">
        <f>ROUND(IFERROR('1.1 Jakotaulu'!K$11*Ohj.lask.[[#This Row],[%-osuus 2]],0),0)</f>
        <v>353358</v>
      </c>
      <c r="P21" s="233">
        <f>IFERROR(ROUND(VLOOKUP($A21,'2.3 Työll. ja jatko-opisk.'!$A:$K,COLUMN('2.3 Työll. ja jatko-opisk.'!I:I),FALSE),1),0)</f>
        <v>103.3</v>
      </c>
      <c r="Q21" s="22">
        <f>IFERROR(Ohj.lask.[[#This Row],[Painotetut pisteet 3]]/Ohj.lask.[[#Totals],[Painotetut pisteet 3]],0)</f>
        <v>5.4532362555218634E-4</v>
      </c>
      <c r="R21" s="19">
        <f>ROUND(IFERROR('1.1 Jakotaulu'!L$13*Ohj.lask.[[#This Row],[%-osuus 3]],0),0)</f>
        <v>75720</v>
      </c>
      <c r="S21" s="211">
        <f>IFERROR(ROUND(VLOOKUP($A21,'2.4 Aloittaneet palaute'!$A:$K,COLUMN('2.4 Aloittaneet palaute'!J:J),FALSE),1),0)</f>
        <v>928.4</v>
      </c>
      <c r="T21" s="22">
        <f>IFERROR(Ohj.lask.[[#This Row],[Painotetut pisteet 4]]/Ohj.lask.[[#Totals],[Painotetut pisteet 4]],0)</f>
        <v>7.4568077023908028E-4</v>
      </c>
      <c r="U21" s="25">
        <f>ROUND(IFERROR('1.1 Jakotaulu'!M$16*Ohj.lask.[[#This Row],[%-osuus 4]],0),0)</f>
        <v>8628</v>
      </c>
      <c r="V21" s="235">
        <f>IFERROR(ROUND(VLOOKUP($A21,'2.5 Päättäneet palaute'!$A:$AC,COLUMN('2.5 Päättäneet palaute'!AB:AB),FALSE),1),0)</f>
        <v>7374.8</v>
      </c>
      <c r="W21" s="22">
        <f>IFERROR(Ohj.lask.[[#This Row],[Painotetut pisteet 5]]/Ohj.lask.[[#Totals],[Painotetut pisteet 5]],0)</f>
        <v>1.1136657240243676E-3</v>
      </c>
      <c r="X21" s="19">
        <f>ROUND(IFERROR('1.1 Jakotaulu'!M$17*Ohj.lask.[[#This Row],[%-osuus 5]],0),0)</f>
        <v>38659</v>
      </c>
      <c r="Y21" s="21">
        <f>IFERROR(Ohj.lask.[[#This Row],[Jaettava € 6]]/Ohj.lask.[[#Totals],[Jaettava € 6]],"")</f>
        <v>9.4287391005338345E-4</v>
      </c>
      <c r="Z21" s="25">
        <f>IFERROR(Ohj.lask.[[#This Row],[Jaettava € 1]]+Ohj.lask.[[#This Row],[Jaettava € 2]]+Ohj.lask.[[#This Row],[Jaettava € 3]]+Ohj.lask.[[#This Row],[Jaettava € 4]]+Ohj.lask.[[#This Row],[Jaettava € 5]],"")</f>
        <v>1623049</v>
      </c>
      <c r="AA21" s="123">
        <f>0</f>
        <v>0</v>
      </c>
      <c r="AB21" s="19">
        <f>Ohj.lask.[[#This Row],[Jaettava € 1]]+Ohj.lask.[[#This Row],[Jaettava €]]</f>
        <v>1146684</v>
      </c>
      <c r="AC21" s="107">
        <f>Ohj.lask.[[#This Row],[Jaettava € 2]]</f>
        <v>353358</v>
      </c>
      <c r="AD21" s="19">
        <f>Ohj.lask.[[#This Row],[Jaettava € 3]]+Ohj.lask.[[#This Row],[Jaettava € 4]]+Ohj.lask.[[#This Row],[Jaettava € 5]]</f>
        <v>123007</v>
      </c>
      <c r="AE21" s="36">
        <f>Ohj.lask.[[#This Row],[Jaettava € 6]]+Ohj.lask.[[#This Row],[Jaettava €]]</f>
        <v>1623049</v>
      </c>
      <c r="AF21" s="36">
        <f>IFERROR(VLOOKUP(Ohj.lask.[[#This Row],[Y-tunnus]],'3.1 Alv vahvistettu'!A:Y,COLUMN(C:C),FALSE),0)</f>
        <v>103017.15</v>
      </c>
      <c r="AG21" s="25">
        <f>Ohj.lask.[[#This Row],[Perus-, suoritus- ja vaikuttavuusrahoitus yhteensä, €]]+Ohj.lask.[[#This Row],[Alv-korvaus, €]]</f>
        <v>1726066.15</v>
      </c>
    </row>
    <row r="22" spans="1:33" x14ac:dyDescent="0.2">
      <c r="A22" s="131" t="s">
        <v>391</v>
      </c>
      <c r="B22" s="16" t="s">
        <v>209</v>
      </c>
      <c r="C22" s="16" t="s">
        <v>242</v>
      </c>
      <c r="D22" s="16" t="s">
        <v>412</v>
      </c>
      <c r="E22" s="16" t="s">
        <v>475</v>
      </c>
      <c r="F22" s="114">
        <v>26</v>
      </c>
      <c r="G22" s="122">
        <f>0</f>
        <v>0</v>
      </c>
      <c r="H22" s="35">
        <f t="shared" si="0"/>
        <v>26</v>
      </c>
      <c r="I22" s="17">
        <f>IFERROR(VLOOKUP($A22,'2.1 Toteut. op.vuodet'!$A:$Q,COLUMN('2.1 Toteut. op.vuodet'!Q:Q),FALSE),0)</f>
        <v>1.3875253549695732</v>
      </c>
      <c r="J22" s="11">
        <f t="shared" si="1"/>
        <v>36.1</v>
      </c>
      <c r="K22" s="18">
        <f>IFERROR(Ohj.lask.[[#This Row],[Painotetut opiskelija-vuodet]]/Ohj.lask.[[#Totals],[Painotetut opiskelija-vuodet]],0)</f>
        <v>1.8049259980340798E-4</v>
      </c>
      <c r="L22" s="19">
        <f>ROUND(IFERROR('1.1 Jakotaulu'!L$10*Ohj.lask.[[#This Row],[%-osuus 1]],0),0)</f>
        <v>210449</v>
      </c>
      <c r="M22" s="211">
        <f>IFERROR(ROUND(VLOOKUP($A22,'2.2 Tutk. ja osien pain. pist.'!$A:$Q,COLUMN('2.2 Tutk. ja osien pain. pist.'!P:P),FALSE),1),0)</f>
        <v>2130.1</v>
      </c>
      <c r="N22" s="18">
        <f>IFERROR(Ohj.lask.[[#This Row],[Painotetut pisteet 2]]/Ohj.lask.[[#Totals],[Painotetut pisteet 2]],0)</f>
        <v>1.3612245937120668E-4</v>
      </c>
      <c r="O22" s="25">
        <f>ROUND(IFERROR('1.1 Jakotaulu'!K$11*Ohj.lask.[[#This Row],[%-osuus 2]],0),0)</f>
        <v>50403</v>
      </c>
      <c r="P22" s="233">
        <f>IFERROR(ROUND(VLOOKUP($A22,'2.3 Työll. ja jatko-opisk.'!$A:$K,COLUMN('2.3 Työll. ja jatko-opisk.'!I:I),FALSE),1),0)</f>
        <v>39.5</v>
      </c>
      <c r="Q22" s="18">
        <f>IFERROR(Ohj.lask.[[#This Row],[Painotetut pisteet 3]]/Ohj.lask.[[#Totals],[Painotetut pisteet 3]],0)</f>
        <v>2.085216186767799E-4</v>
      </c>
      <c r="R22" s="19">
        <f>ROUND(IFERROR('1.1 Jakotaulu'!L$13*Ohj.lask.[[#This Row],[%-osuus 3]],0),0)</f>
        <v>28954</v>
      </c>
      <c r="S22" s="211">
        <f>IFERROR(ROUND(VLOOKUP($A22,'2.4 Aloittaneet palaute'!$A:$K,COLUMN('2.4 Aloittaneet palaute'!J:J),FALSE),1),0)</f>
        <v>61.1</v>
      </c>
      <c r="T22" s="22">
        <f>IFERROR(Ohj.lask.[[#This Row],[Painotetut pisteet 4]]/Ohj.lask.[[#Totals],[Painotetut pisteet 4]],0)</f>
        <v>4.9074854654898547E-5</v>
      </c>
      <c r="U22" s="25">
        <f>ROUND(IFERROR('1.1 Jakotaulu'!M$16*Ohj.lask.[[#This Row],[%-osuus 4]],0),0)</f>
        <v>568</v>
      </c>
      <c r="V22" s="235">
        <f>IFERROR(ROUND(VLOOKUP($A22,'2.5 Päättäneet palaute'!$A:$AC,COLUMN('2.5 Päättäneet palaute'!AB:AB),FALSE),1),0)</f>
        <v>919</v>
      </c>
      <c r="W22" s="22">
        <f>IFERROR(Ohj.lask.[[#This Row],[Painotetut pisteet 5]]/Ohj.lask.[[#Totals],[Painotetut pisteet 5]],0)</f>
        <v>1.3877783809437458E-4</v>
      </c>
      <c r="X22" s="19">
        <f>ROUND(IFERROR('1.1 Jakotaulu'!M$17*Ohj.lask.[[#This Row],[%-osuus 5]],0),0)</f>
        <v>4817</v>
      </c>
      <c r="Y22" s="21">
        <f>IFERROR(Ohj.lask.[[#This Row],[Jaettava € 6]]/Ohj.lask.[[#Totals],[Jaettava € 6]],"")</f>
        <v>1.7148459004168593E-4</v>
      </c>
      <c r="Z22" s="25">
        <f>IFERROR(Ohj.lask.[[#This Row],[Jaettava € 1]]+Ohj.lask.[[#This Row],[Jaettava € 2]]+Ohj.lask.[[#This Row],[Jaettava € 3]]+Ohj.lask.[[#This Row],[Jaettava € 4]]+Ohj.lask.[[#This Row],[Jaettava € 5]],"")</f>
        <v>295191</v>
      </c>
      <c r="AA22" s="123">
        <f>0</f>
        <v>0</v>
      </c>
      <c r="AB22" s="19">
        <f>Ohj.lask.[[#This Row],[Jaettava € 1]]+Ohj.lask.[[#This Row],[Jaettava €]]</f>
        <v>210449</v>
      </c>
      <c r="AC22" s="107">
        <f>Ohj.lask.[[#This Row],[Jaettava € 2]]</f>
        <v>50403</v>
      </c>
      <c r="AD22" s="19">
        <f>Ohj.lask.[[#This Row],[Jaettava € 3]]+Ohj.lask.[[#This Row],[Jaettava € 4]]+Ohj.lask.[[#This Row],[Jaettava € 5]]</f>
        <v>34339</v>
      </c>
      <c r="AE22" s="36">
        <f>Ohj.lask.[[#This Row],[Jaettava € 6]]+Ohj.lask.[[#This Row],[Jaettava €]]</f>
        <v>295191</v>
      </c>
      <c r="AF22" s="36">
        <f>IFERROR(VLOOKUP(Ohj.lask.[[#This Row],[Y-tunnus]],'3.1 Alv vahvistettu'!A:Y,COLUMN(C:C),FALSE),0)</f>
        <v>0</v>
      </c>
      <c r="AG22" s="25">
        <f>Ohj.lask.[[#This Row],[Perus-, suoritus- ja vaikuttavuusrahoitus yhteensä, €]]+Ohj.lask.[[#This Row],[Alv-korvaus, €]]</f>
        <v>295191</v>
      </c>
    </row>
    <row r="23" spans="1:33" x14ac:dyDescent="0.2">
      <c r="A23" s="131" t="s">
        <v>390</v>
      </c>
      <c r="B23" s="16" t="s">
        <v>153</v>
      </c>
      <c r="C23" s="16" t="s">
        <v>247</v>
      </c>
      <c r="D23" s="16" t="s">
        <v>412</v>
      </c>
      <c r="E23" s="16" t="s">
        <v>474</v>
      </c>
      <c r="F23" s="114">
        <v>29</v>
      </c>
      <c r="G23" s="122">
        <f>0</f>
        <v>0</v>
      </c>
      <c r="H23" s="35">
        <f t="shared" si="0"/>
        <v>29</v>
      </c>
      <c r="I23" s="17">
        <f>IFERROR(VLOOKUP($A23,'2.1 Toteut. op.vuodet'!$A:$Q,COLUMN('2.1 Toteut. op.vuodet'!Q:Q),FALSE),0)</f>
        <v>0.7622999999999982</v>
      </c>
      <c r="J23" s="11">
        <f t="shared" si="1"/>
        <v>22.1</v>
      </c>
      <c r="K23" s="18">
        <f>IFERROR(Ohj.lask.[[#This Row],[Painotetut opiskelija-vuodet]]/Ohj.lask.[[#Totals],[Painotetut opiskelija-vuodet]],0)</f>
        <v>1.1049546968574283E-4</v>
      </c>
      <c r="L23" s="19">
        <f>ROUND(IFERROR('1.1 Jakotaulu'!L$10*Ohj.lask.[[#This Row],[%-osuus 1]],0),0)</f>
        <v>128834</v>
      </c>
      <c r="M23" s="211">
        <f>IFERROR(ROUND(VLOOKUP($A23,'2.2 Tutk. ja osien pain. pist.'!$A:$Q,COLUMN('2.2 Tutk. ja osien pain. pist.'!P:P),FALSE),1),0)</f>
        <v>4153.8</v>
      </c>
      <c r="N23" s="18">
        <f>IFERROR(Ohj.lask.[[#This Row],[Painotetut pisteet 2]]/Ohj.lask.[[#Totals],[Painotetut pisteet 2]],0)</f>
        <v>2.6544550572091377E-4</v>
      </c>
      <c r="O23" s="25">
        <f>ROUND(IFERROR('1.1 Jakotaulu'!K$11*Ohj.lask.[[#This Row],[%-osuus 2]],0),0)</f>
        <v>98288</v>
      </c>
      <c r="P23" s="233">
        <f>IFERROR(ROUND(VLOOKUP($A23,'2.3 Työll. ja jatko-opisk.'!$A:$K,COLUMN('2.3 Työll. ja jatko-opisk.'!I:I),FALSE),1),0)</f>
        <v>41</v>
      </c>
      <c r="Q23" s="18">
        <f>IFERROR(Ohj.lask.[[#This Row],[Painotetut pisteet 3]]/Ohj.lask.[[#Totals],[Painotetut pisteet 3]],0)</f>
        <v>2.164401611581766E-4</v>
      </c>
      <c r="R23" s="19">
        <f>ROUND(IFERROR('1.1 Jakotaulu'!L$13*Ohj.lask.[[#This Row],[%-osuus 3]],0),0)</f>
        <v>30054</v>
      </c>
      <c r="S23" s="211">
        <f>IFERROR(ROUND(VLOOKUP($A23,'2.4 Aloittaneet palaute'!$A:$K,COLUMN('2.4 Aloittaneet palaute'!J:J),FALSE),1),0)</f>
        <v>0</v>
      </c>
      <c r="T23" s="22">
        <f>IFERROR(Ohj.lask.[[#This Row],[Painotetut pisteet 4]]/Ohj.lask.[[#Totals],[Painotetut pisteet 4]],0)</f>
        <v>0</v>
      </c>
      <c r="U23" s="25">
        <f>ROUND(IFERROR('1.1 Jakotaulu'!M$16*Ohj.lask.[[#This Row],[%-osuus 4]],0),0)</f>
        <v>0</v>
      </c>
      <c r="V23" s="235">
        <f>IFERROR(ROUND(VLOOKUP($A23,'2.5 Päättäneet palaute'!$A:$AC,COLUMN('2.5 Päättäneet palaute'!AB:AB),FALSE),1),0)</f>
        <v>7735.7</v>
      </c>
      <c r="W23" s="22">
        <f>IFERROR(Ohj.lask.[[#This Row],[Painotetut pisteet 5]]/Ohj.lask.[[#Totals],[Painotetut pisteet 5]],0)</f>
        <v>1.168165094827697E-3</v>
      </c>
      <c r="X23" s="19">
        <f>ROUND(IFERROR('1.1 Jakotaulu'!M$17*Ohj.lask.[[#This Row],[%-osuus 5]],0),0)</f>
        <v>40551</v>
      </c>
      <c r="Y23" s="21">
        <f>IFERROR(Ohj.lask.[[#This Row],[Jaettava € 6]]/Ohj.lask.[[#Totals],[Jaettava € 6]],"")</f>
        <v>1.729578223568504E-4</v>
      </c>
      <c r="Z23" s="25">
        <f>IFERROR(Ohj.lask.[[#This Row],[Jaettava € 1]]+Ohj.lask.[[#This Row],[Jaettava € 2]]+Ohj.lask.[[#This Row],[Jaettava € 3]]+Ohj.lask.[[#This Row],[Jaettava € 4]]+Ohj.lask.[[#This Row],[Jaettava € 5]],"")</f>
        <v>297727</v>
      </c>
      <c r="AA23" s="123">
        <f>0</f>
        <v>0</v>
      </c>
      <c r="AB23" s="19">
        <f>Ohj.lask.[[#This Row],[Jaettava € 1]]+Ohj.lask.[[#This Row],[Jaettava €]]</f>
        <v>128834</v>
      </c>
      <c r="AC23" s="107">
        <f>Ohj.lask.[[#This Row],[Jaettava € 2]]</f>
        <v>98288</v>
      </c>
      <c r="AD23" s="19">
        <f>Ohj.lask.[[#This Row],[Jaettava € 3]]+Ohj.lask.[[#This Row],[Jaettava € 4]]+Ohj.lask.[[#This Row],[Jaettava € 5]]</f>
        <v>70605</v>
      </c>
      <c r="AE23" s="36">
        <f>Ohj.lask.[[#This Row],[Jaettava € 6]]+Ohj.lask.[[#This Row],[Jaettava €]]</f>
        <v>297727</v>
      </c>
      <c r="AF23" s="36">
        <f>IFERROR(VLOOKUP(Ohj.lask.[[#This Row],[Y-tunnus]],'3.1 Alv vahvistettu'!A:Y,COLUMN(C:C),FALSE),0)</f>
        <v>0</v>
      </c>
      <c r="AG23" s="25">
        <f>Ohj.lask.[[#This Row],[Perus-, suoritus- ja vaikuttavuusrahoitus yhteensä, €]]+Ohj.lask.[[#This Row],[Alv-korvaus, €]]</f>
        <v>297727</v>
      </c>
    </row>
    <row r="24" spans="1:33" x14ac:dyDescent="0.2">
      <c r="A24" s="131" t="s">
        <v>389</v>
      </c>
      <c r="B24" s="16" t="s">
        <v>36</v>
      </c>
      <c r="C24" s="16" t="s">
        <v>244</v>
      </c>
      <c r="D24" s="16" t="s">
        <v>412</v>
      </c>
      <c r="E24" s="16" t="s">
        <v>474</v>
      </c>
      <c r="F24" s="114">
        <v>120</v>
      </c>
      <c r="G24" s="122">
        <f>0</f>
        <v>0</v>
      </c>
      <c r="H24" s="35">
        <f t="shared" si="0"/>
        <v>120</v>
      </c>
      <c r="I24" s="17">
        <f>IFERROR(VLOOKUP($A24,'2.1 Toteut. op.vuodet'!$A:$Q,COLUMN('2.1 Toteut. op.vuodet'!Q:Q),FALSE),0)</f>
        <v>1.0027688700889028</v>
      </c>
      <c r="J24" s="11">
        <f t="shared" si="1"/>
        <v>120.3</v>
      </c>
      <c r="K24" s="18">
        <f>IFERROR(Ohj.lask.[[#This Row],[Painotetut opiskelija-vuodet]]/Ohj.lask.[[#Totals],[Painotetut opiskelija-vuodet]],0)</f>
        <v>6.014753395110797E-4</v>
      </c>
      <c r="L24" s="19">
        <f>ROUND(IFERROR('1.1 Jakotaulu'!L$10*Ohj.lask.[[#This Row],[%-osuus 1]],0),0)</f>
        <v>701302</v>
      </c>
      <c r="M24" s="211">
        <f>IFERROR(ROUND(VLOOKUP($A24,'2.2 Tutk. ja osien pain. pist.'!$A:$Q,COLUMN('2.2 Tutk. ja osien pain. pist.'!P:P),FALSE),1),0)</f>
        <v>9331.9</v>
      </c>
      <c r="N24" s="18">
        <f>IFERROR(Ohj.lask.[[#This Row],[Painotetut pisteet 2]]/Ohj.lask.[[#Totals],[Painotetut pisteet 2]],0)</f>
        <v>5.9634814262530568E-4</v>
      </c>
      <c r="O24" s="25">
        <f>ROUND(IFERROR('1.1 Jakotaulu'!K$11*Ohj.lask.[[#This Row],[%-osuus 2]],0),0)</f>
        <v>220814</v>
      </c>
      <c r="P24" s="233">
        <f>IFERROR(ROUND(VLOOKUP($A24,'2.3 Työll. ja jatko-opisk.'!$A:$K,COLUMN('2.3 Työll. ja jatko-opisk.'!I:I),FALSE),1),0)</f>
        <v>154.19999999999999</v>
      </c>
      <c r="Q24" s="18">
        <f>IFERROR(Ohj.lask.[[#This Row],[Painotetut pisteet 3]]/Ohj.lask.[[#Totals],[Painotetut pisteet 3]],0)</f>
        <v>8.1402616708758121E-4</v>
      </c>
      <c r="R24" s="19">
        <f>ROUND(IFERROR('1.1 Jakotaulu'!L$13*Ohj.lask.[[#This Row],[%-osuus 3]],0),0)</f>
        <v>113031</v>
      </c>
      <c r="S24" s="211">
        <f>IFERROR(ROUND(VLOOKUP($A24,'2.4 Aloittaneet palaute'!$A:$K,COLUMN('2.4 Aloittaneet palaute'!J:J),FALSE),1),0)</f>
        <v>1257.7</v>
      </c>
      <c r="T24" s="22">
        <f>IFERROR(Ohj.lask.[[#This Row],[Painotetut pisteet 4]]/Ohj.lask.[[#Totals],[Painotetut pisteet 4]],0)</f>
        <v>1.0101709443447774E-3</v>
      </c>
      <c r="U24" s="25">
        <f>ROUND(IFERROR('1.1 Jakotaulu'!M$16*Ohj.lask.[[#This Row],[%-osuus 4]],0),0)</f>
        <v>11689</v>
      </c>
      <c r="V24" s="235">
        <f>IFERROR(ROUND(VLOOKUP($A24,'2.5 Päättäneet palaute'!$A:$AC,COLUMN('2.5 Päättäneet palaute'!AB:AB),FALSE),1),0)</f>
        <v>8193.2000000000007</v>
      </c>
      <c r="W24" s="22">
        <f>IFERROR(Ohj.lask.[[#This Row],[Painotetut pisteet 5]]/Ohj.lask.[[#Totals],[Painotetut pisteet 5]],0)</f>
        <v>1.2372519946407291E-3</v>
      </c>
      <c r="X24" s="19">
        <f>ROUND(IFERROR('1.1 Jakotaulu'!M$17*Ohj.lask.[[#This Row],[%-osuus 5]],0),0)</f>
        <v>42949</v>
      </c>
      <c r="Y24" s="21">
        <f>IFERROR(Ohj.lask.[[#This Row],[Jaettava € 6]]/Ohj.lask.[[#Totals],[Jaettava € 6]],"")</f>
        <v>6.3308615086021835E-4</v>
      </c>
      <c r="Z24" s="25">
        <f>IFERROR(Ohj.lask.[[#This Row],[Jaettava € 1]]+Ohj.lask.[[#This Row],[Jaettava € 2]]+Ohj.lask.[[#This Row],[Jaettava € 3]]+Ohj.lask.[[#This Row],[Jaettava € 4]]+Ohj.lask.[[#This Row],[Jaettava € 5]],"")</f>
        <v>1089785</v>
      </c>
      <c r="AA24" s="123">
        <f>0</f>
        <v>0</v>
      </c>
      <c r="AB24" s="19">
        <f>Ohj.lask.[[#This Row],[Jaettava € 1]]+Ohj.lask.[[#This Row],[Jaettava €]]</f>
        <v>701302</v>
      </c>
      <c r="AC24" s="107">
        <f>Ohj.lask.[[#This Row],[Jaettava € 2]]</f>
        <v>220814</v>
      </c>
      <c r="AD24" s="19">
        <f>Ohj.lask.[[#This Row],[Jaettava € 3]]+Ohj.lask.[[#This Row],[Jaettava € 4]]+Ohj.lask.[[#This Row],[Jaettava € 5]]</f>
        <v>167669</v>
      </c>
      <c r="AE24" s="36">
        <f>Ohj.lask.[[#This Row],[Jaettava € 6]]+Ohj.lask.[[#This Row],[Jaettava €]]</f>
        <v>1089785</v>
      </c>
      <c r="AF24" s="36">
        <f>IFERROR(VLOOKUP(Ohj.lask.[[#This Row],[Y-tunnus]],'3.1 Alv vahvistettu'!A:Y,COLUMN(C:C),FALSE),0)</f>
        <v>69681.899999999994</v>
      </c>
      <c r="AG24" s="25">
        <f>Ohj.lask.[[#This Row],[Perus-, suoritus- ja vaikuttavuusrahoitus yhteensä, €]]+Ohj.lask.[[#This Row],[Alv-korvaus, €]]</f>
        <v>1159466.8999999999</v>
      </c>
    </row>
    <row r="25" spans="1:33" x14ac:dyDescent="0.2">
      <c r="A25" s="131" t="s">
        <v>388</v>
      </c>
      <c r="B25" s="16" t="s">
        <v>37</v>
      </c>
      <c r="C25" s="16" t="s">
        <v>254</v>
      </c>
      <c r="D25" s="16" t="s">
        <v>412</v>
      </c>
      <c r="E25" s="16" t="s">
        <v>474</v>
      </c>
      <c r="F25" s="114">
        <v>183</v>
      </c>
      <c r="G25" s="122">
        <f>0</f>
        <v>0</v>
      </c>
      <c r="H25" s="35">
        <f t="shared" si="0"/>
        <v>183</v>
      </c>
      <c r="I25" s="17">
        <f>IFERROR(VLOOKUP($A25,'2.1 Toteut. op.vuodet'!$A:$Q,COLUMN('2.1 Toteut. op.vuodet'!Q:Q),FALSE),0)</f>
        <v>1.6749634112184935</v>
      </c>
      <c r="J25" s="11">
        <f t="shared" si="1"/>
        <v>306.5</v>
      </c>
      <c r="K25" s="18">
        <f>IFERROR(Ohj.lask.[[#This Row],[Painotetut opiskelija-vuodet]]/Ohj.lask.[[#Totals],[Painotetut opiskelija-vuodet]],0)</f>
        <v>1.5324371700760262E-3</v>
      </c>
      <c r="L25" s="19">
        <f>ROUND(IFERROR('1.1 Jakotaulu'!L$10*Ohj.lask.[[#This Row],[%-osuus 1]],0),0)</f>
        <v>1786775</v>
      </c>
      <c r="M25" s="211">
        <f>IFERROR(ROUND(VLOOKUP($A25,'2.2 Tutk. ja osien pain. pist.'!$A:$Q,COLUMN('2.2 Tutk. ja osien pain. pist.'!P:P),FALSE),1),0)</f>
        <v>19664.8</v>
      </c>
      <c r="N25" s="18">
        <f>IFERROR(Ohj.lask.[[#This Row],[Painotetut pisteet 2]]/Ohj.lask.[[#Totals],[Painotetut pisteet 2]],0)</f>
        <v>1.2566644472291936E-3</v>
      </c>
      <c r="O25" s="25">
        <f>ROUND(IFERROR('1.1 Jakotaulu'!K$11*Ohj.lask.[[#This Row],[%-osuus 2]],0),0)</f>
        <v>465314</v>
      </c>
      <c r="P25" s="233">
        <f>IFERROR(ROUND(VLOOKUP($A25,'2.3 Työll. ja jatko-opisk.'!$A:$K,COLUMN('2.3 Työll. ja jatko-opisk.'!I:I),FALSE),1),0)</f>
        <v>156.5</v>
      </c>
      <c r="Q25" s="18">
        <f>IFERROR(Ohj.lask.[[#This Row],[Painotetut pisteet 3]]/Ohj.lask.[[#Totals],[Painotetut pisteet 3]],0)</f>
        <v>8.2616793222572288E-4</v>
      </c>
      <c r="R25" s="19">
        <f>ROUND(IFERROR('1.1 Jakotaulu'!L$13*Ohj.lask.[[#This Row],[%-osuus 3]],0),0)</f>
        <v>114717</v>
      </c>
      <c r="S25" s="211">
        <f>IFERROR(ROUND(VLOOKUP($A25,'2.4 Aloittaneet palaute'!$A:$K,COLUMN('2.4 Aloittaneet palaute'!J:J),FALSE),1),0)</f>
        <v>1764.9</v>
      </c>
      <c r="T25" s="22">
        <f>IFERROR(Ohj.lask.[[#This Row],[Painotetut pisteet 4]]/Ohj.lask.[[#Totals],[Painotetut pisteet 4]],0)</f>
        <v>1.4175484612181741E-3</v>
      </c>
      <c r="U25" s="25">
        <f>ROUND(IFERROR('1.1 Jakotaulu'!M$16*Ohj.lask.[[#This Row],[%-osuus 4]],0),0)</f>
        <v>16403</v>
      </c>
      <c r="V25" s="235">
        <f>IFERROR(ROUND(VLOOKUP($A25,'2.5 Päättäneet palaute'!$A:$AC,COLUMN('2.5 Päättäneet palaute'!AB:AB),FALSE),1),0)</f>
        <v>7851.6</v>
      </c>
      <c r="W25" s="22">
        <f>IFERROR(Ohj.lask.[[#This Row],[Painotetut pisteet 5]]/Ohj.lask.[[#Totals],[Painotetut pisteet 5]],0)</f>
        <v>1.1856671094469984E-3</v>
      </c>
      <c r="X25" s="19">
        <f>ROUND(IFERROR('1.1 Jakotaulu'!M$17*Ohj.lask.[[#This Row],[%-osuus 5]],0),0)</f>
        <v>41159</v>
      </c>
      <c r="Y25" s="21">
        <f>IFERROR(Ohj.lask.[[#This Row],[Jaettava € 6]]/Ohj.lask.[[#Totals],[Jaettava € 6]],"")</f>
        <v>1.4083822087739195E-3</v>
      </c>
      <c r="Z25" s="25">
        <f>IFERROR(Ohj.lask.[[#This Row],[Jaettava € 1]]+Ohj.lask.[[#This Row],[Jaettava € 2]]+Ohj.lask.[[#This Row],[Jaettava € 3]]+Ohj.lask.[[#This Row],[Jaettava € 4]]+Ohj.lask.[[#This Row],[Jaettava € 5]],"")</f>
        <v>2424368</v>
      </c>
      <c r="AA25" s="123">
        <f>0</f>
        <v>0</v>
      </c>
      <c r="AB25" s="19">
        <f>Ohj.lask.[[#This Row],[Jaettava € 1]]+Ohj.lask.[[#This Row],[Jaettava €]]</f>
        <v>1786775</v>
      </c>
      <c r="AC25" s="107">
        <f>Ohj.lask.[[#This Row],[Jaettava € 2]]</f>
        <v>465314</v>
      </c>
      <c r="AD25" s="19">
        <f>Ohj.lask.[[#This Row],[Jaettava € 3]]+Ohj.lask.[[#This Row],[Jaettava € 4]]+Ohj.lask.[[#This Row],[Jaettava € 5]]</f>
        <v>172279</v>
      </c>
      <c r="AE25" s="36">
        <f>Ohj.lask.[[#This Row],[Jaettava € 6]]+Ohj.lask.[[#This Row],[Jaettava €]]</f>
        <v>2424368</v>
      </c>
      <c r="AF25" s="36">
        <f>IFERROR(VLOOKUP(Ohj.lask.[[#This Row],[Y-tunnus]],'3.1 Alv vahvistettu'!A:Y,COLUMN(C:C),FALSE),0)</f>
        <v>217386.24000000002</v>
      </c>
      <c r="AG25" s="25">
        <f>Ohj.lask.[[#This Row],[Perus-, suoritus- ja vaikuttavuusrahoitus yhteensä, €]]+Ohj.lask.[[#This Row],[Alv-korvaus, €]]</f>
        <v>2641754.2400000002</v>
      </c>
    </row>
    <row r="26" spans="1:33" x14ac:dyDescent="0.2">
      <c r="A26" s="131" t="s">
        <v>387</v>
      </c>
      <c r="B26" s="16" t="s">
        <v>210</v>
      </c>
      <c r="C26" s="98" t="s">
        <v>236</v>
      </c>
      <c r="D26" s="98" t="s">
        <v>412</v>
      </c>
      <c r="E26" s="98" t="s">
        <v>474</v>
      </c>
      <c r="F26" s="113">
        <v>11</v>
      </c>
      <c r="G26" s="122">
        <f>0</f>
        <v>0</v>
      </c>
      <c r="H26" s="35">
        <f t="shared" si="0"/>
        <v>11</v>
      </c>
      <c r="I26" s="17">
        <f>IFERROR(VLOOKUP($A26,'2.1 Toteut. op.vuodet'!$A:$Q,COLUMN('2.1 Toteut. op.vuodet'!Q:Q),FALSE),0)</f>
        <v>0.53900000000000048</v>
      </c>
      <c r="J26" s="11">
        <f t="shared" si="1"/>
        <v>5.9</v>
      </c>
      <c r="K26" s="18">
        <f>IFERROR(Ohj.lask.[[#This Row],[Painotetut opiskelija-vuodet]]/Ohj.lask.[[#Totals],[Painotetut opiskelija-vuodet]],0)</f>
        <v>2.9498790549587454E-5</v>
      </c>
      <c r="L26" s="19">
        <f>ROUND(IFERROR('1.1 Jakotaulu'!L$10*Ohj.lask.[[#This Row],[%-osuus 1]],0),0)</f>
        <v>34395</v>
      </c>
      <c r="M26" s="211">
        <f>IFERROR(ROUND(VLOOKUP($A26,'2.2 Tutk. ja osien pain. pist.'!$A:$Q,COLUMN('2.2 Tutk. ja osien pain. pist.'!P:P),FALSE),1),0)</f>
        <v>260.3</v>
      </c>
      <c r="N26" s="18">
        <f>IFERROR(Ohj.lask.[[#This Row],[Painotetut pisteet 2]]/Ohj.lask.[[#Totals],[Painotetut pisteet 2]],0)</f>
        <v>1.6634278284740202E-5</v>
      </c>
      <c r="O26" s="25">
        <f>ROUND(IFERROR('1.1 Jakotaulu'!K$11*Ohj.lask.[[#This Row],[%-osuus 2]],0),0)</f>
        <v>6159</v>
      </c>
      <c r="P26" s="233">
        <f>IFERROR(ROUND(VLOOKUP($A26,'2.3 Työll. ja jatko-opisk.'!$A:$K,COLUMN('2.3 Työll. ja jatko-opisk.'!I:I),FALSE),1),0)</f>
        <v>15.6</v>
      </c>
      <c r="Q26" s="22">
        <f>IFERROR(Ohj.lask.[[#This Row],[Painotetut pisteet 3]]/Ohj.lask.[[#Totals],[Painotetut pisteet 3]],0)</f>
        <v>8.2352841806525732E-5</v>
      </c>
      <c r="R26" s="19">
        <f>ROUND(IFERROR('1.1 Jakotaulu'!L$13*Ohj.lask.[[#This Row],[%-osuus 3]],0),0)</f>
        <v>11435</v>
      </c>
      <c r="S26" s="211">
        <f>IFERROR(ROUND(VLOOKUP($A26,'2.4 Aloittaneet palaute'!$A:$K,COLUMN('2.4 Aloittaneet palaute'!J:J),FALSE),1),0)</f>
        <v>142.6</v>
      </c>
      <c r="T26" s="22">
        <f>IFERROR(Ohj.lask.[[#This Row],[Painotetut pisteet 4]]/Ohj.lask.[[#Totals],[Painotetut pisteet 4]],0)</f>
        <v>1.1453476716511508E-4</v>
      </c>
      <c r="U26" s="25">
        <f>ROUND(IFERROR('1.1 Jakotaulu'!M$16*Ohj.lask.[[#This Row],[%-osuus 4]],0),0)</f>
        <v>1325</v>
      </c>
      <c r="V26" s="235">
        <f>IFERROR(ROUND(VLOOKUP($A26,'2.5 Päättäneet palaute'!$A:$AC,COLUMN('2.5 Päättäneet palaute'!AB:AB),FALSE),1),0)</f>
        <v>0</v>
      </c>
      <c r="W26" s="22">
        <f>IFERROR(Ohj.lask.[[#This Row],[Painotetut pisteet 5]]/Ohj.lask.[[#Totals],[Painotetut pisteet 5]],0)</f>
        <v>0</v>
      </c>
      <c r="X26" s="19">
        <f>ROUND(IFERROR('1.1 Jakotaulu'!M$17*Ohj.lask.[[#This Row],[%-osuus 5]],0),0)</f>
        <v>0</v>
      </c>
      <c r="Y26" s="21">
        <f>IFERROR(Ohj.lask.[[#This Row],[Jaettava € 6]]/Ohj.lask.[[#Totals],[Jaettava € 6]],"")</f>
        <v>3.0971572417460029E-5</v>
      </c>
      <c r="Z26" s="25">
        <f>IFERROR(Ohj.lask.[[#This Row],[Jaettava € 1]]+Ohj.lask.[[#This Row],[Jaettava € 2]]+Ohj.lask.[[#This Row],[Jaettava € 3]]+Ohj.lask.[[#This Row],[Jaettava € 4]]+Ohj.lask.[[#This Row],[Jaettava € 5]],"")</f>
        <v>53314</v>
      </c>
      <c r="AA26" s="123">
        <f>0</f>
        <v>0</v>
      </c>
      <c r="AB26" s="19">
        <f>Ohj.lask.[[#This Row],[Jaettava € 1]]+Ohj.lask.[[#This Row],[Jaettava €]]</f>
        <v>34395</v>
      </c>
      <c r="AC26" s="107">
        <f>Ohj.lask.[[#This Row],[Jaettava € 2]]</f>
        <v>6159</v>
      </c>
      <c r="AD26" s="19">
        <f>Ohj.lask.[[#This Row],[Jaettava € 3]]+Ohj.lask.[[#This Row],[Jaettava € 4]]+Ohj.lask.[[#This Row],[Jaettava € 5]]</f>
        <v>12760</v>
      </c>
      <c r="AE26" s="36">
        <f>Ohj.lask.[[#This Row],[Jaettava € 6]]+Ohj.lask.[[#This Row],[Jaettava €]]</f>
        <v>53314</v>
      </c>
      <c r="AF26" s="36">
        <f>IFERROR(VLOOKUP(Ohj.lask.[[#This Row],[Y-tunnus]],'3.1 Alv vahvistettu'!A:Y,COLUMN(C:C),FALSE),0)</f>
        <v>4366.3599999999997</v>
      </c>
      <c r="AG26" s="25">
        <f>Ohj.lask.[[#This Row],[Perus-, suoritus- ja vaikuttavuusrahoitus yhteensä, €]]+Ohj.lask.[[#This Row],[Alv-korvaus, €]]</f>
        <v>57680.36</v>
      </c>
    </row>
    <row r="27" spans="1:33" x14ac:dyDescent="0.2">
      <c r="A27" s="131" t="s">
        <v>386</v>
      </c>
      <c r="B27" s="16" t="s">
        <v>38</v>
      </c>
      <c r="C27" s="16" t="s">
        <v>236</v>
      </c>
      <c r="D27" s="16" t="s">
        <v>413</v>
      </c>
      <c r="E27" s="16" t="s">
        <v>476</v>
      </c>
      <c r="F27" s="114">
        <v>8947</v>
      </c>
      <c r="G27" s="122">
        <f>0</f>
        <v>0</v>
      </c>
      <c r="H27" s="35">
        <f t="shared" si="0"/>
        <v>8947</v>
      </c>
      <c r="I27" s="17">
        <f>IFERROR(VLOOKUP($A27,'2.1 Toteut. op.vuodet'!$A:$Q,COLUMN('2.1 Toteut. op.vuodet'!Q:Q),FALSE),0)</f>
        <v>1.0388655750218561</v>
      </c>
      <c r="J27" s="11">
        <f t="shared" si="1"/>
        <v>9294.7000000000007</v>
      </c>
      <c r="K27" s="18">
        <f>IFERROR(Ohj.lask.[[#This Row],[Painotetut opiskelija-vuodet]]/Ohj.lask.[[#Totals],[Painotetut opiskelija-vuodet]],0)</f>
        <v>4.6471594664618733E-2</v>
      </c>
      <c r="L27" s="19">
        <f>ROUND(IFERROR('1.1 Jakotaulu'!L$10*Ohj.lask.[[#This Row],[%-osuus 1]],0),0)</f>
        <v>54184462</v>
      </c>
      <c r="M27" s="211">
        <f>IFERROR(ROUND(VLOOKUP($A27,'2.2 Tutk. ja osien pain. pist.'!$A:$Q,COLUMN('2.2 Tutk. ja osien pain. pist.'!P:P),FALSE),1),0)</f>
        <v>734578.1</v>
      </c>
      <c r="N27" s="18">
        <f>IFERROR(Ohj.lask.[[#This Row],[Painotetut pisteet 2]]/Ohj.lask.[[#Totals],[Painotetut pisteet 2]],0)</f>
        <v>4.6942668218500634E-2</v>
      </c>
      <c r="O27" s="25">
        <f>ROUND(IFERROR('1.1 Jakotaulu'!K$11*Ohj.lask.[[#This Row],[%-osuus 2]],0),0)</f>
        <v>17381790</v>
      </c>
      <c r="P27" s="233">
        <f>IFERROR(ROUND(VLOOKUP($A27,'2.3 Työll. ja jatko-opisk.'!$A:$K,COLUMN('2.3 Työll. ja jatko-opisk.'!I:I),FALSE),1),0)</f>
        <v>9235.7999999999993</v>
      </c>
      <c r="Q27" s="18">
        <f>IFERROR(Ohj.lask.[[#This Row],[Painotetut pisteet 3]]/Ohj.lask.[[#Totals],[Painotetut pisteet 3]],0)</f>
        <v>4.8756049766455783E-2</v>
      </c>
      <c r="R27" s="19">
        <f>ROUND(IFERROR('1.1 Jakotaulu'!L$13*Ohj.lask.[[#This Row],[%-osuus 3]],0),0)</f>
        <v>6769966</v>
      </c>
      <c r="S27" s="211">
        <f>IFERROR(ROUND(VLOOKUP($A27,'2.4 Aloittaneet palaute'!$A:$K,COLUMN('2.4 Aloittaneet palaute'!J:J),FALSE),1),0)</f>
        <v>32858.699999999997</v>
      </c>
      <c r="T27" s="22">
        <f>IFERROR(Ohj.lask.[[#This Row],[Painotetut pisteet 4]]/Ohj.lask.[[#Totals],[Painotetut pisteet 4]],0)</f>
        <v>2.6391750026987147E-2</v>
      </c>
      <c r="U27" s="25">
        <f>ROUND(IFERROR('1.1 Jakotaulu'!M$16*Ohj.lask.[[#This Row],[%-osuus 4]],0),0)</f>
        <v>305383</v>
      </c>
      <c r="V27" s="235">
        <f>IFERROR(ROUND(VLOOKUP($A27,'2.5 Päättäneet palaute'!$A:$AC,COLUMN('2.5 Päättäneet palaute'!AB:AB),FALSE),1),0)</f>
        <v>118950.9</v>
      </c>
      <c r="W27" s="22">
        <f>IFERROR(Ohj.lask.[[#This Row],[Painotetut pisteet 5]]/Ohj.lask.[[#Totals],[Painotetut pisteet 5]],0)</f>
        <v>1.7962729860043679E-2</v>
      </c>
      <c r="X27" s="19">
        <f>ROUND(IFERROR('1.1 Jakotaulu'!M$17*Ohj.lask.[[#This Row],[%-osuus 5]],0),0)</f>
        <v>623549</v>
      </c>
      <c r="Y27" s="21">
        <f>IFERROR(Ohj.lask.[[#This Row],[Jaettava € 6]]/Ohj.lask.[[#Totals],[Jaettava € 6]],"")</f>
        <v>4.6047310901561167E-2</v>
      </c>
      <c r="Z27" s="25">
        <f>IFERROR(Ohj.lask.[[#This Row],[Jaettava € 1]]+Ohj.lask.[[#This Row],[Jaettava € 2]]+Ohj.lask.[[#This Row],[Jaettava € 3]]+Ohj.lask.[[#This Row],[Jaettava € 4]]+Ohj.lask.[[#This Row],[Jaettava € 5]],"")</f>
        <v>79265150</v>
      </c>
      <c r="AA27" s="123">
        <f>0</f>
        <v>0</v>
      </c>
      <c r="AB27" s="19">
        <f>Ohj.lask.[[#This Row],[Jaettava € 1]]+Ohj.lask.[[#This Row],[Jaettava €]]</f>
        <v>54184462</v>
      </c>
      <c r="AC27" s="107">
        <f>Ohj.lask.[[#This Row],[Jaettava € 2]]</f>
        <v>17381790</v>
      </c>
      <c r="AD27" s="19">
        <f>Ohj.lask.[[#This Row],[Jaettava € 3]]+Ohj.lask.[[#This Row],[Jaettava € 4]]+Ohj.lask.[[#This Row],[Jaettava € 5]]</f>
        <v>7698898</v>
      </c>
      <c r="AE27" s="36">
        <f>Ohj.lask.[[#This Row],[Jaettava € 6]]+Ohj.lask.[[#This Row],[Jaettava €]]</f>
        <v>79265150</v>
      </c>
      <c r="AF27" s="36">
        <f>IFERROR(VLOOKUP(Ohj.lask.[[#This Row],[Y-tunnus]],'3.1 Alv vahvistettu'!A:Y,COLUMN(C:C),FALSE),0)</f>
        <v>0</v>
      </c>
      <c r="AG27" s="25">
        <f>Ohj.lask.[[#This Row],[Perus-, suoritus- ja vaikuttavuusrahoitus yhteensä, €]]+Ohj.lask.[[#This Row],[Alv-korvaus, €]]</f>
        <v>79265150</v>
      </c>
    </row>
    <row r="28" spans="1:33" x14ac:dyDescent="0.2">
      <c r="A28" s="131" t="s">
        <v>382</v>
      </c>
      <c r="B28" s="16" t="s">
        <v>39</v>
      </c>
      <c r="C28" s="16" t="s">
        <v>236</v>
      </c>
      <c r="D28" s="16" t="s">
        <v>412</v>
      </c>
      <c r="E28" s="16" t="s">
        <v>474</v>
      </c>
      <c r="F28" s="114">
        <v>59</v>
      </c>
      <c r="G28" s="122">
        <f>0</f>
        <v>0</v>
      </c>
      <c r="H28" s="35">
        <f t="shared" si="0"/>
        <v>59</v>
      </c>
      <c r="I28" s="17">
        <f>IFERROR(VLOOKUP($A28,'2.1 Toteut. op.vuodet'!$A:$Q,COLUMN('2.1 Toteut. op.vuodet'!Q:Q),FALSE),0)</f>
        <v>1.5924203644456822</v>
      </c>
      <c r="J28" s="11">
        <f t="shared" si="1"/>
        <v>94</v>
      </c>
      <c r="K28" s="18">
        <f>IFERROR(Ohj.lask.[[#This Row],[Painotetut opiskelija-vuodet]]/Ohj.lask.[[#Totals],[Painotetut opiskelija-vuodet]],0)</f>
        <v>4.6998073079003737E-4</v>
      </c>
      <c r="L28" s="19">
        <f>ROUND(IFERROR('1.1 Jakotaulu'!L$10*Ohj.lask.[[#This Row],[%-osuus 1]],0),0)</f>
        <v>547983</v>
      </c>
      <c r="M28" s="211">
        <f>IFERROR(ROUND(VLOOKUP($A28,'2.2 Tutk. ja osien pain. pist.'!$A:$Q,COLUMN('2.2 Tutk. ja osien pain. pist.'!P:P),FALSE),1),0)</f>
        <v>12594.1</v>
      </c>
      <c r="N28" s="18">
        <f>IFERROR(Ohj.lask.[[#This Row],[Painotetut pisteet 2]]/Ohj.lask.[[#Totals],[Painotetut pisteet 2]],0)</f>
        <v>8.0481661216229956E-4</v>
      </c>
      <c r="O28" s="25">
        <f>ROUND(IFERROR('1.1 Jakotaulu'!K$11*Ohj.lask.[[#This Row],[%-osuus 2]],0),0)</f>
        <v>298005</v>
      </c>
      <c r="P28" s="233">
        <f>IFERROR(ROUND(VLOOKUP($A28,'2.3 Työll. ja jatko-opisk.'!$A:$K,COLUMN('2.3 Työll. ja jatko-opisk.'!I:I),FALSE),1),0)</f>
        <v>93.4</v>
      </c>
      <c r="Q28" s="18">
        <f>IFERROR(Ohj.lask.[[#This Row],[Painotetut pisteet 3]]/Ohj.lask.[[#Totals],[Painotetut pisteet 3]],0)</f>
        <v>4.9306124517496815E-4</v>
      </c>
      <c r="R28" s="19">
        <f>ROUND(IFERROR('1.1 Jakotaulu'!L$13*Ohj.lask.[[#This Row],[%-osuus 3]],0),0)</f>
        <v>68463</v>
      </c>
      <c r="S28" s="211">
        <f>IFERROR(ROUND(VLOOKUP($A28,'2.4 Aloittaneet palaute'!$A:$K,COLUMN('2.4 Aloittaneet palaute'!J:J),FALSE),1),0)</f>
        <v>584.29999999999995</v>
      </c>
      <c r="T28" s="22">
        <f>IFERROR(Ohj.lask.[[#This Row],[Painotetut pisteet 4]]/Ohj.lask.[[#Totals],[Painotetut pisteet 4]],0)</f>
        <v>4.6930339729717212E-4</v>
      </c>
      <c r="U28" s="25">
        <f>ROUND(IFERROR('1.1 Jakotaulu'!M$16*Ohj.lask.[[#This Row],[%-osuus 4]],0),0)</f>
        <v>5430</v>
      </c>
      <c r="V28" s="235">
        <f>IFERROR(ROUND(VLOOKUP($A28,'2.5 Päättäneet palaute'!$A:$AC,COLUMN('2.5 Päättäneet palaute'!AB:AB),FALSE),1),0)</f>
        <v>2910.5</v>
      </c>
      <c r="W28" s="22">
        <f>IFERROR(Ohj.lask.[[#This Row],[Painotetut pisteet 5]]/Ohj.lask.[[#Totals],[Painotetut pisteet 5]],0)</f>
        <v>4.3951349050454545E-4</v>
      </c>
      <c r="X28" s="19">
        <f>ROUND(IFERROR('1.1 Jakotaulu'!M$17*Ohj.lask.[[#This Row],[%-osuus 5]],0),0)</f>
        <v>15257</v>
      </c>
      <c r="Y28" s="21">
        <f>IFERROR(Ohj.lask.[[#This Row],[Jaettava € 6]]/Ohj.lask.[[#Totals],[Jaettava € 6]],"")</f>
        <v>5.4324744508607006E-4</v>
      </c>
      <c r="Z28" s="25">
        <f>IFERROR(Ohj.lask.[[#This Row],[Jaettava € 1]]+Ohj.lask.[[#This Row],[Jaettava € 2]]+Ohj.lask.[[#This Row],[Jaettava € 3]]+Ohj.lask.[[#This Row],[Jaettava € 4]]+Ohj.lask.[[#This Row],[Jaettava € 5]],"")</f>
        <v>935138</v>
      </c>
      <c r="AA28" s="123">
        <f>0</f>
        <v>0</v>
      </c>
      <c r="AB28" s="19">
        <f>Ohj.lask.[[#This Row],[Jaettava € 1]]+Ohj.lask.[[#This Row],[Jaettava €]]</f>
        <v>547983</v>
      </c>
      <c r="AC28" s="107">
        <f>Ohj.lask.[[#This Row],[Jaettava € 2]]</f>
        <v>298005</v>
      </c>
      <c r="AD28" s="19">
        <f>Ohj.lask.[[#This Row],[Jaettava € 3]]+Ohj.lask.[[#This Row],[Jaettava € 4]]+Ohj.lask.[[#This Row],[Jaettava € 5]]</f>
        <v>89150</v>
      </c>
      <c r="AE28" s="36">
        <f>Ohj.lask.[[#This Row],[Jaettava € 6]]+Ohj.lask.[[#This Row],[Jaettava €]]</f>
        <v>935138</v>
      </c>
      <c r="AF28" s="36">
        <f>IFERROR(VLOOKUP(Ohj.lask.[[#This Row],[Y-tunnus]],'3.1 Alv vahvistettu'!A:Y,COLUMN(C:C),FALSE),0)</f>
        <v>23777.62</v>
      </c>
      <c r="AG28" s="25">
        <f>Ohj.lask.[[#This Row],[Perus-, suoritus- ja vaikuttavuusrahoitus yhteensä, €]]+Ohj.lask.[[#This Row],[Alv-korvaus, €]]</f>
        <v>958915.62</v>
      </c>
    </row>
    <row r="29" spans="1:33" x14ac:dyDescent="0.2">
      <c r="A29" s="131" t="s">
        <v>385</v>
      </c>
      <c r="B29" s="16" t="s">
        <v>40</v>
      </c>
      <c r="C29" s="16" t="s">
        <v>236</v>
      </c>
      <c r="D29" s="16" t="s">
        <v>412</v>
      </c>
      <c r="E29" s="16" t="s">
        <v>474</v>
      </c>
      <c r="F29" s="114">
        <v>1890</v>
      </c>
      <c r="G29" s="122">
        <f>0</f>
        <v>0</v>
      </c>
      <c r="H29" s="35">
        <f t="shared" si="0"/>
        <v>1890</v>
      </c>
      <c r="I29" s="17">
        <f>IFERROR(VLOOKUP($A29,'2.1 Toteut. op.vuodet'!$A:$Q,COLUMN('2.1 Toteut. op.vuodet'!Q:Q),FALSE),0)</f>
        <v>0.82195354304156587</v>
      </c>
      <c r="J29" s="11">
        <f t="shared" si="1"/>
        <v>1553.5</v>
      </c>
      <c r="K29" s="18">
        <f>IFERROR(Ohj.lask.[[#This Row],[Painotetut opiskelija-vuodet]]/Ohj.lask.[[#Totals],[Painotetut opiskelija-vuodet]],0)</f>
        <v>7.7671815455566283E-3</v>
      </c>
      <c r="L29" s="19">
        <f>ROUND(IFERROR('1.1 Jakotaulu'!L$10*Ohj.lask.[[#This Row],[%-osuus 1]],0),0)</f>
        <v>9056297</v>
      </c>
      <c r="M29" s="211">
        <f>IFERROR(ROUND(VLOOKUP($A29,'2.2 Tutk. ja osien pain. pist.'!$A:$Q,COLUMN('2.2 Tutk. ja osien pain. pist.'!P:P),FALSE),1),0)</f>
        <v>125288.3</v>
      </c>
      <c r="N29" s="18">
        <f>IFERROR(Ohj.lask.[[#This Row],[Painotetut pisteet 2]]/Ohj.lask.[[#Totals],[Painotetut pisteet 2]],0)</f>
        <v>8.0064558126085889E-3</v>
      </c>
      <c r="O29" s="25">
        <f>ROUND(IFERROR('1.1 Jakotaulu'!K$11*Ohj.lask.[[#This Row],[%-osuus 2]],0),0)</f>
        <v>2964606</v>
      </c>
      <c r="P29" s="233">
        <f>IFERROR(ROUND(VLOOKUP($A29,'2.3 Työll. ja jatko-opisk.'!$A:$K,COLUMN('2.3 Työll. ja jatko-opisk.'!I:I),FALSE),1),0)</f>
        <v>1754.7</v>
      </c>
      <c r="Q29" s="18">
        <f>IFERROR(Ohj.lask.[[#This Row],[Painotetut pisteet 3]]/Ohj.lask.[[#Totals],[Painotetut pisteet 3]],0)</f>
        <v>9.2631109947378647E-3</v>
      </c>
      <c r="R29" s="19">
        <f>ROUND(IFERROR('1.1 Jakotaulu'!L$13*Ohj.lask.[[#This Row],[%-osuus 3]],0),0)</f>
        <v>1286219</v>
      </c>
      <c r="S29" s="211">
        <f>IFERROR(ROUND(VLOOKUP($A29,'2.4 Aloittaneet palaute'!$A:$K,COLUMN('2.4 Aloittaneet palaute'!J:J),FALSE),1),0)</f>
        <v>17876.599999999999</v>
      </c>
      <c r="T29" s="22">
        <f>IFERROR(Ohj.lask.[[#This Row],[Painotetut pisteet 4]]/Ohj.lask.[[#Totals],[Painotetut pisteet 4]],0)</f>
        <v>1.4358290453744014E-2</v>
      </c>
      <c r="U29" s="25">
        <f>ROUND(IFERROR('1.1 Jakotaulu'!M$16*Ohj.lask.[[#This Row],[%-osuus 4]],0),0)</f>
        <v>166142</v>
      </c>
      <c r="V29" s="235">
        <f>IFERROR(ROUND(VLOOKUP($A29,'2.5 Päättäneet palaute'!$A:$AC,COLUMN('2.5 Päättäneet palaute'!AB:AB),FALSE),1),0)</f>
        <v>37869.9</v>
      </c>
      <c r="W29" s="22">
        <f>IFERROR(Ohj.lask.[[#This Row],[Painotetut pisteet 5]]/Ohj.lask.[[#Totals],[Painotetut pisteet 5]],0)</f>
        <v>5.7187190977694849E-3</v>
      </c>
      <c r="X29" s="19">
        <f>ROUND(IFERROR('1.1 Jakotaulu'!M$17*Ohj.lask.[[#This Row],[%-osuus 5]],0),0)</f>
        <v>198517</v>
      </c>
      <c r="Y29" s="21">
        <f>IFERROR(Ohj.lask.[[#This Row],[Jaettava € 6]]/Ohj.lask.[[#Totals],[Jaettava € 6]],"")</f>
        <v>7.942314501203326E-3</v>
      </c>
      <c r="Z29" s="25">
        <f>IFERROR(Ohj.lask.[[#This Row],[Jaettava € 1]]+Ohj.lask.[[#This Row],[Jaettava € 2]]+Ohj.lask.[[#This Row],[Jaettava € 3]]+Ohj.lask.[[#This Row],[Jaettava € 4]]+Ohj.lask.[[#This Row],[Jaettava € 5]],"")</f>
        <v>13671781</v>
      </c>
      <c r="AA29" s="123">
        <f>0</f>
        <v>0</v>
      </c>
      <c r="AB29" s="19">
        <f>Ohj.lask.[[#This Row],[Jaettava € 1]]+Ohj.lask.[[#This Row],[Jaettava €]]</f>
        <v>9056297</v>
      </c>
      <c r="AC29" s="107">
        <f>Ohj.lask.[[#This Row],[Jaettava € 2]]</f>
        <v>2964606</v>
      </c>
      <c r="AD29" s="19">
        <f>Ohj.lask.[[#This Row],[Jaettava € 3]]+Ohj.lask.[[#This Row],[Jaettava € 4]]+Ohj.lask.[[#This Row],[Jaettava € 5]]</f>
        <v>1650878</v>
      </c>
      <c r="AE29" s="36">
        <f>Ohj.lask.[[#This Row],[Jaettava € 6]]+Ohj.lask.[[#This Row],[Jaettava €]]</f>
        <v>13671781</v>
      </c>
      <c r="AF29" s="36">
        <f>IFERROR(VLOOKUP(Ohj.lask.[[#This Row],[Y-tunnus]],'3.1 Alv vahvistettu'!A:Y,COLUMN(C:C),FALSE),0)</f>
        <v>1190790.1399999999</v>
      </c>
      <c r="AG29" s="25">
        <f>Ohj.lask.[[#This Row],[Perus-, suoritus- ja vaikuttavuusrahoitus yhteensä, €]]+Ohj.lask.[[#This Row],[Alv-korvaus, €]]</f>
        <v>14862571.140000001</v>
      </c>
    </row>
    <row r="30" spans="1:33" x14ac:dyDescent="0.2">
      <c r="A30" s="131" t="s">
        <v>384</v>
      </c>
      <c r="B30" s="16" t="s">
        <v>41</v>
      </c>
      <c r="C30" s="16" t="s">
        <v>236</v>
      </c>
      <c r="D30" s="16" t="s">
        <v>412</v>
      </c>
      <c r="E30" s="16" t="s">
        <v>474</v>
      </c>
      <c r="F30" s="114">
        <v>1462</v>
      </c>
      <c r="G30" s="122">
        <f>0</f>
        <v>0</v>
      </c>
      <c r="H30" s="35">
        <f t="shared" si="0"/>
        <v>1462</v>
      </c>
      <c r="I30" s="17">
        <f>IFERROR(VLOOKUP($A30,'2.1 Toteut. op.vuodet'!$A:$Q,COLUMN('2.1 Toteut. op.vuodet'!Q:Q),FALSE),0)</f>
        <v>4.7251124161443894</v>
      </c>
      <c r="J30" s="11">
        <f t="shared" si="1"/>
        <v>6908.1</v>
      </c>
      <c r="K30" s="18">
        <f>IFERROR(Ohj.lask.[[#This Row],[Painotetut opiskelija-vuodet]]/Ohj.lask.[[#Totals],[Painotetut opiskelija-vuodet]],0)</f>
        <v>3.4539083897560184E-2</v>
      </c>
      <c r="L30" s="19">
        <f>ROUND(IFERROR('1.1 Jakotaulu'!L$10*Ohj.lask.[[#This Row],[%-osuus 1]],0),0)</f>
        <v>40271518</v>
      </c>
      <c r="M30" s="211">
        <f>IFERROR(ROUND(VLOOKUP($A30,'2.2 Tutk. ja osien pain. pist.'!$A:$Q,COLUMN('2.2 Tutk. ja osien pain. pist.'!P:P),FALSE),1),0)</f>
        <v>338767.6</v>
      </c>
      <c r="N30" s="18">
        <f>IFERROR(Ohj.lask.[[#This Row],[Painotetut pisteet 2]]/Ohj.lask.[[#Totals],[Painotetut pisteet 2]],0)</f>
        <v>2.1648692017877658E-2</v>
      </c>
      <c r="O30" s="25">
        <f>ROUND(IFERROR('1.1 Jakotaulu'!K$11*Ohj.lask.[[#This Row],[%-osuus 2]],0),0)</f>
        <v>8016013</v>
      </c>
      <c r="P30" s="233">
        <f>IFERROR(ROUND(VLOOKUP($A30,'2.3 Työll. ja jatko-opisk.'!$A:$K,COLUMN('2.3 Työll. ja jatko-opisk.'!I:I),FALSE),1),0)</f>
        <v>666</v>
      </c>
      <c r="Q30" s="18">
        <f>IFERROR(Ohj.lask.[[#This Row],[Painotetut pisteet 3]]/Ohj.lask.[[#Totals],[Painotetut pisteet 3]],0)</f>
        <v>3.5158328617401367E-3</v>
      </c>
      <c r="R30" s="19">
        <f>ROUND(IFERROR('1.1 Jakotaulu'!L$13*Ohj.lask.[[#This Row],[%-osuus 3]],0),0)</f>
        <v>488187</v>
      </c>
      <c r="S30" s="211">
        <f>IFERROR(ROUND(VLOOKUP($A30,'2.4 Aloittaneet palaute'!$A:$K,COLUMN('2.4 Aloittaneet palaute'!J:J),FALSE),1),0)</f>
        <v>10852.7</v>
      </c>
      <c r="T30" s="22">
        <f>IFERROR(Ohj.lask.[[#This Row],[Painotetut pisteet 4]]/Ohj.lask.[[#Totals],[Painotetut pisteet 4]],0)</f>
        <v>8.7167704601181246E-3</v>
      </c>
      <c r="U30" s="25">
        <f>ROUND(IFERROR('1.1 Jakotaulu'!M$16*Ohj.lask.[[#This Row],[%-osuus 4]],0),0)</f>
        <v>100863</v>
      </c>
      <c r="V30" s="235">
        <f>IFERROR(ROUND(VLOOKUP($A30,'2.5 Päättäneet palaute'!$A:$AC,COLUMN('2.5 Päättäneet palaute'!AB:AB),FALSE),1),0)</f>
        <v>60058.9</v>
      </c>
      <c r="W30" s="22">
        <f>IFERROR(Ohj.lask.[[#This Row],[Painotetut pisteet 5]]/Ohj.lask.[[#Totals],[Painotetut pisteet 5]],0)</f>
        <v>9.0694714911058044E-3</v>
      </c>
      <c r="X30" s="19">
        <f>ROUND(IFERROR('1.1 Jakotaulu'!M$17*Ohj.lask.[[#This Row],[%-osuus 5]],0),0)</f>
        <v>314833</v>
      </c>
      <c r="Y30" s="21">
        <f>IFERROR(Ohj.lask.[[#This Row],[Jaettava € 6]]/Ohj.lask.[[#Totals],[Jaettava € 6]],"")</f>
        <v>2.8576648554193219E-2</v>
      </c>
      <c r="Z30" s="25">
        <f>IFERROR(Ohj.lask.[[#This Row],[Jaettava € 1]]+Ohj.lask.[[#This Row],[Jaettava € 2]]+Ohj.lask.[[#This Row],[Jaettava € 3]]+Ohj.lask.[[#This Row],[Jaettava € 4]]+Ohj.lask.[[#This Row],[Jaettava € 5]],"")</f>
        <v>49191414</v>
      </c>
      <c r="AA30" s="123">
        <f>0</f>
        <v>0</v>
      </c>
      <c r="AB30" s="19">
        <f>Ohj.lask.[[#This Row],[Jaettava € 1]]+Ohj.lask.[[#This Row],[Jaettava €]]</f>
        <v>40271518</v>
      </c>
      <c r="AC30" s="107">
        <f>Ohj.lask.[[#This Row],[Jaettava € 2]]</f>
        <v>8016013</v>
      </c>
      <c r="AD30" s="19">
        <f>Ohj.lask.[[#This Row],[Jaettava € 3]]+Ohj.lask.[[#This Row],[Jaettava € 4]]+Ohj.lask.[[#This Row],[Jaettava € 5]]</f>
        <v>903883</v>
      </c>
      <c r="AE30" s="36">
        <f>Ohj.lask.[[#This Row],[Jaettava € 6]]+Ohj.lask.[[#This Row],[Jaettava €]]</f>
        <v>49191414</v>
      </c>
      <c r="AF30" s="36">
        <f>IFERROR(VLOOKUP(Ohj.lask.[[#This Row],[Y-tunnus]],'3.1 Alv vahvistettu'!A:Y,COLUMN(C:C),FALSE),0)</f>
        <v>2247544.9299999997</v>
      </c>
      <c r="AG30" s="25">
        <f>Ohj.lask.[[#This Row],[Perus-, suoritus- ja vaikuttavuusrahoitus yhteensä, €]]+Ohj.lask.[[#This Row],[Alv-korvaus, €]]</f>
        <v>51438958.93</v>
      </c>
    </row>
    <row r="31" spans="1:33" x14ac:dyDescent="0.2">
      <c r="A31" s="131" t="s">
        <v>383</v>
      </c>
      <c r="B31" s="16" t="s">
        <v>42</v>
      </c>
      <c r="C31" s="16" t="s">
        <v>332</v>
      </c>
      <c r="D31" s="16" t="s">
        <v>412</v>
      </c>
      <c r="E31" s="16" t="s">
        <v>474</v>
      </c>
      <c r="F31" s="114">
        <v>310</v>
      </c>
      <c r="G31" s="122">
        <f>0</f>
        <v>0</v>
      </c>
      <c r="H31" s="35">
        <f t="shared" si="0"/>
        <v>310</v>
      </c>
      <c r="I31" s="17">
        <f>IFERROR(VLOOKUP($A31,'2.1 Toteut. op.vuodet'!$A:$Q,COLUMN('2.1 Toteut. op.vuodet'!Q:Q),FALSE),0)</f>
        <v>1.525299597971344</v>
      </c>
      <c r="J31" s="11">
        <f t="shared" si="1"/>
        <v>472.8</v>
      </c>
      <c r="K31" s="18">
        <f>IFERROR(Ohj.lask.[[#This Row],[Painotetut opiskelija-vuodet]]/Ohj.lask.[[#Totals],[Painotetut opiskelija-vuodet]],0)</f>
        <v>2.36390307997372E-3</v>
      </c>
      <c r="L31" s="19">
        <f>ROUND(IFERROR('1.1 Jakotaulu'!L$10*Ohj.lask.[[#This Row],[%-osuus 1]],0),0)</f>
        <v>2756239</v>
      </c>
      <c r="M31" s="211">
        <f>IFERROR(ROUND(VLOOKUP($A31,'2.2 Tutk. ja osien pain. pist.'!$A:$Q,COLUMN('2.2 Tutk. ja osien pain. pist.'!P:P),FALSE),1),0)</f>
        <v>22149.5</v>
      </c>
      <c r="N31" s="18">
        <f>IFERROR(Ohj.lask.[[#This Row],[Painotetut pisteet 2]]/Ohj.lask.[[#Totals],[Painotetut pisteet 2]],0)</f>
        <v>1.4154473563882178E-3</v>
      </c>
      <c r="O31" s="25">
        <f>ROUND(IFERROR('1.1 Jakotaulu'!K$11*Ohj.lask.[[#This Row],[%-osuus 2]],0),0)</f>
        <v>524108</v>
      </c>
      <c r="P31" s="233">
        <f>IFERROR(ROUND(VLOOKUP($A31,'2.3 Työll. ja jatko-opisk.'!$A:$K,COLUMN('2.3 Työll. ja jatko-opisk.'!I:I),FALSE),1),0)</f>
        <v>334</v>
      </c>
      <c r="Q31" s="18">
        <f>IFERROR(Ohj.lask.[[#This Row],[Painotetut pisteet 3]]/Ohj.lask.[[#Totals],[Painotetut pisteet 3]],0)</f>
        <v>1.7631954591909996E-3</v>
      </c>
      <c r="R31" s="19">
        <f>ROUND(IFERROR('1.1 Jakotaulu'!L$13*Ohj.lask.[[#This Row],[%-osuus 3]],0),0)</f>
        <v>244827</v>
      </c>
      <c r="S31" s="211">
        <f>IFERROR(ROUND(VLOOKUP($A31,'2.4 Aloittaneet palaute'!$A:$K,COLUMN('2.4 Aloittaneet palaute'!J:J),FALSE),1),0)</f>
        <v>1070.0999999999999</v>
      </c>
      <c r="T31" s="22">
        <f>IFERROR(Ohj.lask.[[#This Row],[Painotetut pisteet 4]]/Ohj.lask.[[#Totals],[Painotetut pisteet 4]],0)</f>
        <v>8.5949266720469601E-4</v>
      </c>
      <c r="U31" s="25">
        <f>ROUND(IFERROR('1.1 Jakotaulu'!M$16*Ohj.lask.[[#This Row],[%-osuus 4]],0),0)</f>
        <v>9945</v>
      </c>
      <c r="V31" s="235">
        <f>IFERROR(ROUND(VLOOKUP($A31,'2.5 Päättäneet palaute'!$A:$AC,COLUMN('2.5 Päättäneet palaute'!AB:AB),FALSE),1),0)</f>
        <v>4080.7</v>
      </c>
      <c r="W31" s="22">
        <f>IFERROR(Ohj.lask.[[#This Row],[Painotetut pisteet 5]]/Ohj.lask.[[#Totals],[Painotetut pisteet 5]],0)</f>
        <v>6.1622494440882953E-4</v>
      </c>
      <c r="X31" s="19">
        <f>ROUND(IFERROR('1.1 Jakotaulu'!M$17*Ohj.lask.[[#This Row],[%-osuus 5]],0),0)</f>
        <v>21391</v>
      </c>
      <c r="Y31" s="21">
        <f>IFERROR(Ohj.lask.[[#This Row],[Jaettava € 6]]/Ohj.lask.[[#Totals],[Jaettava € 6]],"")</f>
        <v>2.066074708677285E-3</v>
      </c>
      <c r="Z31" s="25">
        <f>IFERROR(Ohj.lask.[[#This Row],[Jaettava € 1]]+Ohj.lask.[[#This Row],[Jaettava € 2]]+Ohj.lask.[[#This Row],[Jaettava € 3]]+Ohj.lask.[[#This Row],[Jaettava € 4]]+Ohj.lask.[[#This Row],[Jaettava € 5]],"")</f>
        <v>3556510</v>
      </c>
      <c r="AA31" s="123">
        <f>0</f>
        <v>0</v>
      </c>
      <c r="AB31" s="19">
        <f>Ohj.lask.[[#This Row],[Jaettava € 1]]+Ohj.lask.[[#This Row],[Jaettava €]]</f>
        <v>2756239</v>
      </c>
      <c r="AC31" s="107">
        <f>Ohj.lask.[[#This Row],[Jaettava € 2]]</f>
        <v>524108</v>
      </c>
      <c r="AD31" s="19">
        <f>Ohj.lask.[[#This Row],[Jaettava € 3]]+Ohj.lask.[[#This Row],[Jaettava € 4]]+Ohj.lask.[[#This Row],[Jaettava € 5]]</f>
        <v>276163</v>
      </c>
      <c r="AE31" s="36">
        <f>Ohj.lask.[[#This Row],[Jaettava € 6]]+Ohj.lask.[[#This Row],[Jaettava €]]</f>
        <v>3556510</v>
      </c>
      <c r="AF31" s="36">
        <f>IFERROR(VLOOKUP(Ohj.lask.[[#This Row],[Y-tunnus]],'3.1 Alv vahvistettu'!A:Y,COLUMN(C:C),FALSE),0)</f>
        <v>281160.74</v>
      </c>
      <c r="AG31" s="25">
        <f>Ohj.lask.[[#This Row],[Perus-, suoritus- ja vaikuttavuusrahoitus yhteensä, €]]+Ohj.lask.[[#This Row],[Alv-korvaus, €]]</f>
        <v>3837670.74</v>
      </c>
    </row>
    <row r="32" spans="1:33" x14ac:dyDescent="0.2">
      <c r="A32" s="131" t="s">
        <v>380</v>
      </c>
      <c r="B32" s="16" t="s">
        <v>43</v>
      </c>
      <c r="C32" s="16" t="s">
        <v>236</v>
      </c>
      <c r="D32" s="16" t="s">
        <v>412</v>
      </c>
      <c r="E32" s="16" t="s">
        <v>474</v>
      </c>
      <c r="F32" s="114">
        <v>3141</v>
      </c>
      <c r="G32" s="122">
        <f>0</f>
        <v>0</v>
      </c>
      <c r="H32" s="35">
        <f t="shared" si="0"/>
        <v>3141</v>
      </c>
      <c r="I32" s="17">
        <f>IFERROR(VLOOKUP($A32,'2.1 Toteut. op.vuodet'!$A:$Q,COLUMN('2.1 Toteut. op.vuodet'!Q:Q),FALSE),0)</f>
        <v>1.057127426343125</v>
      </c>
      <c r="J32" s="11">
        <f t="shared" si="1"/>
        <v>3320.4</v>
      </c>
      <c r="K32" s="18">
        <f>IFERROR(Ohj.lask.[[#This Row],[Painotetut opiskelija-vuodet]]/Ohj.lask.[[#Totals],[Painotetut opiskelija-vuodet]],0)</f>
        <v>1.660131934590681E-2</v>
      </c>
      <c r="L32" s="19">
        <f>ROUND(IFERROR('1.1 Jakotaulu'!L$10*Ohj.lask.[[#This Row],[%-osuus 1]],0),0)</f>
        <v>19356632</v>
      </c>
      <c r="M32" s="211">
        <f>IFERROR(ROUND(VLOOKUP($A32,'2.2 Tutk. ja osien pain. pist.'!$A:$Q,COLUMN('2.2 Tutk. ja osien pain. pist.'!P:P),FALSE),1),0)</f>
        <v>304685.59999999998</v>
      </c>
      <c r="N32" s="18">
        <f>IFERROR(Ohj.lask.[[#This Row],[Painotetut pisteet 2]]/Ohj.lask.[[#Totals],[Painotetut pisteet 2]],0)</f>
        <v>1.947070710623526E-2</v>
      </c>
      <c r="O32" s="25">
        <f>ROUND(IFERROR('1.1 Jakotaulu'!K$11*Ohj.lask.[[#This Row],[%-osuus 2]],0),0)</f>
        <v>7209555</v>
      </c>
      <c r="P32" s="233">
        <f>IFERROR(ROUND(VLOOKUP($A32,'2.3 Työll. ja jatko-opisk.'!$A:$K,COLUMN('2.3 Työll. ja jatko-opisk.'!I:I),FALSE),1),0)</f>
        <v>3343.3</v>
      </c>
      <c r="Q32" s="18">
        <f>IFERROR(Ohj.lask.[[#This Row],[Painotetut pisteet 3]]/Ohj.lask.[[#Totals],[Painotetut pisteet 3]],0)</f>
        <v>1.7649375385369068E-2</v>
      </c>
      <c r="R32" s="19">
        <f>ROUND(IFERROR('1.1 Jakotaulu'!L$13*Ohj.lask.[[#This Row],[%-osuus 3]],0),0)</f>
        <v>2450684</v>
      </c>
      <c r="S32" s="211">
        <f>IFERROR(ROUND(VLOOKUP($A32,'2.4 Aloittaneet palaute'!$A:$K,COLUMN('2.4 Aloittaneet palaute'!J:J),FALSE),1),0)</f>
        <v>31886.5</v>
      </c>
      <c r="T32" s="22">
        <f>IFERROR(Ohj.lask.[[#This Row],[Painotetut pisteet 4]]/Ohj.lask.[[#Totals],[Painotetut pisteet 4]],0)</f>
        <v>2.5610889573705768E-2</v>
      </c>
      <c r="U32" s="25">
        <f>ROUND(IFERROR('1.1 Jakotaulu'!M$16*Ohj.lask.[[#This Row],[%-osuus 4]],0),0)</f>
        <v>296348</v>
      </c>
      <c r="V32" s="235">
        <f>IFERROR(ROUND(VLOOKUP($A32,'2.5 Päättäneet palaute'!$A:$AC,COLUMN('2.5 Päättäneet palaute'!AB:AB),FALSE),1),0)</f>
        <v>186797.7</v>
      </c>
      <c r="W32" s="22">
        <f>IFERROR(Ohj.lask.[[#This Row],[Painotetut pisteet 5]]/Ohj.lask.[[#Totals],[Painotetut pisteet 5]],0)</f>
        <v>2.8208249147988636E-2</v>
      </c>
      <c r="X32" s="19">
        <f>ROUND(IFERROR('1.1 Jakotaulu'!M$17*Ohj.lask.[[#This Row],[%-osuus 5]],0),0)</f>
        <v>979206</v>
      </c>
      <c r="Y32" s="21">
        <f>IFERROR(Ohj.lask.[[#This Row],[Jaettava € 6]]/Ohj.lask.[[#Totals],[Jaettava € 6]],"")</f>
        <v>1.7597704816520551E-2</v>
      </c>
      <c r="Z32" s="25">
        <f>IFERROR(Ohj.lask.[[#This Row],[Jaettava € 1]]+Ohj.lask.[[#This Row],[Jaettava € 2]]+Ohj.lask.[[#This Row],[Jaettava € 3]]+Ohj.lask.[[#This Row],[Jaettava € 4]]+Ohj.lask.[[#This Row],[Jaettava € 5]],"")</f>
        <v>30292425</v>
      </c>
      <c r="AA32" s="123">
        <f>0</f>
        <v>0</v>
      </c>
      <c r="AB32" s="19">
        <f>Ohj.lask.[[#This Row],[Jaettava € 1]]+Ohj.lask.[[#This Row],[Jaettava €]]</f>
        <v>19356632</v>
      </c>
      <c r="AC32" s="107">
        <f>Ohj.lask.[[#This Row],[Jaettava € 2]]</f>
        <v>7209555</v>
      </c>
      <c r="AD32" s="19">
        <f>Ohj.lask.[[#This Row],[Jaettava € 3]]+Ohj.lask.[[#This Row],[Jaettava € 4]]+Ohj.lask.[[#This Row],[Jaettava € 5]]</f>
        <v>3726238</v>
      </c>
      <c r="AE32" s="36">
        <f>Ohj.lask.[[#This Row],[Jaettava € 6]]+Ohj.lask.[[#This Row],[Jaettava €]]</f>
        <v>30292425</v>
      </c>
      <c r="AF32" s="36">
        <f>IFERROR(VLOOKUP(Ohj.lask.[[#This Row],[Y-tunnus]],'3.1 Alv vahvistettu'!A:Y,COLUMN(C:C),FALSE),0)</f>
        <v>1652191.05</v>
      </c>
      <c r="AG32" s="25">
        <f>Ohj.lask.[[#This Row],[Perus-, suoritus- ja vaikuttavuusrahoitus yhteensä, €]]+Ohj.lask.[[#This Row],[Alv-korvaus, €]]</f>
        <v>31944616.050000001</v>
      </c>
    </row>
    <row r="33" spans="1:33" x14ac:dyDescent="0.2">
      <c r="A33" s="131" t="s">
        <v>379</v>
      </c>
      <c r="B33" s="16" t="s">
        <v>44</v>
      </c>
      <c r="C33" s="16" t="s">
        <v>332</v>
      </c>
      <c r="D33" s="16" t="s">
        <v>412</v>
      </c>
      <c r="E33" s="16" t="s">
        <v>474</v>
      </c>
      <c r="F33" s="114">
        <v>456</v>
      </c>
      <c r="G33" s="122">
        <f>0</f>
        <v>0</v>
      </c>
      <c r="H33" s="35">
        <f t="shared" si="0"/>
        <v>456</v>
      </c>
      <c r="I33" s="17">
        <f>IFERROR(VLOOKUP($A33,'2.1 Toteut. op.vuodet'!$A:$Q,COLUMN('2.1 Toteut. op.vuodet'!Q:Q),FALSE),0)</f>
        <v>1.3093749023928536</v>
      </c>
      <c r="J33" s="11">
        <f t="shared" si="1"/>
        <v>597.1</v>
      </c>
      <c r="K33" s="18">
        <f>IFERROR(Ohj.lask.[[#This Row],[Painotetut opiskelija-vuodet]]/Ohj.lask.[[#Totals],[Painotetut opiskelija-vuodet]],0)</f>
        <v>2.9853775995184184E-3</v>
      </c>
      <c r="L33" s="19">
        <f>ROUND(IFERROR('1.1 Jakotaulu'!L$10*Ohj.lask.[[#This Row],[%-osuus 1]],0),0)</f>
        <v>3480859</v>
      </c>
      <c r="M33" s="211">
        <f>IFERROR(ROUND(VLOOKUP($A33,'2.2 Tutk. ja osien pain. pist.'!$A:$Q,COLUMN('2.2 Tutk. ja osien pain. pist.'!P:P),FALSE),1),0)</f>
        <v>55449.8</v>
      </c>
      <c r="N33" s="18">
        <f>IFERROR(Ohj.lask.[[#This Row],[Painotetut pisteet 2]]/Ohj.lask.[[#Totals],[Painotetut pisteet 2]],0)</f>
        <v>3.5434783097702161E-3</v>
      </c>
      <c r="O33" s="25">
        <f>ROUND(IFERROR('1.1 Jakotaulu'!K$11*Ohj.lask.[[#This Row],[%-osuus 2]],0),0)</f>
        <v>1312069</v>
      </c>
      <c r="P33" s="233">
        <f>IFERROR(ROUND(VLOOKUP($A33,'2.3 Työll. ja jatko-opisk.'!$A:$K,COLUMN('2.3 Työll. ja jatko-opisk.'!I:I),FALSE),1),0)</f>
        <v>541</v>
      </c>
      <c r="Q33" s="18">
        <f>IFERROR(Ohj.lask.[[#This Row],[Painotetut pisteet 3]]/Ohj.lask.[[#Totals],[Painotetut pisteet 3]],0)</f>
        <v>2.855954321623745E-3</v>
      </c>
      <c r="R33" s="19">
        <f>ROUND(IFERROR('1.1 Jakotaulu'!L$13*Ohj.lask.[[#This Row],[%-osuus 3]],0),0)</f>
        <v>396560</v>
      </c>
      <c r="S33" s="211">
        <f>IFERROR(ROUND(VLOOKUP($A33,'2.4 Aloittaneet palaute'!$A:$K,COLUMN('2.4 Aloittaneet palaute'!J:J),FALSE),1),0)</f>
        <v>4241.2</v>
      </c>
      <c r="T33" s="22">
        <f>IFERROR(Ohj.lask.[[#This Row],[Painotetut pisteet 4]]/Ohj.lask.[[#Totals],[Painotetut pisteet 4]],0)</f>
        <v>3.4064856556850357E-3</v>
      </c>
      <c r="U33" s="25">
        <f>ROUND(IFERROR('1.1 Jakotaulu'!M$16*Ohj.lask.[[#This Row],[%-osuus 4]],0),0)</f>
        <v>39417</v>
      </c>
      <c r="V33" s="235">
        <f>IFERROR(ROUND(VLOOKUP($A33,'2.5 Päättäneet palaute'!$A:$AC,COLUMN('2.5 Päättäneet palaute'!AB:AB),FALSE),1),0)</f>
        <v>33531.300000000003</v>
      </c>
      <c r="W33" s="22">
        <f>IFERROR(Ohj.lask.[[#This Row],[Painotetut pisteet 5]]/Ohj.lask.[[#Totals],[Painotetut pisteet 5]],0)</f>
        <v>5.0635487731163255E-3</v>
      </c>
      <c r="X33" s="19">
        <f>ROUND(IFERROR('1.1 Jakotaulu'!M$17*Ohj.lask.[[#This Row],[%-osuus 5]],0),0)</f>
        <v>175773</v>
      </c>
      <c r="Y33" s="21">
        <f>IFERROR(Ohj.lask.[[#This Row],[Jaettava € 6]]/Ohj.lask.[[#Totals],[Jaettava € 6]],"")</f>
        <v>3.1397264521524E-3</v>
      </c>
      <c r="Z33" s="25">
        <f>IFERROR(Ohj.lask.[[#This Row],[Jaettava € 1]]+Ohj.lask.[[#This Row],[Jaettava € 2]]+Ohj.lask.[[#This Row],[Jaettava € 3]]+Ohj.lask.[[#This Row],[Jaettava € 4]]+Ohj.lask.[[#This Row],[Jaettava € 5]],"")</f>
        <v>5404678</v>
      </c>
      <c r="AA33" s="123">
        <f>0</f>
        <v>0</v>
      </c>
      <c r="AB33" s="19">
        <f>Ohj.lask.[[#This Row],[Jaettava € 1]]+Ohj.lask.[[#This Row],[Jaettava €]]</f>
        <v>3480859</v>
      </c>
      <c r="AC33" s="107">
        <f>Ohj.lask.[[#This Row],[Jaettava € 2]]</f>
        <v>1312069</v>
      </c>
      <c r="AD33" s="19">
        <f>Ohj.lask.[[#This Row],[Jaettava € 3]]+Ohj.lask.[[#This Row],[Jaettava € 4]]+Ohj.lask.[[#This Row],[Jaettava € 5]]</f>
        <v>611750</v>
      </c>
      <c r="AE33" s="36">
        <f>Ohj.lask.[[#This Row],[Jaettava € 6]]+Ohj.lask.[[#This Row],[Jaettava €]]</f>
        <v>5404678</v>
      </c>
      <c r="AF33" s="36">
        <f>IFERROR(VLOOKUP(Ohj.lask.[[#This Row],[Y-tunnus]],'3.1 Alv vahvistettu'!A:Y,COLUMN(C:C),FALSE),0)</f>
        <v>410320.31</v>
      </c>
      <c r="AG33" s="25">
        <f>Ohj.lask.[[#This Row],[Perus-, suoritus- ja vaikuttavuusrahoitus yhteensä, €]]+Ohj.lask.[[#This Row],[Alv-korvaus, €]]</f>
        <v>5814998.3099999996</v>
      </c>
    </row>
    <row r="34" spans="1:33" x14ac:dyDescent="0.2">
      <c r="A34" s="131" t="s">
        <v>378</v>
      </c>
      <c r="B34" s="16" t="s">
        <v>45</v>
      </c>
      <c r="C34" s="16" t="s">
        <v>236</v>
      </c>
      <c r="D34" s="16" t="s">
        <v>412</v>
      </c>
      <c r="E34" s="16" t="s">
        <v>474</v>
      </c>
      <c r="F34" s="114">
        <v>893</v>
      </c>
      <c r="G34" s="122">
        <f>0</f>
        <v>0</v>
      </c>
      <c r="H34" s="35">
        <f t="shared" si="0"/>
        <v>893</v>
      </c>
      <c r="I34" s="17">
        <f>IFERROR(VLOOKUP($A34,'2.1 Toteut. op.vuodet'!$A:$Q,COLUMN('2.1 Toteut. op.vuodet'!Q:Q),FALSE),0)</f>
        <v>4.5162243273450953</v>
      </c>
      <c r="J34" s="11">
        <f t="shared" si="1"/>
        <v>4033</v>
      </c>
      <c r="K34" s="18">
        <f>IFERROR(Ohj.lask.[[#This Row],[Painotetut opiskelija-vuodet]]/Ohj.lask.[[#Totals],[Painotetut opiskelija-vuodet]],0)</f>
        <v>2.0164173268895965E-2</v>
      </c>
      <c r="L34" s="19">
        <f>ROUND(IFERROR('1.1 Jakotaulu'!L$10*Ohj.lask.[[#This Row],[%-osuus 1]],0),0)</f>
        <v>23510811</v>
      </c>
      <c r="M34" s="211">
        <f>IFERROR(ROUND(VLOOKUP($A34,'2.2 Tutk. ja osien pain. pist.'!$A:$Q,COLUMN('2.2 Tutk. ja osien pain. pist.'!P:P),FALSE),1),0)</f>
        <v>175306.6</v>
      </c>
      <c r="N34" s="18">
        <f>IFERROR(Ohj.lask.[[#This Row],[Painotetut pisteet 2]]/Ohj.lask.[[#Totals],[Painotetut pisteet 2]],0)</f>
        <v>1.1202838146567947E-2</v>
      </c>
      <c r="O34" s="25">
        <f>ROUND(IFERROR('1.1 Jakotaulu'!K$11*Ohj.lask.[[#This Row],[%-osuus 2]],0),0)</f>
        <v>4148153</v>
      </c>
      <c r="P34" s="233">
        <f>IFERROR(ROUND(VLOOKUP($A34,'2.3 Työll. ja jatko-opisk.'!$A:$K,COLUMN('2.3 Työll. ja jatko-opisk.'!I:I),FALSE),1),0)</f>
        <v>488.4</v>
      </c>
      <c r="Q34" s="18">
        <f>IFERROR(Ohj.lask.[[#This Row],[Painotetut pisteet 3]]/Ohj.lask.[[#Totals],[Painotetut pisteet 3]],0)</f>
        <v>2.5782774319427671E-3</v>
      </c>
      <c r="R34" s="19">
        <f>ROUND(IFERROR('1.1 Jakotaulu'!L$13*Ohj.lask.[[#This Row],[%-osuus 3]],0),0)</f>
        <v>358004</v>
      </c>
      <c r="S34" s="211">
        <f>IFERROR(ROUND(VLOOKUP($A34,'2.4 Aloittaneet palaute'!$A:$K,COLUMN('2.4 Aloittaneet palaute'!J:J),FALSE),1),0)</f>
        <v>7126</v>
      </c>
      <c r="T34" s="22">
        <f>IFERROR(Ohj.lask.[[#This Row],[Painotetut pisteet 4]]/Ohj.lask.[[#Totals],[Painotetut pisteet 4]],0)</f>
        <v>5.7235256018135358E-3</v>
      </c>
      <c r="U34" s="25">
        <f>ROUND(IFERROR('1.1 Jakotaulu'!M$16*Ohj.lask.[[#This Row],[%-osuus 4]],0),0)</f>
        <v>66228</v>
      </c>
      <c r="V34" s="235">
        <f>IFERROR(ROUND(VLOOKUP($A34,'2.5 Päättäneet palaute'!$A:$AC,COLUMN('2.5 Päättäneet palaute'!AB:AB),FALSE),1),0)</f>
        <v>19407</v>
      </c>
      <c r="W34" s="22">
        <f>IFERROR(Ohj.lask.[[#This Row],[Painotetut pisteet 5]]/Ohj.lask.[[#Totals],[Painotetut pisteet 5]],0)</f>
        <v>2.9306436386262544E-3</v>
      </c>
      <c r="X34" s="19">
        <f>ROUND(IFERROR('1.1 Jakotaulu'!M$17*Ohj.lask.[[#This Row],[%-osuus 5]],0),0)</f>
        <v>101733</v>
      </c>
      <c r="Y34" s="21">
        <f>IFERROR(Ohj.lask.[[#This Row],[Jaettava € 6]]/Ohj.lask.[[#Totals],[Jaettava € 6]],"")</f>
        <v>1.6373402288413351E-2</v>
      </c>
      <c r="Z34" s="25">
        <f>IFERROR(Ohj.lask.[[#This Row],[Jaettava € 1]]+Ohj.lask.[[#This Row],[Jaettava € 2]]+Ohj.lask.[[#This Row],[Jaettava € 3]]+Ohj.lask.[[#This Row],[Jaettava € 4]]+Ohj.lask.[[#This Row],[Jaettava € 5]],"")</f>
        <v>28184929</v>
      </c>
      <c r="AA34" s="123">
        <f>0</f>
        <v>0</v>
      </c>
      <c r="AB34" s="19">
        <f>Ohj.lask.[[#This Row],[Jaettava € 1]]+Ohj.lask.[[#This Row],[Jaettava €]]</f>
        <v>23510811</v>
      </c>
      <c r="AC34" s="107">
        <f>Ohj.lask.[[#This Row],[Jaettava € 2]]</f>
        <v>4148153</v>
      </c>
      <c r="AD34" s="19">
        <f>Ohj.lask.[[#This Row],[Jaettava € 3]]+Ohj.lask.[[#This Row],[Jaettava € 4]]+Ohj.lask.[[#This Row],[Jaettava € 5]]</f>
        <v>525965</v>
      </c>
      <c r="AE34" s="36">
        <f>Ohj.lask.[[#This Row],[Jaettava € 6]]+Ohj.lask.[[#This Row],[Jaettava €]]</f>
        <v>28184929</v>
      </c>
      <c r="AF34" s="36">
        <f>IFERROR(VLOOKUP(Ohj.lask.[[#This Row],[Y-tunnus]],'3.1 Alv vahvistettu'!A:Y,COLUMN(C:C),FALSE),0)</f>
        <v>1247566.1100000001</v>
      </c>
      <c r="AG34" s="25">
        <f>Ohj.lask.[[#This Row],[Perus-, suoritus- ja vaikuttavuusrahoitus yhteensä, €]]+Ohj.lask.[[#This Row],[Alv-korvaus, €]]</f>
        <v>29432495.109999999</v>
      </c>
    </row>
    <row r="35" spans="1:33" x14ac:dyDescent="0.2">
      <c r="A35" s="131" t="s">
        <v>377</v>
      </c>
      <c r="B35" s="16" t="s">
        <v>46</v>
      </c>
      <c r="C35" s="16" t="s">
        <v>270</v>
      </c>
      <c r="D35" s="16" t="s">
        <v>412</v>
      </c>
      <c r="E35" s="16" t="s">
        <v>474</v>
      </c>
      <c r="F35" s="114">
        <v>36</v>
      </c>
      <c r="G35" s="122">
        <f>0</f>
        <v>0</v>
      </c>
      <c r="H35" s="35">
        <f t="shared" si="0"/>
        <v>36</v>
      </c>
      <c r="I35" s="17">
        <f>IFERROR(VLOOKUP($A35,'2.1 Toteut. op.vuodet'!$A:$Q,COLUMN('2.1 Toteut. op.vuodet'!Q:Q),FALSE),0)</f>
        <v>1.2573112408177276</v>
      </c>
      <c r="J35" s="11">
        <f t="shared" si="1"/>
        <v>45.3</v>
      </c>
      <c r="K35" s="18">
        <f>IFERROR(Ohj.lask.[[#This Row],[Painotetut opiskelija-vuodet]]/Ohj.lask.[[#Totals],[Painotetut opiskelija-vuodet]],0)</f>
        <v>2.2649071388073077E-4</v>
      </c>
      <c r="L35" s="19">
        <f>ROUND(IFERROR('1.1 Jakotaulu'!L$10*Ohj.lask.[[#This Row],[%-osuus 1]],0),0)</f>
        <v>264081</v>
      </c>
      <c r="M35" s="211">
        <f>IFERROR(ROUND(VLOOKUP($A35,'2.2 Tutk. ja osien pain. pist.'!$A:$Q,COLUMN('2.2 Tutk. ja osien pain. pist.'!P:P),FALSE),1),0)</f>
        <v>6122.2</v>
      </c>
      <c r="N35" s="18">
        <f>IFERROR(Ohj.lask.[[#This Row],[Painotetut pisteet 2]]/Ohj.lask.[[#Totals],[Painotetut pisteet 2]],0)</f>
        <v>3.9123464661865718E-4</v>
      </c>
      <c r="O35" s="25">
        <f>ROUND(IFERROR('1.1 Jakotaulu'!K$11*Ohj.lask.[[#This Row],[%-osuus 2]],0),0)</f>
        <v>144865</v>
      </c>
      <c r="P35" s="233">
        <f>IFERROR(ROUND(VLOOKUP($A35,'2.3 Työll. ja jatko-opisk.'!$A:$K,COLUMN('2.3 Työll. ja jatko-opisk.'!I:I),FALSE),1),0)</f>
        <v>32.1</v>
      </c>
      <c r="Q35" s="18">
        <f>IFERROR(Ohj.lask.[[#This Row],[Painotetut pisteet 3]]/Ohj.lask.[[#Totals],[Painotetut pisteet 3]],0)</f>
        <v>1.6945680910188948E-4</v>
      </c>
      <c r="R35" s="19">
        <f>ROUND(IFERROR('1.1 Jakotaulu'!L$13*Ohj.lask.[[#This Row],[%-osuus 3]],0),0)</f>
        <v>23530</v>
      </c>
      <c r="S35" s="211">
        <f>IFERROR(ROUND(VLOOKUP($A35,'2.4 Aloittaneet palaute'!$A:$K,COLUMN('2.4 Aloittaneet palaute'!J:J),FALSE),1),0)</f>
        <v>743.6</v>
      </c>
      <c r="T35" s="22">
        <f>IFERROR(Ohj.lask.[[#This Row],[Painotetut pisteet 4]]/Ohj.lask.[[#Totals],[Painotetut pisteet 4]],0)</f>
        <v>5.9725142260855246E-4</v>
      </c>
      <c r="U35" s="25">
        <f>ROUND(IFERROR('1.1 Jakotaulu'!M$16*Ohj.lask.[[#This Row],[%-osuus 4]],0),0)</f>
        <v>6911</v>
      </c>
      <c r="V35" s="235">
        <f>IFERROR(ROUND(VLOOKUP($A35,'2.5 Päättäneet palaute'!$A:$AC,COLUMN('2.5 Päättäneet palaute'!AB:AB),FALSE),1),0)</f>
        <v>4757.3</v>
      </c>
      <c r="W35" s="22">
        <f>IFERROR(Ohj.lask.[[#This Row],[Painotetut pisteet 5]]/Ohj.lask.[[#Totals],[Painotetut pisteet 5]],0)</f>
        <v>7.1839805132357807E-4</v>
      </c>
      <c r="X35" s="19">
        <f>ROUND(IFERROR('1.1 Jakotaulu'!M$17*Ohj.lask.[[#This Row],[%-osuus 5]],0),0)</f>
        <v>24938</v>
      </c>
      <c r="Y35" s="21">
        <f>IFERROR(Ohj.lask.[[#This Row],[Jaettava € 6]]/Ohj.lask.[[#Totals],[Jaettava € 6]],"")</f>
        <v>2.6973919350896814E-4</v>
      </c>
      <c r="Z35" s="25">
        <f>IFERROR(Ohj.lask.[[#This Row],[Jaettava € 1]]+Ohj.lask.[[#This Row],[Jaettava € 2]]+Ohj.lask.[[#This Row],[Jaettava € 3]]+Ohj.lask.[[#This Row],[Jaettava € 4]]+Ohj.lask.[[#This Row],[Jaettava € 5]],"")</f>
        <v>464325</v>
      </c>
      <c r="AA35" s="123">
        <f>0</f>
        <v>0</v>
      </c>
      <c r="AB35" s="19">
        <f>Ohj.lask.[[#This Row],[Jaettava € 1]]+Ohj.lask.[[#This Row],[Jaettava €]]</f>
        <v>264081</v>
      </c>
      <c r="AC35" s="107">
        <f>Ohj.lask.[[#This Row],[Jaettava € 2]]</f>
        <v>144865</v>
      </c>
      <c r="AD35" s="19">
        <f>Ohj.lask.[[#This Row],[Jaettava € 3]]+Ohj.lask.[[#This Row],[Jaettava € 4]]+Ohj.lask.[[#This Row],[Jaettava € 5]]</f>
        <v>55379</v>
      </c>
      <c r="AE35" s="36">
        <f>Ohj.lask.[[#This Row],[Jaettava € 6]]+Ohj.lask.[[#This Row],[Jaettava €]]</f>
        <v>464325</v>
      </c>
      <c r="AF35" s="36">
        <f>IFERROR(VLOOKUP(Ohj.lask.[[#This Row],[Y-tunnus]],'3.1 Alv vahvistettu'!A:Y,COLUMN(C:C),FALSE),0)</f>
        <v>30815</v>
      </c>
      <c r="AG35" s="25">
        <f>Ohj.lask.[[#This Row],[Perus-, suoritus- ja vaikuttavuusrahoitus yhteensä, €]]+Ohj.lask.[[#This Row],[Alv-korvaus, €]]</f>
        <v>495140</v>
      </c>
    </row>
    <row r="36" spans="1:33" x14ac:dyDescent="0.2">
      <c r="A36" s="131" t="s">
        <v>376</v>
      </c>
      <c r="B36" s="16" t="s">
        <v>47</v>
      </c>
      <c r="C36" s="98" t="s">
        <v>270</v>
      </c>
      <c r="D36" s="98" t="s">
        <v>411</v>
      </c>
      <c r="E36" s="98" t="s">
        <v>474</v>
      </c>
      <c r="F36" s="113">
        <v>1361</v>
      </c>
      <c r="G36" s="122">
        <f>0</f>
        <v>0</v>
      </c>
      <c r="H36" s="35">
        <f t="shared" si="0"/>
        <v>1361</v>
      </c>
      <c r="I36" s="17">
        <f>IFERROR(VLOOKUP($A36,'2.1 Toteut. op.vuodet'!$A:$Q,COLUMN('2.1 Toteut. op.vuodet'!Q:Q),FALSE),0)</f>
        <v>1.0293229030684732</v>
      </c>
      <c r="J36" s="11">
        <f t="shared" si="1"/>
        <v>1400.9</v>
      </c>
      <c r="K36" s="18">
        <f>IFERROR(Ohj.lask.[[#This Row],[Painotetut opiskelija-vuodet]]/Ohj.lask.[[#Totals],[Painotetut opiskelija-vuodet]],0)</f>
        <v>7.0042128272740783E-3</v>
      </c>
      <c r="L36" s="19">
        <f>ROUND(IFERROR('1.1 Jakotaulu'!L$10*Ohj.lask.[[#This Row],[%-osuus 1]],0),0)</f>
        <v>8166699</v>
      </c>
      <c r="M36" s="211">
        <f>IFERROR(ROUND(VLOOKUP($A36,'2.2 Tutk. ja osien pain. pist.'!$A:$Q,COLUMN('2.2 Tutk. ja osien pain. pist.'!P:P),FALSE),1),0)</f>
        <v>152302.20000000001</v>
      </c>
      <c r="N36" s="18">
        <f>IFERROR(Ohj.lask.[[#This Row],[Painotetut pisteet 2]]/Ohj.lask.[[#Totals],[Painotetut pisteet 2]],0)</f>
        <v>9.7327590402541651E-3</v>
      </c>
      <c r="O36" s="25">
        <f>ROUND(IFERROR('1.1 Jakotaulu'!K$11*Ohj.lask.[[#This Row],[%-osuus 2]],0),0)</f>
        <v>3603817</v>
      </c>
      <c r="P36" s="233">
        <f>IFERROR(ROUND(VLOOKUP($A36,'2.3 Työll. ja jatko-opisk.'!$A:$K,COLUMN('2.3 Työll. ja jatko-opisk.'!I:I),FALSE),1),0)</f>
        <v>2422.6999999999998</v>
      </c>
      <c r="Q36" s="22">
        <f>IFERROR(Ohj.lask.[[#This Row],[Painotetut pisteet 3]]/Ohj.lask.[[#Totals],[Painotetut pisteet 3]],0)</f>
        <v>1.2789501913119863E-2</v>
      </c>
      <c r="R36" s="19">
        <f>ROUND(IFERROR('1.1 Jakotaulu'!L$13*Ohj.lask.[[#This Row],[%-osuus 3]],0),0)</f>
        <v>1775872</v>
      </c>
      <c r="S36" s="211">
        <f>IFERROR(ROUND(VLOOKUP($A36,'2.4 Aloittaneet palaute'!$A:$K,COLUMN('2.4 Aloittaneet palaute'!J:J),FALSE),1),0)</f>
        <v>8761.1</v>
      </c>
      <c r="T36" s="22">
        <f>IFERROR(Ohj.lask.[[#This Row],[Painotetut pisteet 4]]/Ohj.lask.[[#Totals],[Painotetut pisteet 4]],0)</f>
        <v>7.0368201164816959E-3</v>
      </c>
      <c r="U36" s="25">
        <f>ROUND(IFERROR('1.1 Jakotaulu'!M$16*Ohj.lask.[[#This Row],[%-osuus 4]],0),0)</f>
        <v>81424</v>
      </c>
      <c r="V36" s="235">
        <f>IFERROR(ROUND(VLOOKUP($A36,'2.5 Päättäneet palaute'!$A:$AC,COLUMN('2.5 Päättäneet palaute'!AB:AB),FALSE),1),0)</f>
        <v>34789.699999999997</v>
      </c>
      <c r="W36" s="22">
        <f>IFERROR(Ohj.lask.[[#This Row],[Painotetut pisteet 5]]/Ohj.lask.[[#Totals],[Painotetut pisteet 5]],0)</f>
        <v>5.2535792752468587E-3</v>
      </c>
      <c r="X36" s="19">
        <f>ROUND(IFERROR('1.1 Jakotaulu'!M$17*Ohj.lask.[[#This Row],[%-osuus 5]],0),0)</f>
        <v>182370</v>
      </c>
      <c r="Y36" s="21">
        <f>IFERROR(Ohj.lask.[[#This Row],[Jaettava € 6]]/Ohj.lask.[[#Totals],[Jaettava € 6]],"")</f>
        <v>8.0227154576903437E-3</v>
      </c>
      <c r="Z36" s="25">
        <f>IFERROR(Ohj.lask.[[#This Row],[Jaettava € 1]]+Ohj.lask.[[#This Row],[Jaettava € 2]]+Ohj.lask.[[#This Row],[Jaettava € 3]]+Ohj.lask.[[#This Row],[Jaettava € 4]]+Ohj.lask.[[#This Row],[Jaettava € 5]],"")</f>
        <v>13810182</v>
      </c>
      <c r="AA36" s="123">
        <f>0</f>
        <v>0</v>
      </c>
      <c r="AB36" s="19">
        <f>Ohj.lask.[[#This Row],[Jaettava € 1]]+Ohj.lask.[[#This Row],[Jaettava €]]</f>
        <v>8166699</v>
      </c>
      <c r="AC36" s="107">
        <f>Ohj.lask.[[#This Row],[Jaettava € 2]]</f>
        <v>3603817</v>
      </c>
      <c r="AD36" s="19">
        <f>Ohj.lask.[[#This Row],[Jaettava € 3]]+Ohj.lask.[[#This Row],[Jaettava € 4]]+Ohj.lask.[[#This Row],[Jaettava € 5]]</f>
        <v>2039666</v>
      </c>
      <c r="AE36" s="36">
        <f>Ohj.lask.[[#This Row],[Jaettava € 6]]+Ohj.lask.[[#This Row],[Jaettava €]]</f>
        <v>13810182</v>
      </c>
      <c r="AF36" s="36">
        <f>IFERROR(VLOOKUP(Ohj.lask.[[#This Row],[Y-tunnus]],'3.1 Alv vahvistettu'!A:Y,COLUMN(C:C),FALSE),0)</f>
        <v>0</v>
      </c>
      <c r="AG36" s="25">
        <f>Ohj.lask.[[#This Row],[Perus-, suoritus- ja vaikuttavuusrahoitus yhteensä, €]]+Ohj.lask.[[#This Row],[Alv-korvaus, €]]</f>
        <v>13810182</v>
      </c>
    </row>
    <row r="37" spans="1:33" x14ac:dyDescent="0.2">
      <c r="A37" s="131" t="s">
        <v>375</v>
      </c>
      <c r="B37" s="16" t="s">
        <v>48</v>
      </c>
      <c r="C37" s="16" t="s">
        <v>315</v>
      </c>
      <c r="D37" s="16" t="s">
        <v>412</v>
      </c>
      <c r="E37" s="16" t="s">
        <v>474</v>
      </c>
      <c r="F37" s="114">
        <v>64</v>
      </c>
      <c r="G37" s="122">
        <f>0</f>
        <v>0</v>
      </c>
      <c r="H37" s="35">
        <f t="shared" si="0"/>
        <v>64</v>
      </c>
      <c r="I37" s="17">
        <f>IFERROR(VLOOKUP($A37,'2.1 Toteut. op.vuodet'!$A:$Q,COLUMN('2.1 Toteut. op.vuodet'!Q:Q),FALSE),0)</f>
        <v>0.78925916616991454</v>
      </c>
      <c r="J37" s="11">
        <f t="shared" si="1"/>
        <v>50.5</v>
      </c>
      <c r="K37" s="18">
        <f>IFERROR(Ohj.lask.[[#This Row],[Painotetut opiskelija-vuodet]]/Ohj.lask.[[#Totals],[Painotetut opiskelija-vuodet]],0)</f>
        <v>2.5248964792443497E-4</v>
      </c>
      <c r="L37" s="19">
        <f>ROUND(IFERROR('1.1 Jakotaulu'!L$10*Ohj.lask.[[#This Row],[%-osuus 1]],0),0)</f>
        <v>294395</v>
      </c>
      <c r="M37" s="211">
        <f>IFERROR(ROUND(VLOOKUP($A37,'2.2 Tutk. ja osien pain. pist.'!$A:$Q,COLUMN('2.2 Tutk. ja osien pain. pist.'!P:P),FALSE),1),0)</f>
        <v>5537.7</v>
      </c>
      <c r="N37" s="18">
        <f>IFERROR(Ohj.lask.[[#This Row],[Painotetut pisteet 2]]/Ohj.lask.[[#Totals],[Painotetut pisteet 2]],0)</f>
        <v>3.5388260798081372E-4</v>
      </c>
      <c r="O37" s="25">
        <f>ROUND(IFERROR('1.1 Jakotaulu'!K$11*Ohj.lask.[[#This Row],[%-osuus 2]],0),0)</f>
        <v>131035</v>
      </c>
      <c r="P37" s="233">
        <f>IFERROR(ROUND(VLOOKUP($A37,'2.3 Työll. ja jatko-opisk.'!$A:$K,COLUMN('2.3 Työll. ja jatko-opisk.'!I:I),FALSE),1),0)</f>
        <v>103.3</v>
      </c>
      <c r="Q37" s="18">
        <f>IFERROR(Ohj.lask.[[#This Row],[Painotetut pisteet 3]]/Ohj.lask.[[#Totals],[Painotetut pisteet 3]],0)</f>
        <v>5.4532362555218634E-4</v>
      </c>
      <c r="R37" s="19">
        <f>ROUND(IFERROR('1.1 Jakotaulu'!L$13*Ohj.lask.[[#This Row],[%-osuus 3]],0),0)</f>
        <v>75720</v>
      </c>
      <c r="S37" s="211">
        <f>IFERROR(ROUND(VLOOKUP($A37,'2.4 Aloittaneet palaute'!$A:$K,COLUMN('2.4 Aloittaneet palaute'!J:J),FALSE),1),0)</f>
        <v>1425</v>
      </c>
      <c r="T37" s="22">
        <f>IFERROR(Ohj.lask.[[#This Row],[Painotetut pisteet 4]]/Ohj.lask.[[#Totals],[Painotetut pisteet 4]],0)</f>
        <v>1.1445444825405962E-3</v>
      </c>
      <c r="U37" s="25">
        <f>ROUND(IFERROR('1.1 Jakotaulu'!M$16*Ohj.lask.[[#This Row],[%-osuus 4]],0),0)</f>
        <v>13244</v>
      </c>
      <c r="V37" s="235">
        <f>IFERROR(ROUND(VLOOKUP($A37,'2.5 Päättäneet palaute'!$A:$AC,COLUMN('2.5 Päättäneet palaute'!AB:AB),FALSE),1),0)</f>
        <v>9498.2000000000007</v>
      </c>
      <c r="W37" s="22">
        <f>IFERROR(Ohj.lask.[[#This Row],[Painotetut pisteet 5]]/Ohj.lask.[[#Totals],[Painotetut pisteet 5]],0)</f>
        <v>1.4343195449270825E-3</v>
      </c>
      <c r="X37" s="19">
        <f>ROUND(IFERROR('1.1 Jakotaulu'!M$17*Ohj.lask.[[#This Row],[%-osuus 5]],0),0)</f>
        <v>49790</v>
      </c>
      <c r="Y37" s="21">
        <f>IFERROR(Ohj.lask.[[#This Row],[Jaettava € 6]]/Ohj.lask.[[#Totals],[Jaettava € 6]],"")</f>
        <v>3.2775003962884553E-4</v>
      </c>
      <c r="Z37" s="25">
        <f>IFERROR(Ohj.lask.[[#This Row],[Jaettava € 1]]+Ohj.lask.[[#This Row],[Jaettava € 2]]+Ohj.lask.[[#This Row],[Jaettava € 3]]+Ohj.lask.[[#This Row],[Jaettava € 4]]+Ohj.lask.[[#This Row],[Jaettava € 5]],"")</f>
        <v>564184</v>
      </c>
      <c r="AA37" s="123">
        <f>0</f>
        <v>0</v>
      </c>
      <c r="AB37" s="19">
        <f>Ohj.lask.[[#This Row],[Jaettava € 1]]+Ohj.lask.[[#This Row],[Jaettava €]]</f>
        <v>294395</v>
      </c>
      <c r="AC37" s="107">
        <f>Ohj.lask.[[#This Row],[Jaettava € 2]]</f>
        <v>131035</v>
      </c>
      <c r="AD37" s="19">
        <f>Ohj.lask.[[#This Row],[Jaettava € 3]]+Ohj.lask.[[#This Row],[Jaettava € 4]]+Ohj.lask.[[#This Row],[Jaettava € 5]]</f>
        <v>138754</v>
      </c>
      <c r="AE37" s="36">
        <f>Ohj.lask.[[#This Row],[Jaettava € 6]]+Ohj.lask.[[#This Row],[Jaettava €]]</f>
        <v>564184</v>
      </c>
      <c r="AF37" s="36">
        <f>IFERROR(VLOOKUP(Ohj.lask.[[#This Row],[Y-tunnus]],'3.1 Alv vahvistettu'!A:Y,COLUMN(C:C),FALSE),0)</f>
        <v>21708.23</v>
      </c>
      <c r="AG37" s="25">
        <f>Ohj.lask.[[#This Row],[Perus-, suoritus- ja vaikuttavuusrahoitus yhteensä, €]]+Ohj.lask.[[#This Row],[Alv-korvaus, €]]</f>
        <v>585892.23</v>
      </c>
    </row>
    <row r="38" spans="1:33" x14ac:dyDescent="0.2">
      <c r="A38" s="131" t="s">
        <v>372</v>
      </c>
      <c r="B38" s="16" t="s">
        <v>49</v>
      </c>
      <c r="C38" s="16" t="s">
        <v>315</v>
      </c>
      <c r="D38" s="16" t="s">
        <v>413</v>
      </c>
      <c r="E38" s="16" t="s">
        <v>474</v>
      </c>
      <c r="F38" s="114">
        <v>68</v>
      </c>
      <c r="G38" s="122">
        <f>0</f>
        <v>0</v>
      </c>
      <c r="H38" s="35">
        <f t="shared" ref="H38:H69" si="2">IFERROR(F38+G38,0)</f>
        <v>68</v>
      </c>
      <c r="I38" s="17">
        <f>IFERROR(VLOOKUP($A38,'2.1 Toteut. op.vuodet'!$A:$Q,COLUMN('2.1 Toteut. op.vuodet'!Q:Q),FALSE),0)</f>
        <v>1.5900000000000012</v>
      </c>
      <c r="J38" s="11">
        <f t="shared" ref="J38:J69" si="3">IFERROR(ROUND(H38*I38,1),0)</f>
        <v>108.1</v>
      </c>
      <c r="K38" s="18">
        <f>IFERROR(Ohj.lask.[[#This Row],[Painotetut opiskelija-vuodet]]/Ohj.lask.[[#Totals],[Painotetut opiskelija-vuodet]],0)</f>
        <v>5.4047784040854292E-4</v>
      </c>
      <c r="L38" s="19">
        <f>ROUND(IFERROR('1.1 Jakotaulu'!L$10*Ohj.lask.[[#This Row],[%-osuus 1]],0),0)</f>
        <v>630181</v>
      </c>
      <c r="M38" s="211">
        <f>IFERROR(ROUND(VLOOKUP($A38,'2.2 Tutk. ja osien pain. pist.'!$A:$Q,COLUMN('2.2 Tutk. ja osien pain. pist.'!P:P),FALSE),1),0)</f>
        <v>10782.2</v>
      </c>
      <c r="N38" s="18">
        <f>IFERROR(Ohj.lask.[[#This Row],[Painotetut pisteet 2]]/Ohj.lask.[[#Totals],[Painotetut pisteet 2]],0)</f>
        <v>6.8902848759787099E-4</v>
      </c>
      <c r="O38" s="25">
        <f>ROUND(IFERROR('1.1 Jakotaulu'!K$11*Ohj.lask.[[#This Row],[%-osuus 2]],0),0)</f>
        <v>255131</v>
      </c>
      <c r="P38" s="233">
        <f>IFERROR(ROUND(VLOOKUP($A38,'2.3 Työll. ja jatko-opisk.'!$A:$K,COLUMN('2.3 Työll. ja jatko-opisk.'!I:I),FALSE),1),0)</f>
        <v>95.7</v>
      </c>
      <c r="Q38" s="18">
        <f>IFERROR(Ohj.lask.[[#This Row],[Painotetut pisteet 3]]/Ohj.lask.[[#Totals],[Painotetut pisteet 3]],0)</f>
        <v>5.0520301031310982E-4</v>
      </c>
      <c r="R38" s="19">
        <f>ROUND(IFERROR('1.1 Jakotaulu'!L$13*Ohj.lask.[[#This Row],[%-osuus 3]],0),0)</f>
        <v>70149</v>
      </c>
      <c r="S38" s="211">
        <f>IFERROR(ROUND(VLOOKUP($A38,'2.4 Aloittaneet palaute'!$A:$K,COLUMN('2.4 Aloittaneet palaute'!J:J),FALSE),1),0)</f>
        <v>385.4</v>
      </c>
      <c r="T38" s="18">
        <f>IFERROR(Ohj.lask.[[#This Row],[Painotetut pisteet 4]]/Ohj.lask.[[#Totals],[Painotetut pisteet 4]],0)</f>
        <v>3.0954908320782155E-4</v>
      </c>
      <c r="U38" s="25">
        <f>ROUND(IFERROR('1.1 Jakotaulu'!M$16*Ohj.lask.[[#This Row],[%-osuus 4]],0),0)</f>
        <v>3582</v>
      </c>
      <c r="V38" s="235">
        <f>IFERROR(ROUND(VLOOKUP($A38,'2.5 Päättäneet palaute'!$A:$AC,COLUMN('2.5 Päättäneet palaute'!AB:AB),FALSE),1),0)</f>
        <v>2920.3</v>
      </c>
      <c r="W38" s="18">
        <f>IFERROR(Ohj.lask.[[#This Row],[Painotetut pisteet 5]]/Ohj.lask.[[#Totals],[Painotetut pisteet 5]],0)</f>
        <v>4.4099338475190659E-4</v>
      </c>
      <c r="X38" s="19">
        <f>ROUND(IFERROR('1.1 Jakotaulu'!M$17*Ohj.lask.[[#This Row],[%-osuus 5]],0),0)</f>
        <v>15308</v>
      </c>
      <c r="Y38" s="21">
        <f>IFERROR(Ohj.lask.[[#This Row],[Jaettava € 6]]/Ohj.lask.[[#Totals],[Jaettava € 6]],"")</f>
        <v>5.6602735785205754E-4</v>
      </c>
      <c r="Z38" s="25">
        <f>IFERROR(Ohj.lask.[[#This Row],[Jaettava € 1]]+Ohj.lask.[[#This Row],[Jaettava € 2]]+Ohj.lask.[[#This Row],[Jaettava € 3]]+Ohj.lask.[[#This Row],[Jaettava € 4]]+Ohj.lask.[[#This Row],[Jaettava € 5]],"")</f>
        <v>974351</v>
      </c>
      <c r="AA38" s="123">
        <f>0</f>
        <v>0</v>
      </c>
      <c r="AB38" s="19">
        <f>Ohj.lask.[[#This Row],[Jaettava € 1]]+Ohj.lask.[[#This Row],[Jaettava €]]</f>
        <v>630181</v>
      </c>
      <c r="AC38" s="107">
        <f>Ohj.lask.[[#This Row],[Jaettava € 2]]</f>
        <v>255131</v>
      </c>
      <c r="AD38" s="19">
        <f>Ohj.lask.[[#This Row],[Jaettava € 3]]+Ohj.lask.[[#This Row],[Jaettava € 4]]+Ohj.lask.[[#This Row],[Jaettava € 5]]</f>
        <v>89039</v>
      </c>
      <c r="AE38" s="36">
        <f>Ohj.lask.[[#This Row],[Jaettava € 6]]+Ohj.lask.[[#This Row],[Jaettava €]]</f>
        <v>974351</v>
      </c>
      <c r="AF38" s="36">
        <f>IFERROR(VLOOKUP(Ohj.lask.[[#This Row],[Y-tunnus]],'3.1 Alv vahvistettu'!A:Y,COLUMN(C:C),FALSE),0)</f>
        <v>0</v>
      </c>
      <c r="AG38" s="25">
        <f>Ohj.lask.[[#This Row],[Perus-, suoritus- ja vaikuttavuusrahoitus yhteensä, €]]+Ohj.lask.[[#This Row],[Alv-korvaus, €]]</f>
        <v>974351</v>
      </c>
    </row>
    <row r="39" spans="1:33" x14ac:dyDescent="0.2">
      <c r="A39" s="131" t="s">
        <v>371</v>
      </c>
      <c r="B39" s="16" t="s">
        <v>50</v>
      </c>
      <c r="C39" s="16" t="s">
        <v>244</v>
      </c>
      <c r="D39" s="16" t="s">
        <v>411</v>
      </c>
      <c r="E39" s="16" t="s">
        <v>474</v>
      </c>
      <c r="F39" s="114">
        <v>3008</v>
      </c>
      <c r="G39" s="122">
        <f>0</f>
        <v>0</v>
      </c>
      <c r="H39" s="35">
        <f t="shared" si="2"/>
        <v>3008</v>
      </c>
      <c r="I39" s="17">
        <f>IFERROR(VLOOKUP($A39,'2.1 Toteut. op.vuodet'!$A:$Q,COLUMN('2.1 Toteut. op.vuodet'!Q:Q),FALSE),0)</f>
        <v>1.1179393500928472</v>
      </c>
      <c r="J39" s="11">
        <f t="shared" si="3"/>
        <v>3362.8</v>
      </c>
      <c r="K39" s="18">
        <f>IFERROR(Ohj.lask.[[#This Row],[Painotetut opiskelija-vuodet]]/Ohj.lask.[[#Totals],[Painotetut opiskelija-vuodet]],0)</f>
        <v>1.6813310654263169E-2</v>
      </c>
      <c r="L39" s="19">
        <f>ROUND(IFERROR('1.1 Jakotaulu'!L$10*Ohj.lask.[[#This Row],[%-osuus 1]],0),0)</f>
        <v>19603807</v>
      </c>
      <c r="M39" s="211">
        <f>IFERROR(ROUND(VLOOKUP($A39,'2.2 Tutk. ja osien pain. pist.'!$A:$Q,COLUMN('2.2 Tutk. ja osien pain. pist.'!P:P),FALSE),1),0)</f>
        <v>252375.4</v>
      </c>
      <c r="N39" s="18">
        <f>IFERROR(Ohj.lask.[[#This Row],[Painotetut pisteet 2]]/Ohj.lask.[[#Totals],[Painotetut pisteet 2]],0)</f>
        <v>1.6127862604005463E-2</v>
      </c>
      <c r="O39" s="25">
        <f>ROUND(IFERROR('1.1 Jakotaulu'!K$11*Ohj.lask.[[#This Row],[%-osuus 2]],0),0)</f>
        <v>5971777</v>
      </c>
      <c r="P39" s="233">
        <f>IFERROR(ROUND(VLOOKUP($A39,'2.3 Työll. ja jatko-opisk.'!$A:$K,COLUMN('2.3 Työll. ja jatko-opisk.'!I:I),FALSE),1),0)</f>
        <v>3221.5</v>
      </c>
      <c r="Q39" s="18">
        <f>IFERROR(Ohj.lask.[[#This Row],[Painotetut pisteet 3]]/Ohj.lask.[[#Totals],[Painotetut pisteet 3]],0)</f>
        <v>1.7006389735879656E-2</v>
      </c>
      <c r="R39" s="19">
        <f>ROUND(IFERROR('1.1 Jakotaulu'!L$13*Ohj.lask.[[#This Row],[%-osuus 3]],0),0)</f>
        <v>2361403</v>
      </c>
      <c r="S39" s="211">
        <f>IFERROR(ROUND(VLOOKUP($A39,'2.4 Aloittaneet palaute'!$A:$K,COLUMN('2.4 Aloittaneet palaute'!J:J),FALSE),1),0)</f>
        <v>18953.7</v>
      </c>
      <c r="T39" s="22">
        <f>IFERROR(Ohj.lask.[[#This Row],[Painotetut pisteet 4]]/Ohj.lask.[[#Totals],[Painotetut pisteet 4]],0)</f>
        <v>1.5223405444722594E-2</v>
      </c>
      <c r="U39" s="25">
        <f>ROUND(IFERROR('1.1 Jakotaulu'!M$16*Ohj.lask.[[#This Row],[%-osuus 4]],0),0)</f>
        <v>176152</v>
      </c>
      <c r="V39" s="235">
        <f>IFERROR(ROUND(VLOOKUP($A39,'2.5 Päättäneet palaute'!$A:$AC,COLUMN('2.5 Päättäneet palaute'!AB:AB),FALSE),1),0)</f>
        <v>80973</v>
      </c>
      <c r="W39" s="22">
        <f>IFERROR(Ohj.lask.[[#This Row],[Painotetut pisteet 5]]/Ohj.lask.[[#Totals],[Painotetut pisteet 5]],0)</f>
        <v>1.2227701723629808E-2</v>
      </c>
      <c r="X39" s="19">
        <f>ROUND(IFERROR('1.1 Jakotaulu'!M$17*Ohj.lask.[[#This Row],[%-osuus 5]],0),0)</f>
        <v>424466</v>
      </c>
      <c r="Y39" s="21">
        <f>IFERROR(Ohj.lask.[[#This Row],[Jaettava € 6]]/Ohj.lask.[[#Totals],[Jaettava € 6]],"")</f>
        <v>1.6578281499763092E-2</v>
      </c>
      <c r="Z39" s="25">
        <f>IFERROR(Ohj.lask.[[#This Row],[Jaettava € 1]]+Ohj.lask.[[#This Row],[Jaettava € 2]]+Ohj.lask.[[#This Row],[Jaettava € 3]]+Ohj.lask.[[#This Row],[Jaettava € 4]]+Ohj.lask.[[#This Row],[Jaettava € 5]],"")</f>
        <v>28537605</v>
      </c>
      <c r="AA39" s="123">
        <f>0</f>
        <v>0</v>
      </c>
      <c r="AB39" s="19">
        <f>Ohj.lask.[[#This Row],[Jaettava € 1]]+Ohj.lask.[[#This Row],[Jaettava €]]</f>
        <v>19603807</v>
      </c>
      <c r="AC39" s="107">
        <f>Ohj.lask.[[#This Row],[Jaettava € 2]]</f>
        <v>5971777</v>
      </c>
      <c r="AD39" s="19">
        <f>Ohj.lask.[[#This Row],[Jaettava € 3]]+Ohj.lask.[[#This Row],[Jaettava € 4]]+Ohj.lask.[[#This Row],[Jaettava € 5]]</f>
        <v>2962021</v>
      </c>
      <c r="AE39" s="36">
        <f>Ohj.lask.[[#This Row],[Jaettava € 6]]+Ohj.lask.[[#This Row],[Jaettava €]]</f>
        <v>28537605</v>
      </c>
      <c r="AF39" s="36">
        <f>IFERROR(VLOOKUP(Ohj.lask.[[#This Row],[Y-tunnus]],'3.1 Alv vahvistettu'!A:Y,COLUMN(C:C),FALSE),0)</f>
        <v>0</v>
      </c>
      <c r="AG39" s="25">
        <f>Ohj.lask.[[#This Row],[Perus-, suoritus- ja vaikuttavuusrahoitus yhteensä, €]]+Ohj.lask.[[#This Row],[Alv-korvaus, €]]</f>
        <v>28537605</v>
      </c>
    </row>
    <row r="40" spans="1:33" x14ac:dyDescent="0.2">
      <c r="A40" s="131" t="s">
        <v>370</v>
      </c>
      <c r="B40" s="16" t="s">
        <v>51</v>
      </c>
      <c r="C40" s="16" t="s">
        <v>236</v>
      </c>
      <c r="D40" s="16" t="s">
        <v>412</v>
      </c>
      <c r="E40" s="16" t="s">
        <v>474</v>
      </c>
      <c r="F40" s="114">
        <v>136</v>
      </c>
      <c r="G40" s="122">
        <f>0</f>
        <v>0</v>
      </c>
      <c r="H40" s="35">
        <f t="shared" si="2"/>
        <v>136</v>
      </c>
      <c r="I40" s="17">
        <f>IFERROR(VLOOKUP($A40,'2.1 Toteut. op.vuodet'!$A:$Q,COLUMN('2.1 Toteut. op.vuodet'!Q:Q),FALSE),0)</f>
        <v>0.58446502828908209</v>
      </c>
      <c r="J40" s="11">
        <f t="shared" si="3"/>
        <v>79.5</v>
      </c>
      <c r="K40" s="18">
        <f>IFERROR(Ohj.lask.[[#This Row],[Painotetut opiskelija-vuodet]]/Ohj.lask.[[#Totals],[Painotetut opiskelija-vuodet]],0)</f>
        <v>3.9748370316816992E-4</v>
      </c>
      <c r="L40" s="19">
        <f>ROUND(IFERROR('1.1 Jakotaulu'!L$10*Ohj.lask.[[#This Row],[%-osuus 1]],0),0)</f>
        <v>463454</v>
      </c>
      <c r="M40" s="211">
        <f>IFERROR(ROUND(VLOOKUP($A40,'2.2 Tutk. ja osien pain. pist.'!$A:$Q,COLUMN('2.2 Tutk. ja osien pain. pist.'!P:P),FALSE),1),0)</f>
        <v>10324.6</v>
      </c>
      <c r="N40" s="18">
        <f>IFERROR(Ohj.lask.[[#This Row],[Painotetut pisteet 2]]/Ohj.lask.[[#Totals],[Painotetut pisteet 2]],0)</f>
        <v>6.5978589926480485E-4</v>
      </c>
      <c r="O40" s="25">
        <f>ROUND(IFERROR('1.1 Jakotaulu'!K$11*Ohj.lask.[[#This Row],[%-osuus 2]],0),0)</f>
        <v>244304</v>
      </c>
      <c r="P40" s="233">
        <f>IFERROR(ROUND(VLOOKUP($A40,'2.3 Työll. ja jatko-opisk.'!$A:$K,COLUMN('2.3 Työll. ja jatko-opisk.'!I:I),FALSE),1),0)</f>
        <v>274.3</v>
      </c>
      <c r="Q40" s="18">
        <f>IFERROR(Ohj.lask.[[#This Row],[Painotetut pisteet 3]]/Ohj.lask.[[#Totals],[Painotetut pisteet 3]],0)</f>
        <v>1.4480374684314107E-3</v>
      </c>
      <c r="R40" s="19">
        <f>ROUND(IFERROR('1.1 Jakotaulu'!L$13*Ohj.lask.[[#This Row],[%-osuus 3]],0),0)</f>
        <v>201066</v>
      </c>
      <c r="S40" s="211">
        <f>IFERROR(ROUND(VLOOKUP($A40,'2.4 Aloittaneet palaute'!$A:$K,COLUMN('2.4 Aloittaneet palaute'!J:J),FALSE),1),0)</f>
        <v>2672.5</v>
      </c>
      <c r="T40" s="22">
        <f>IFERROR(Ohj.lask.[[#This Row],[Painotetut pisteet 4]]/Ohj.lask.[[#Totals],[Painotetut pisteet 4]],0)</f>
        <v>2.1465228979577144E-3</v>
      </c>
      <c r="U40" s="25">
        <f>ROUND(IFERROR('1.1 Jakotaulu'!M$16*Ohj.lask.[[#This Row],[%-osuus 4]],0),0)</f>
        <v>24838</v>
      </c>
      <c r="V40" s="235">
        <f>IFERROR(ROUND(VLOOKUP($A40,'2.5 Päättäneet palaute'!$A:$AC,COLUMN('2.5 Päättäneet palaute'!AB:AB),FALSE),1),0)</f>
        <v>2209.6999999999998</v>
      </c>
      <c r="W40" s="22">
        <f>IFERROR(Ohj.lask.[[#This Row],[Painotetut pisteet 5]]/Ohj.lask.[[#Totals],[Painotetut pisteet 5]],0)</f>
        <v>3.336859508565174E-4</v>
      </c>
      <c r="X40" s="19">
        <f>ROUND(IFERROR('1.1 Jakotaulu'!M$17*Ohj.lask.[[#This Row],[%-osuus 5]],0),0)</f>
        <v>11583</v>
      </c>
      <c r="Y40" s="21">
        <f>IFERROR(Ohj.lask.[[#This Row],[Jaettava € 6]]/Ohj.lask.[[#Totals],[Jaettava € 6]],"")</f>
        <v>5.4911888002667233E-4</v>
      </c>
      <c r="Z40" s="25">
        <f>IFERROR(Ohj.lask.[[#This Row],[Jaettava € 1]]+Ohj.lask.[[#This Row],[Jaettava € 2]]+Ohj.lask.[[#This Row],[Jaettava € 3]]+Ohj.lask.[[#This Row],[Jaettava € 4]]+Ohj.lask.[[#This Row],[Jaettava € 5]],"")</f>
        <v>945245</v>
      </c>
      <c r="AA40" s="123">
        <f>0</f>
        <v>0</v>
      </c>
      <c r="AB40" s="19">
        <f>Ohj.lask.[[#This Row],[Jaettava € 1]]+Ohj.lask.[[#This Row],[Jaettava €]]</f>
        <v>463454</v>
      </c>
      <c r="AC40" s="107">
        <f>Ohj.lask.[[#This Row],[Jaettava € 2]]</f>
        <v>244304</v>
      </c>
      <c r="AD40" s="19">
        <f>Ohj.lask.[[#This Row],[Jaettava € 3]]+Ohj.lask.[[#This Row],[Jaettava € 4]]+Ohj.lask.[[#This Row],[Jaettava € 5]]</f>
        <v>237487</v>
      </c>
      <c r="AE40" s="36">
        <f>Ohj.lask.[[#This Row],[Jaettava € 6]]+Ohj.lask.[[#This Row],[Jaettava €]]</f>
        <v>945245</v>
      </c>
      <c r="AF40" s="36">
        <f>IFERROR(VLOOKUP(Ohj.lask.[[#This Row],[Y-tunnus]],'3.1 Alv vahvistettu'!A:Y,COLUMN(C:C),FALSE),0)</f>
        <v>39291</v>
      </c>
      <c r="AG40" s="25">
        <f>Ohj.lask.[[#This Row],[Perus-, suoritus- ja vaikuttavuusrahoitus yhteensä, €]]+Ohj.lask.[[#This Row],[Alv-korvaus, €]]</f>
        <v>984536</v>
      </c>
    </row>
    <row r="41" spans="1:33" x14ac:dyDescent="0.2">
      <c r="A41" s="131" t="s">
        <v>369</v>
      </c>
      <c r="B41" s="16" t="s">
        <v>52</v>
      </c>
      <c r="C41" s="98" t="s">
        <v>238</v>
      </c>
      <c r="D41" s="98" t="s">
        <v>411</v>
      </c>
      <c r="E41" s="98" t="s">
        <v>474</v>
      </c>
      <c r="F41" s="113">
        <v>6525</v>
      </c>
      <c r="G41" s="122">
        <f>0</f>
        <v>0</v>
      </c>
      <c r="H41" s="35">
        <f t="shared" si="2"/>
        <v>6525</v>
      </c>
      <c r="I41" s="17">
        <f>IFERROR(VLOOKUP($A41,'2.1 Toteut. op.vuodet'!$A:$Q,COLUMN('2.1 Toteut. op.vuodet'!Q:Q),FALSE),0)</f>
        <v>1.059800400335791</v>
      </c>
      <c r="J41" s="11">
        <f t="shared" si="3"/>
        <v>6915.2</v>
      </c>
      <c r="K41" s="18">
        <f>IFERROR(Ohj.lask.[[#This Row],[Painotetut opiskelija-vuodet]]/Ohj.lask.[[#Totals],[Painotetut opiskelija-vuodet]],0)</f>
        <v>3.4574582442119854E-2</v>
      </c>
      <c r="L41" s="19">
        <f>ROUND(IFERROR('1.1 Jakotaulu'!L$10*Ohj.lask.[[#This Row],[%-osuus 1]],0),0)</f>
        <v>40312909</v>
      </c>
      <c r="M41" s="211">
        <f>IFERROR(ROUND(VLOOKUP($A41,'2.2 Tutk. ja osien pain. pist.'!$A:$Q,COLUMN('2.2 Tutk. ja osien pain. pist.'!P:P),FALSE),1),0)</f>
        <v>633109.6</v>
      </c>
      <c r="N41" s="18">
        <f>IFERROR(Ohj.lask.[[#This Row],[Painotetut pisteet 2]]/Ohj.lask.[[#Totals],[Painotetut pisteet 2]],0)</f>
        <v>4.0458399043951418E-2</v>
      </c>
      <c r="O41" s="25">
        <f>ROUND(IFERROR('1.1 Jakotaulu'!K$11*Ohj.lask.[[#This Row],[%-osuus 2]],0),0)</f>
        <v>14980815</v>
      </c>
      <c r="P41" s="233">
        <f>IFERROR(ROUND(VLOOKUP($A41,'2.3 Työll. ja jatko-opisk.'!$A:$K,COLUMN('2.3 Työll. ja jatko-opisk.'!I:I),FALSE),1),0)</f>
        <v>8638.2999999999993</v>
      </c>
      <c r="Q41" s="22">
        <f>IFERROR(Ohj.lask.[[#This Row],[Painotetut pisteet 3]]/Ohj.lask.[[#Totals],[Painotetut pisteet 3]],0)</f>
        <v>4.5601830344699432E-2</v>
      </c>
      <c r="R41" s="19">
        <f>ROUND(IFERROR('1.1 Jakotaulu'!L$13*Ohj.lask.[[#This Row],[%-osuus 3]],0),0)</f>
        <v>6331991</v>
      </c>
      <c r="S41" s="211">
        <f>IFERROR(ROUND(VLOOKUP($A41,'2.4 Aloittaneet palaute'!$A:$K,COLUMN('2.4 Aloittaneet palaute'!J:J),FALSE),1),0)</f>
        <v>49794.5</v>
      </c>
      <c r="T41" s="22">
        <f>IFERROR(Ohj.lask.[[#This Row],[Painotetut pisteet 4]]/Ohj.lask.[[#Totals],[Painotetut pisteet 4]],0)</f>
        <v>3.99944001655212E-2</v>
      </c>
      <c r="U41" s="25">
        <f>ROUND(IFERROR('1.1 Jakotaulu'!M$16*Ohj.lask.[[#This Row],[%-osuus 4]],0),0)</f>
        <v>462781</v>
      </c>
      <c r="V41" s="235">
        <f>IFERROR(ROUND(VLOOKUP($A41,'2.5 Päättäneet palaute'!$A:$AC,COLUMN('2.5 Päättäneet palaute'!AB:AB),FALSE),1),0)</f>
        <v>257103</v>
      </c>
      <c r="W41" s="22">
        <f>IFERROR(Ohj.lask.[[#This Row],[Painotetut pisteet 5]]/Ohj.lask.[[#Totals],[Painotetut pisteet 5]],0)</f>
        <v>3.8825025579519029E-2</v>
      </c>
      <c r="X41" s="19">
        <f>ROUND(IFERROR('1.1 Jakotaulu'!M$17*Ohj.lask.[[#This Row],[%-osuus 5]],0),0)</f>
        <v>1347751</v>
      </c>
      <c r="Y41" s="21">
        <f>IFERROR(Ohj.lask.[[#This Row],[Jaettava € 6]]/Ohj.lask.[[#Totals],[Jaettava € 6]],"")</f>
        <v>3.6851864760707911E-2</v>
      </c>
      <c r="Z41" s="25">
        <f>IFERROR(Ohj.lask.[[#This Row],[Jaettava € 1]]+Ohj.lask.[[#This Row],[Jaettava € 2]]+Ohj.lask.[[#This Row],[Jaettava € 3]]+Ohj.lask.[[#This Row],[Jaettava € 4]]+Ohj.lask.[[#This Row],[Jaettava € 5]],"")</f>
        <v>63436247</v>
      </c>
      <c r="AA41" s="123">
        <f>0</f>
        <v>0</v>
      </c>
      <c r="AB41" s="19">
        <f>Ohj.lask.[[#This Row],[Jaettava € 1]]+Ohj.lask.[[#This Row],[Jaettava €]]</f>
        <v>40312909</v>
      </c>
      <c r="AC41" s="107">
        <f>Ohj.lask.[[#This Row],[Jaettava € 2]]</f>
        <v>14980815</v>
      </c>
      <c r="AD41" s="19">
        <f>Ohj.lask.[[#This Row],[Jaettava € 3]]+Ohj.lask.[[#This Row],[Jaettava € 4]]+Ohj.lask.[[#This Row],[Jaettava € 5]]</f>
        <v>8142523</v>
      </c>
      <c r="AE41" s="36">
        <f>Ohj.lask.[[#This Row],[Jaettava € 6]]+Ohj.lask.[[#This Row],[Jaettava €]]</f>
        <v>63436247</v>
      </c>
      <c r="AF41" s="36">
        <f>IFERROR(VLOOKUP(Ohj.lask.[[#This Row],[Y-tunnus]],'3.1 Alv vahvistettu'!A:Y,COLUMN(C:C),FALSE),0)</f>
        <v>0</v>
      </c>
      <c r="AG41" s="25">
        <f>Ohj.lask.[[#This Row],[Perus-, suoritus- ja vaikuttavuusrahoitus yhteensä, €]]+Ohj.lask.[[#This Row],[Alv-korvaus, €]]</f>
        <v>63436247</v>
      </c>
    </row>
    <row r="42" spans="1:33" x14ac:dyDescent="0.2">
      <c r="A42" s="131" t="s">
        <v>374</v>
      </c>
      <c r="B42" s="16" t="s">
        <v>53</v>
      </c>
      <c r="C42" s="98" t="s">
        <v>238</v>
      </c>
      <c r="D42" s="98" t="s">
        <v>412</v>
      </c>
      <c r="E42" s="98" t="s">
        <v>474</v>
      </c>
      <c r="F42" s="113">
        <v>166</v>
      </c>
      <c r="G42" s="122">
        <f>0</f>
        <v>0</v>
      </c>
      <c r="H42" s="35">
        <f t="shared" si="2"/>
        <v>166</v>
      </c>
      <c r="I42" s="17">
        <f>IFERROR(VLOOKUP($A42,'2.1 Toteut. op.vuodet'!$A:$Q,COLUMN('2.1 Toteut. op.vuodet'!Q:Q),FALSE),0)</f>
        <v>1.0026861034897816</v>
      </c>
      <c r="J42" s="11">
        <f t="shared" si="3"/>
        <v>166.4</v>
      </c>
      <c r="K42" s="18">
        <f>IFERROR(Ohj.lask.[[#This Row],[Painotetut opiskelija-vuodet]]/Ohj.lask.[[#Totals],[Painotetut opiskelija-vuodet]],0)</f>
        <v>8.3196588939853425E-4</v>
      </c>
      <c r="L42" s="19">
        <f>ROUND(IFERROR('1.1 Jakotaulu'!L$10*Ohj.lask.[[#This Row],[%-osuus 1]],0),0)</f>
        <v>970047</v>
      </c>
      <c r="M42" s="211">
        <f>IFERROR(ROUND(VLOOKUP($A42,'2.2 Tutk. ja osien pain. pist.'!$A:$Q,COLUMN('2.2 Tutk. ja osien pain. pist.'!P:P),FALSE),1),0)</f>
        <v>16875.900000000001</v>
      </c>
      <c r="N42" s="18">
        <f>IFERROR(Ohj.lask.[[#This Row],[Painotetut pisteet 2]]/Ohj.lask.[[#Totals],[Painotetut pisteet 2]],0)</f>
        <v>1.0784418628714835E-3</v>
      </c>
      <c r="O42" s="25">
        <f>ROUND(IFERROR('1.1 Jakotaulu'!K$11*Ohj.lask.[[#This Row],[%-osuus 2]],0),0)</f>
        <v>399322</v>
      </c>
      <c r="P42" s="233">
        <f>IFERROR(ROUND(VLOOKUP($A42,'2.3 Työll. ja jatko-opisk.'!$A:$K,COLUMN('2.3 Työll. ja jatko-opisk.'!I:I),FALSE),1),0)</f>
        <v>238.8</v>
      </c>
      <c r="Q42" s="22">
        <f>IFERROR(Ohj.lask.[[#This Row],[Painotetut pisteet 3]]/Ohj.lask.[[#Totals],[Painotetut pisteet 3]],0)</f>
        <v>1.2606319630383553E-3</v>
      </c>
      <c r="R42" s="19">
        <f>ROUND(IFERROR('1.1 Jakotaulu'!L$13*Ohj.lask.[[#This Row],[%-osuus 3]],0),0)</f>
        <v>175044</v>
      </c>
      <c r="S42" s="211">
        <f>IFERROR(ROUND(VLOOKUP($A42,'2.4 Aloittaneet palaute'!$A:$K,COLUMN('2.4 Aloittaneet palaute'!J:J),FALSE),1),0)</f>
        <v>2306.8000000000002</v>
      </c>
      <c r="T42" s="22">
        <f>IFERROR(Ohj.lask.[[#This Row],[Painotetut pisteet 4]]/Ohj.lask.[[#Totals],[Painotetut pisteet 4]],0)</f>
        <v>1.8527966402278227E-3</v>
      </c>
      <c r="U42" s="25">
        <f>ROUND(IFERROR('1.1 Jakotaulu'!M$16*Ohj.lask.[[#This Row],[%-osuus 4]],0),0)</f>
        <v>21439</v>
      </c>
      <c r="V42" s="235">
        <f>IFERROR(ROUND(VLOOKUP($A42,'2.5 Päättäneet palaute'!$A:$AC,COLUMN('2.5 Päättäneet palaute'!AB:AB),FALSE),1),0)</f>
        <v>6760.4</v>
      </c>
      <c r="W42" s="22">
        <f>IFERROR(Ohj.lask.[[#This Row],[Painotetut pisteet 5]]/Ohj.lask.[[#Totals],[Painotetut pisteet 5]],0)</f>
        <v>1.0208854152918498E-3</v>
      </c>
      <c r="X42" s="19">
        <f>ROUND(IFERROR('1.1 Jakotaulu'!M$17*Ohj.lask.[[#This Row],[%-osuus 5]],0),0)</f>
        <v>35438</v>
      </c>
      <c r="Y42" s="21">
        <f>IFERROR(Ohj.lask.[[#This Row],[Jaettava € 6]]/Ohj.lask.[[#Totals],[Jaettava € 6]],"")</f>
        <v>9.3023350707796396E-4</v>
      </c>
      <c r="Z42" s="25">
        <f>IFERROR(Ohj.lask.[[#This Row],[Jaettava € 1]]+Ohj.lask.[[#This Row],[Jaettava € 2]]+Ohj.lask.[[#This Row],[Jaettava € 3]]+Ohj.lask.[[#This Row],[Jaettava € 4]]+Ohj.lask.[[#This Row],[Jaettava € 5]],"")</f>
        <v>1601290</v>
      </c>
      <c r="AA42" s="123">
        <f>0</f>
        <v>0</v>
      </c>
      <c r="AB42" s="19">
        <f>Ohj.lask.[[#This Row],[Jaettava € 1]]+Ohj.lask.[[#This Row],[Jaettava €]]</f>
        <v>970047</v>
      </c>
      <c r="AC42" s="107">
        <f>Ohj.lask.[[#This Row],[Jaettava € 2]]</f>
        <v>399322</v>
      </c>
      <c r="AD42" s="19">
        <f>Ohj.lask.[[#This Row],[Jaettava € 3]]+Ohj.lask.[[#This Row],[Jaettava € 4]]+Ohj.lask.[[#This Row],[Jaettava € 5]]</f>
        <v>231921</v>
      </c>
      <c r="AE42" s="36">
        <f>Ohj.lask.[[#This Row],[Jaettava € 6]]+Ohj.lask.[[#This Row],[Jaettava €]]</f>
        <v>1601290</v>
      </c>
      <c r="AF42" s="36">
        <f>IFERROR(VLOOKUP(Ohj.lask.[[#This Row],[Y-tunnus]],'3.1 Alv vahvistettu'!A:Y,COLUMN(C:C),FALSE),0)</f>
        <v>8663.2200000000012</v>
      </c>
      <c r="AG42" s="25">
        <f>Ohj.lask.[[#This Row],[Perus-, suoritus- ja vaikuttavuusrahoitus yhteensä, €]]+Ohj.lask.[[#This Row],[Alv-korvaus, €]]</f>
        <v>1609953.22</v>
      </c>
    </row>
    <row r="43" spans="1:33" x14ac:dyDescent="0.2">
      <c r="A43" s="131" t="s">
        <v>373</v>
      </c>
      <c r="B43" s="16" t="s">
        <v>54</v>
      </c>
      <c r="C43" s="16" t="s">
        <v>238</v>
      </c>
      <c r="D43" s="16" t="s">
        <v>412</v>
      </c>
      <c r="E43" s="16" t="s">
        <v>474</v>
      </c>
      <c r="F43" s="114">
        <v>118</v>
      </c>
      <c r="G43" s="122">
        <f>0</f>
        <v>0</v>
      </c>
      <c r="H43" s="35">
        <f t="shared" si="2"/>
        <v>118</v>
      </c>
      <c r="I43" s="17">
        <f>IFERROR(VLOOKUP($A43,'2.1 Toteut. op.vuodet'!$A:$Q,COLUMN('2.1 Toteut. op.vuodet'!Q:Q),FALSE),0)</f>
        <v>1.065797951717844</v>
      </c>
      <c r="J43" s="11">
        <f t="shared" si="3"/>
        <v>125.8</v>
      </c>
      <c r="K43" s="18">
        <f>IFERROR(Ohj.lask.[[#This Row],[Painotetut opiskelija-vuodet]]/Ohj.lask.[[#Totals],[Painotetut opiskelija-vuodet]],0)</f>
        <v>6.2897421205730534E-4</v>
      </c>
      <c r="L43" s="19">
        <f>ROUND(IFERROR('1.1 Jakotaulu'!L$10*Ohj.lask.[[#This Row],[%-osuus 1]],0),0)</f>
        <v>733365</v>
      </c>
      <c r="M43" s="211">
        <f>IFERROR(ROUND(VLOOKUP($A43,'2.2 Tutk. ja osien pain. pist.'!$A:$Q,COLUMN('2.2 Tutk. ja osien pain. pist.'!P:P),FALSE),1),0)</f>
        <v>14193.7</v>
      </c>
      <c r="N43" s="18">
        <f>IFERROR(Ohj.lask.[[#This Row],[Painotetut pisteet 2]]/Ohj.lask.[[#Totals],[Painotetut pisteet 2]],0)</f>
        <v>9.0703786281258936E-4</v>
      </c>
      <c r="O43" s="25">
        <f>ROUND(IFERROR('1.1 Jakotaulu'!K$11*Ohj.lask.[[#This Row],[%-osuus 2]],0),0)</f>
        <v>335855</v>
      </c>
      <c r="P43" s="233">
        <f>IFERROR(ROUND(VLOOKUP($A43,'2.3 Työll. ja jatko-opisk.'!$A:$K,COLUMN('2.3 Työll. ja jatko-opisk.'!I:I),FALSE),1),0)</f>
        <v>149.30000000000001</v>
      </c>
      <c r="Q43" s="18">
        <f>IFERROR(Ohj.lask.[[#This Row],[Painotetut pisteet 3]]/Ohj.lask.[[#Totals],[Painotetut pisteet 3]],0)</f>
        <v>7.8815892831501878E-4</v>
      </c>
      <c r="R43" s="19">
        <f>ROUND(IFERROR('1.1 Jakotaulu'!L$13*Ohj.lask.[[#This Row],[%-osuus 3]],0),0)</f>
        <v>109439</v>
      </c>
      <c r="S43" s="211">
        <f>IFERROR(ROUND(VLOOKUP($A43,'2.4 Aloittaneet palaute'!$A:$K,COLUMN('2.4 Aloittaneet palaute'!J:J),FALSE),1),0)</f>
        <v>1298.2</v>
      </c>
      <c r="T43" s="22">
        <f>IFERROR(Ohj.lask.[[#This Row],[Painotetut pisteet 4]]/Ohj.lask.[[#Totals],[Painotetut pisteet 4]],0)</f>
        <v>1.0427001033222469E-3</v>
      </c>
      <c r="U43" s="25">
        <f>ROUND(IFERROR('1.1 Jakotaulu'!M$16*Ohj.lask.[[#This Row],[%-osuus 4]],0),0)</f>
        <v>12065</v>
      </c>
      <c r="V43" s="235">
        <f>IFERROR(ROUND(VLOOKUP($A43,'2.5 Päättäneet palaute'!$A:$AC,COLUMN('2.5 Päättäneet palaute'!AB:AB),FALSE),1),0)</f>
        <v>7595.4</v>
      </c>
      <c r="W43" s="22">
        <f>IFERROR(Ohj.lask.[[#This Row],[Painotetut pisteet 5]]/Ohj.lask.[[#Totals],[Painotetut pisteet 5]],0)</f>
        <v>1.1469784455517005E-3</v>
      </c>
      <c r="X43" s="19">
        <f>ROUND(IFERROR('1.1 Jakotaulu'!M$17*Ohj.lask.[[#This Row],[%-osuus 5]],0),0)</f>
        <v>39816</v>
      </c>
      <c r="Y43" s="21">
        <f>IFERROR(Ohj.lask.[[#This Row],[Jaettava € 6]]/Ohj.lask.[[#Totals],[Jaettava € 6]],"")</f>
        <v>7.1485461084483002E-4</v>
      </c>
      <c r="Z43" s="25">
        <f>IFERROR(Ohj.lask.[[#This Row],[Jaettava € 1]]+Ohj.lask.[[#This Row],[Jaettava € 2]]+Ohj.lask.[[#This Row],[Jaettava € 3]]+Ohj.lask.[[#This Row],[Jaettava € 4]]+Ohj.lask.[[#This Row],[Jaettava € 5]],"")</f>
        <v>1230540</v>
      </c>
      <c r="AA43" s="123">
        <f>0</f>
        <v>0</v>
      </c>
      <c r="AB43" s="19">
        <f>Ohj.lask.[[#This Row],[Jaettava € 1]]+Ohj.lask.[[#This Row],[Jaettava €]]</f>
        <v>733365</v>
      </c>
      <c r="AC43" s="107">
        <f>Ohj.lask.[[#This Row],[Jaettava € 2]]</f>
        <v>335855</v>
      </c>
      <c r="AD43" s="19">
        <f>Ohj.lask.[[#This Row],[Jaettava € 3]]+Ohj.lask.[[#This Row],[Jaettava € 4]]+Ohj.lask.[[#This Row],[Jaettava € 5]]</f>
        <v>161320</v>
      </c>
      <c r="AE43" s="36">
        <f>Ohj.lask.[[#This Row],[Jaettava € 6]]+Ohj.lask.[[#This Row],[Jaettava €]]</f>
        <v>1230540</v>
      </c>
      <c r="AF43" s="36">
        <f>IFERROR(VLOOKUP(Ohj.lask.[[#This Row],[Y-tunnus]],'3.1 Alv vahvistettu'!A:Y,COLUMN(C:C),FALSE),0)</f>
        <v>69443.05</v>
      </c>
      <c r="AG43" s="25">
        <f>Ohj.lask.[[#This Row],[Perus-, suoritus- ja vaikuttavuusrahoitus yhteensä, €]]+Ohj.lask.[[#This Row],[Alv-korvaus, €]]</f>
        <v>1299983.05</v>
      </c>
    </row>
    <row r="44" spans="1:33" x14ac:dyDescent="0.2">
      <c r="A44" s="131" t="s">
        <v>368</v>
      </c>
      <c r="B44" s="16" t="s">
        <v>55</v>
      </c>
      <c r="C44" s="16" t="s">
        <v>269</v>
      </c>
      <c r="D44" s="16" t="s">
        <v>411</v>
      </c>
      <c r="E44" s="16" t="s">
        <v>474</v>
      </c>
      <c r="F44" s="114">
        <v>555</v>
      </c>
      <c r="G44" s="122">
        <f>0</f>
        <v>0</v>
      </c>
      <c r="H44" s="35">
        <f t="shared" si="2"/>
        <v>555</v>
      </c>
      <c r="I44" s="17">
        <f>IFERROR(VLOOKUP($A44,'2.1 Toteut. op.vuodet'!$A:$Q,COLUMN('2.1 Toteut. op.vuodet'!Q:Q),FALSE),0)</f>
        <v>1.0798512438936791</v>
      </c>
      <c r="J44" s="11">
        <f t="shared" si="3"/>
        <v>599.29999999999995</v>
      </c>
      <c r="K44" s="18">
        <f>IFERROR(Ohj.lask.[[#This Row],[Painotetut opiskelija-vuodet]]/Ohj.lask.[[#Totals],[Painotetut opiskelija-vuodet]],0)</f>
        <v>2.9963771485369082E-3</v>
      </c>
      <c r="L44" s="19">
        <f>ROUND(IFERROR('1.1 Jakotaulu'!L$10*Ohj.lask.[[#This Row],[%-osuus 1]],0),0)</f>
        <v>3493684</v>
      </c>
      <c r="M44" s="211">
        <f>IFERROR(ROUND(VLOOKUP($A44,'2.2 Tutk. ja osien pain. pist.'!$A:$Q,COLUMN('2.2 Tutk. ja osien pain. pist.'!P:P),FALSE),1),0)</f>
        <v>62511.5</v>
      </c>
      <c r="N44" s="18">
        <f>IFERROR(Ohj.lask.[[#This Row],[Painotetut pisteet 2]]/Ohj.lask.[[#Totals],[Painotetut pisteet 2]],0)</f>
        <v>3.9947510065176228E-3</v>
      </c>
      <c r="O44" s="25">
        <f>ROUND(IFERROR('1.1 Jakotaulu'!K$11*Ohj.lask.[[#This Row],[%-osuus 2]],0),0)</f>
        <v>1479164</v>
      </c>
      <c r="P44" s="233">
        <f>IFERROR(ROUND(VLOOKUP($A44,'2.3 Työll. ja jatko-opisk.'!$A:$K,COLUMN('2.3 Työll. ja jatko-opisk.'!I:I),FALSE),1),0)</f>
        <v>757.2</v>
      </c>
      <c r="Q44" s="18">
        <f>IFERROR(Ohj.lask.[[#This Row],[Painotetut pisteet 3]]/Ohj.lask.[[#Totals],[Painotetut pisteet 3]],0)</f>
        <v>3.9972802446090567E-3</v>
      </c>
      <c r="R44" s="19">
        <f>ROUND(IFERROR('1.1 Jakotaulu'!L$13*Ohj.lask.[[#This Row],[%-osuus 3]],0),0)</f>
        <v>555038</v>
      </c>
      <c r="S44" s="211">
        <f>IFERROR(ROUND(VLOOKUP($A44,'2.4 Aloittaneet palaute'!$A:$K,COLUMN('2.4 Aloittaneet palaute'!J:J),FALSE),1),0)</f>
        <v>3016.4</v>
      </c>
      <c r="T44" s="22">
        <f>IFERROR(Ohj.lask.[[#This Row],[Painotetut pisteet 4]]/Ohj.lask.[[#Totals],[Painotetut pisteet 4]],0)</f>
        <v>2.4227396330775116E-3</v>
      </c>
      <c r="U44" s="25">
        <f>ROUND(IFERROR('1.1 Jakotaulu'!M$16*Ohj.lask.[[#This Row],[%-osuus 4]],0),0)</f>
        <v>28034</v>
      </c>
      <c r="V44" s="235">
        <f>IFERROR(ROUND(VLOOKUP($A44,'2.5 Päättäneet palaute'!$A:$AC,COLUMN('2.5 Päättäneet palaute'!AB:AB),FALSE),1),0)</f>
        <v>41927.300000000003</v>
      </c>
      <c r="W44" s="22">
        <f>IFERROR(Ohj.lask.[[#This Row],[Painotetut pisteet 5]]/Ohj.lask.[[#Totals],[Painotetut pisteet 5]],0)</f>
        <v>6.3314255181004054E-3</v>
      </c>
      <c r="X44" s="19">
        <f>ROUND(IFERROR('1.1 Jakotaulu'!M$17*Ohj.lask.[[#This Row],[%-osuus 5]],0),0)</f>
        <v>219786</v>
      </c>
      <c r="Y44" s="21">
        <f>IFERROR(Ohj.lask.[[#This Row],[Jaettava € 6]]/Ohj.lask.[[#Totals],[Jaettava € 6]],"")</f>
        <v>3.3552668462497356E-3</v>
      </c>
      <c r="Z44" s="25">
        <f>IFERROR(Ohj.lask.[[#This Row],[Jaettava € 1]]+Ohj.lask.[[#This Row],[Jaettava € 2]]+Ohj.lask.[[#This Row],[Jaettava € 3]]+Ohj.lask.[[#This Row],[Jaettava € 4]]+Ohj.lask.[[#This Row],[Jaettava € 5]],"")</f>
        <v>5775706</v>
      </c>
      <c r="AA44" s="123">
        <f>0</f>
        <v>0</v>
      </c>
      <c r="AB44" s="19">
        <f>Ohj.lask.[[#This Row],[Jaettava € 1]]+Ohj.lask.[[#This Row],[Jaettava €]]</f>
        <v>3493684</v>
      </c>
      <c r="AC44" s="107">
        <f>Ohj.lask.[[#This Row],[Jaettava € 2]]</f>
        <v>1479164</v>
      </c>
      <c r="AD44" s="19">
        <f>Ohj.lask.[[#This Row],[Jaettava € 3]]+Ohj.lask.[[#This Row],[Jaettava € 4]]+Ohj.lask.[[#This Row],[Jaettava € 5]]</f>
        <v>802858</v>
      </c>
      <c r="AE44" s="36">
        <f>Ohj.lask.[[#This Row],[Jaettava € 6]]+Ohj.lask.[[#This Row],[Jaettava €]]</f>
        <v>5775706</v>
      </c>
      <c r="AF44" s="36">
        <f>IFERROR(VLOOKUP(Ohj.lask.[[#This Row],[Y-tunnus]],'3.1 Alv vahvistettu'!A:Y,COLUMN(C:C),FALSE),0)</f>
        <v>0</v>
      </c>
      <c r="AG44" s="25">
        <f>Ohj.lask.[[#This Row],[Perus-, suoritus- ja vaikuttavuusrahoitus yhteensä, €]]+Ohj.lask.[[#This Row],[Alv-korvaus, €]]</f>
        <v>5775706</v>
      </c>
    </row>
    <row r="45" spans="1:33" x14ac:dyDescent="0.2">
      <c r="A45" s="131" t="s">
        <v>367</v>
      </c>
      <c r="B45" s="16" t="s">
        <v>56</v>
      </c>
      <c r="C45" s="16" t="s">
        <v>246</v>
      </c>
      <c r="D45" s="16" t="s">
        <v>413</v>
      </c>
      <c r="E45" s="16" t="s">
        <v>474</v>
      </c>
      <c r="F45" s="114">
        <v>2561</v>
      </c>
      <c r="G45" s="122">
        <f>0</f>
        <v>0</v>
      </c>
      <c r="H45" s="35">
        <f t="shared" si="2"/>
        <v>2561</v>
      </c>
      <c r="I45" s="17">
        <f>IFERROR(VLOOKUP($A45,'2.1 Toteut. op.vuodet'!$A:$Q,COLUMN('2.1 Toteut. op.vuodet'!Q:Q),FALSE),0)</f>
        <v>1.0916580592127121</v>
      </c>
      <c r="J45" s="11">
        <f t="shared" si="3"/>
        <v>2795.7</v>
      </c>
      <c r="K45" s="18">
        <f>IFERROR(Ohj.lask.[[#This Row],[Painotetut opiskelija-vuodet]]/Ohj.lask.[[#Totals],[Painotetut opiskelija-vuodet]],0)</f>
        <v>1.3977926904996888E-2</v>
      </c>
      <c r="L45" s="19">
        <f>ROUND(IFERROR('1.1 Jakotaulu'!L$10*Ohj.lask.[[#This Row],[%-osuus 1]],0),0)</f>
        <v>16297836</v>
      </c>
      <c r="M45" s="211">
        <f>IFERROR(ROUND(VLOOKUP($A45,'2.2 Tutk. ja osien pain. pist.'!$A:$Q,COLUMN('2.2 Tutk. ja osien pain. pist.'!P:P),FALSE),1),0)</f>
        <v>251439.8</v>
      </c>
      <c r="N45" s="18">
        <f>IFERROR(Ohj.lask.[[#This Row],[Painotetut pisteet 2]]/Ohj.lask.[[#Totals],[Painotetut pisteet 2]],0)</f>
        <v>1.6068073780481824E-2</v>
      </c>
      <c r="O45" s="25">
        <f>ROUND(IFERROR('1.1 Jakotaulu'!K$11*Ohj.lask.[[#This Row],[%-osuus 2]],0),0)</f>
        <v>5949638</v>
      </c>
      <c r="P45" s="233">
        <f>IFERROR(ROUND(VLOOKUP($A45,'2.3 Työll. ja jatko-opisk.'!$A:$K,COLUMN('2.3 Työll. ja jatko-opisk.'!I:I),FALSE),1),0)</f>
        <v>3425.3</v>
      </c>
      <c r="Q45" s="18">
        <f>IFERROR(Ohj.lask.[[#This Row],[Painotetut pisteet 3]]/Ohj.lask.[[#Totals],[Painotetut pisteet 3]],0)</f>
        <v>1.8082255707685423E-2</v>
      </c>
      <c r="R45" s="19">
        <f>ROUND(IFERROR('1.1 Jakotaulu'!L$13*Ohj.lask.[[#This Row],[%-osuus 3]],0),0)</f>
        <v>2510791</v>
      </c>
      <c r="S45" s="211">
        <f>IFERROR(ROUND(VLOOKUP($A45,'2.4 Aloittaneet palaute'!$A:$K,COLUMN('2.4 Aloittaneet palaute'!J:J),FALSE),1),0)</f>
        <v>23991.5</v>
      </c>
      <c r="T45" s="22">
        <f>IFERROR(Ohj.lask.[[#This Row],[Painotetut pisteet 4]]/Ohj.lask.[[#Totals],[Painotetut pisteet 4]],0)</f>
        <v>1.9269711545875586E-2</v>
      </c>
      <c r="U45" s="25">
        <f>ROUND(IFERROR('1.1 Jakotaulu'!M$16*Ohj.lask.[[#This Row],[%-osuus 4]],0),0)</f>
        <v>222973</v>
      </c>
      <c r="V45" s="235">
        <f>IFERROR(ROUND(VLOOKUP($A45,'2.5 Päättäneet palaute'!$A:$AC,COLUMN('2.5 Päättäneet palaute'!AB:AB),FALSE),1),0)</f>
        <v>136394.79999999999</v>
      </c>
      <c r="W45" s="22">
        <f>IFERROR(Ohj.lask.[[#This Row],[Painotetut pisteet 5]]/Ohj.lask.[[#Totals],[Painotetut pisteet 5]],0)</f>
        <v>2.0596926519384769E-2</v>
      </c>
      <c r="X45" s="19">
        <f>ROUND(IFERROR('1.1 Jakotaulu'!M$17*Ohj.lask.[[#This Row],[%-osuus 5]],0),0)</f>
        <v>714991</v>
      </c>
      <c r="Y45" s="21">
        <f>IFERROR(Ohj.lask.[[#This Row],[Jaettava € 6]]/Ohj.lask.[[#Totals],[Jaettava € 6]],"")</f>
        <v>1.4927647847265944E-2</v>
      </c>
      <c r="Z45" s="25">
        <f>IFERROR(Ohj.lask.[[#This Row],[Jaettava € 1]]+Ohj.lask.[[#This Row],[Jaettava € 2]]+Ohj.lask.[[#This Row],[Jaettava € 3]]+Ohj.lask.[[#This Row],[Jaettava € 4]]+Ohj.lask.[[#This Row],[Jaettava € 5]],"")</f>
        <v>25696229</v>
      </c>
      <c r="AA45" s="123">
        <f>0</f>
        <v>0</v>
      </c>
      <c r="AB45" s="19">
        <f>Ohj.lask.[[#This Row],[Jaettava € 1]]+Ohj.lask.[[#This Row],[Jaettava €]]</f>
        <v>16297836</v>
      </c>
      <c r="AC45" s="107">
        <f>Ohj.lask.[[#This Row],[Jaettava € 2]]</f>
        <v>5949638</v>
      </c>
      <c r="AD45" s="19">
        <f>Ohj.lask.[[#This Row],[Jaettava € 3]]+Ohj.lask.[[#This Row],[Jaettava € 4]]+Ohj.lask.[[#This Row],[Jaettava € 5]]</f>
        <v>3448755</v>
      </c>
      <c r="AE45" s="36">
        <f>Ohj.lask.[[#This Row],[Jaettava € 6]]+Ohj.lask.[[#This Row],[Jaettava €]]</f>
        <v>25696229</v>
      </c>
      <c r="AF45" s="36">
        <f>IFERROR(VLOOKUP(Ohj.lask.[[#This Row],[Y-tunnus]],'3.1 Alv vahvistettu'!A:Y,COLUMN(C:C),FALSE),0)</f>
        <v>0</v>
      </c>
      <c r="AG45" s="25">
        <f>Ohj.lask.[[#This Row],[Perus-, suoritus- ja vaikuttavuusrahoitus yhteensä, €]]+Ohj.lask.[[#This Row],[Alv-korvaus, €]]</f>
        <v>25696229</v>
      </c>
    </row>
    <row r="46" spans="1:33" x14ac:dyDescent="0.2">
      <c r="A46" s="131" t="s">
        <v>366</v>
      </c>
      <c r="B46" s="16" t="s">
        <v>211</v>
      </c>
      <c r="C46" s="16" t="s">
        <v>244</v>
      </c>
      <c r="D46" s="16" t="s">
        <v>412</v>
      </c>
      <c r="E46" s="16" t="s">
        <v>474</v>
      </c>
      <c r="F46" s="114">
        <v>89</v>
      </c>
      <c r="G46" s="122">
        <f>0</f>
        <v>0</v>
      </c>
      <c r="H46" s="35">
        <f t="shared" si="2"/>
        <v>89</v>
      </c>
      <c r="I46" s="17">
        <f>IFERROR(VLOOKUP($A46,'2.1 Toteut. op.vuodet'!$A:$Q,COLUMN('2.1 Toteut. op.vuodet'!Q:Q),FALSE),0)</f>
        <v>1.0342839278220728</v>
      </c>
      <c r="J46" s="11">
        <f t="shared" si="3"/>
        <v>92.1</v>
      </c>
      <c r="K46" s="18">
        <f>IFERROR(Ohj.lask.[[#This Row],[Painotetut opiskelija-vuodet]]/Ohj.lask.[[#Totals],[Painotetut opiskelija-vuodet]],0)</f>
        <v>4.6048112027406848E-4</v>
      </c>
      <c r="L46" s="19">
        <f>ROUND(IFERROR('1.1 Jakotaulu'!L$10*Ohj.lask.[[#This Row],[%-osuus 1]],0),0)</f>
        <v>536907</v>
      </c>
      <c r="M46" s="211">
        <f>IFERROR(ROUND(VLOOKUP($A46,'2.2 Tutk. ja osien pain. pist.'!$A:$Q,COLUMN('2.2 Tutk. ja osien pain. pist.'!P:P),FALSE),1),0)</f>
        <v>6861.7</v>
      </c>
      <c r="N46" s="18">
        <f>IFERROR(Ohj.lask.[[#This Row],[Painotetut pisteet 2]]/Ohj.lask.[[#Totals],[Painotetut pisteet 2]],0)</f>
        <v>4.3849184520323412E-4</v>
      </c>
      <c r="O46" s="25">
        <f>ROUND(IFERROR('1.1 Jakotaulu'!K$11*Ohj.lask.[[#This Row],[%-osuus 2]],0),0)</f>
        <v>162363</v>
      </c>
      <c r="P46" s="233">
        <f>IFERROR(ROUND(VLOOKUP($A46,'2.3 Työll. ja jatko-opisk.'!$A:$K,COLUMN('2.3 Työll. ja jatko-opisk.'!I:I),FALSE),1),0)</f>
        <v>100.4</v>
      </c>
      <c r="Q46" s="18">
        <f>IFERROR(Ohj.lask.[[#This Row],[Painotetut pisteet 3]]/Ohj.lask.[[#Totals],[Painotetut pisteet 3]],0)</f>
        <v>5.3001444342148615E-4</v>
      </c>
      <c r="R46" s="19">
        <f>ROUND(IFERROR('1.1 Jakotaulu'!L$13*Ohj.lask.[[#This Row],[%-osuus 3]],0),0)</f>
        <v>73595</v>
      </c>
      <c r="S46" s="211">
        <f>IFERROR(ROUND(VLOOKUP($A46,'2.4 Aloittaneet palaute'!$A:$K,COLUMN('2.4 Aloittaneet palaute'!J:J),FALSE),1),0)</f>
        <v>1390.1</v>
      </c>
      <c r="T46" s="22">
        <f>IFERROR(Ohj.lask.[[#This Row],[Painotetut pisteet 4]]/Ohj.lask.[[#Totals],[Painotetut pisteet 4]],0)</f>
        <v>1.1165131825822334E-3</v>
      </c>
      <c r="U46" s="25">
        <f>ROUND(IFERROR('1.1 Jakotaulu'!M$16*Ohj.lask.[[#This Row],[%-osuus 4]],0),0)</f>
        <v>12919</v>
      </c>
      <c r="V46" s="235">
        <f>IFERROR(ROUND(VLOOKUP($A46,'2.5 Päättäneet palaute'!$A:$AC,COLUMN('2.5 Päättäneet palaute'!AB:AB),FALSE),1),0)</f>
        <v>8173.8</v>
      </c>
      <c r="W46" s="22">
        <f>IFERROR(Ohj.lask.[[#This Row],[Painotetut pisteet 5]]/Ohj.lask.[[#Totals],[Painotetut pisteet 5]],0)</f>
        <v>1.2343224080694224E-3</v>
      </c>
      <c r="X46" s="19">
        <f>ROUND(IFERROR('1.1 Jakotaulu'!M$17*Ohj.lask.[[#This Row],[%-osuus 5]],0),0)</f>
        <v>42848</v>
      </c>
      <c r="Y46" s="21">
        <f>IFERROR(Ohj.lask.[[#This Row],[Jaettava € 6]]/Ohj.lask.[[#Totals],[Jaettava € 6]],"")</f>
        <v>4.8137517341457668E-4</v>
      </c>
      <c r="Z46" s="25">
        <f>IFERROR(Ohj.lask.[[#This Row],[Jaettava € 1]]+Ohj.lask.[[#This Row],[Jaettava € 2]]+Ohj.lask.[[#This Row],[Jaettava € 3]]+Ohj.lask.[[#This Row],[Jaettava € 4]]+Ohj.lask.[[#This Row],[Jaettava € 5]],"")</f>
        <v>828632</v>
      </c>
      <c r="AA46" s="123">
        <f>0</f>
        <v>0</v>
      </c>
      <c r="AB46" s="19">
        <f>Ohj.lask.[[#This Row],[Jaettava € 1]]+Ohj.lask.[[#This Row],[Jaettava €]]</f>
        <v>536907</v>
      </c>
      <c r="AC46" s="107">
        <f>Ohj.lask.[[#This Row],[Jaettava € 2]]</f>
        <v>162363</v>
      </c>
      <c r="AD46" s="19">
        <f>Ohj.lask.[[#This Row],[Jaettava € 3]]+Ohj.lask.[[#This Row],[Jaettava € 4]]+Ohj.lask.[[#This Row],[Jaettava € 5]]</f>
        <v>129362</v>
      </c>
      <c r="AE46" s="36">
        <f>Ohj.lask.[[#This Row],[Jaettava € 6]]+Ohj.lask.[[#This Row],[Jaettava €]]</f>
        <v>828632</v>
      </c>
      <c r="AF46" s="36">
        <f>IFERROR(VLOOKUP(Ohj.lask.[[#This Row],[Y-tunnus]],'3.1 Alv vahvistettu'!A:Y,COLUMN(C:C),FALSE),0)</f>
        <v>27175.200000000001</v>
      </c>
      <c r="AG46" s="25">
        <f>Ohj.lask.[[#This Row],[Perus-, suoritus- ja vaikuttavuusrahoitus yhteensä, €]]+Ohj.lask.[[#This Row],[Alv-korvaus, €]]</f>
        <v>855807.2</v>
      </c>
    </row>
    <row r="47" spans="1:33" x14ac:dyDescent="0.2">
      <c r="A47" s="131" t="s">
        <v>365</v>
      </c>
      <c r="B47" s="16" t="s">
        <v>58</v>
      </c>
      <c r="C47" s="16" t="s">
        <v>236</v>
      </c>
      <c r="D47" s="16" t="s">
        <v>412</v>
      </c>
      <c r="E47" s="16" t="s">
        <v>474</v>
      </c>
      <c r="F47" s="114">
        <v>85</v>
      </c>
      <c r="G47" s="122">
        <f>0</f>
        <v>0</v>
      </c>
      <c r="H47" s="35">
        <f t="shared" si="2"/>
        <v>85</v>
      </c>
      <c r="I47" s="17">
        <f>IFERROR(VLOOKUP($A47,'2.1 Toteut. op.vuodet'!$A:$Q,COLUMN('2.1 Toteut. op.vuodet'!Q:Q),FALSE),0)</f>
        <v>1.186857486587652</v>
      </c>
      <c r="J47" s="11">
        <f t="shared" si="3"/>
        <v>100.9</v>
      </c>
      <c r="K47" s="18">
        <f>IFERROR(Ohj.lask.[[#This Row],[Painotetut opiskelija-vuodet]]/Ohj.lask.[[#Totals],[Painotetut opiskelija-vuodet]],0)</f>
        <v>5.0447931634802954E-4</v>
      </c>
      <c r="L47" s="19">
        <f>ROUND(IFERROR('1.1 Jakotaulu'!L$10*Ohj.lask.[[#This Row],[%-osuus 1]],0),0)</f>
        <v>588207</v>
      </c>
      <c r="M47" s="211">
        <f>IFERROR(ROUND(VLOOKUP($A47,'2.2 Tutk. ja osien pain. pist.'!$A:$Q,COLUMN('2.2 Tutk. ja osien pain. pist.'!P:P),FALSE),1),0)</f>
        <v>9254.1</v>
      </c>
      <c r="N47" s="18">
        <f>IFERROR(Ohj.lask.[[#This Row],[Painotetut pisteet 2]]/Ohj.lask.[[#Totals],[Painotetut pisteet 2]],0)</f>
        <v>5.9137639137462272E-4</v>
      </c>
      <c r="O47" s="25">
        <f>ROUND(IFERROR('1.1 Jakotaulu'!K$11*Ohj.lask.[[#This Row],[%-osuus 2]],0),0)</f>
        <v>218973</v>
      </c>
      <c r="P47" s="233">
        <f>IFERROR(ROUND(VLOOKUP($A47,'2.3 Työll. ja jatko-opisk.'!$A:$K,COLUMN('2.3 Työll. ja jatko-opisk.'!I:I),FALSE),1),0)</f>
        <v>111</v>
      </c>
      <c r="Q47" s="18">
        <f>IFERROR(Ohj.lask.[[#This Row],[Painotetut pisteet 3]]/Ohj.lask.[[#Totals],[Painotetut pisteet 3]],0)</f>
        <v>5.8597214362335619E-4</v>
      </c>
      <c r="R47" s="19">
        <f>ROUND(IFERROR('1.1 Jakotaulu'!L$13*Ohj.lask.[[#This Row],[%-osuus 3]],0),0)</f>
        <v>81365</v>
      </c>
      <c r="S47" s="211">
        <f>IFERROR(ROUND(VLOOKUP($A47,'2.4 Aloittaneet palaute'!$A:$K,COLUMN('2.4 Aloittaneet palaute'!J:J),FALSE),1),0)</f>
        <v>930.7</v>
      </c>
      <c r="T47" s="22">
        <f>IFERROR(Ohj.lask.[[#This Row],[Painotetut pisteet 4]]/Ohj.lask.[[#Totals],[Painotetut pisteet 4]],0)</f>
        <v>7.4752810519335643E-4</v>
      </c>
      <c r="U47" s="25">
        <f>ROUND(IFERROR('1.1 Jakotaulu'!M$16*Ohj.lask.[[#This Row],[%-osuus 4]],0),0)</f>
        <v>8650</v>
      </c>
      <c r="V47" s="235">
        <f>IFERROR(ROUND(VLOOKUP($A47,'2.5 Päättäneet palaute'!$A:$AC,COLUMN('2.5 Päättäneet palaute'!AB:AB),FALSE),1),0)</f>
        <v>2018.1</v>
      </c>
      <c r="W47" s="22">
        <f>IFERROR(Ohj.lask.[[#This Row],[Painotetut pisteet 5]]/Ohj.lask.[[#Totals],[Painotetut pisteet 5]],0)</f>
        <v>3.0475250822443675E-4</v>
      </c>
      <c r="X47" s="19">
        <f>ROUND(IFERROR('1.1 Jakotaulu'!M$17*Ohj.lask.[[#This Row],[%-osuus 5]],0),0)</f>
        <v>10579</v>
      </c>
      <c r="Y47" s="21">
        <f>IFERROR(Ohj.lask.[[#This Row],[Jaettava € 6]]/Ohj.lask.[[#Totals],[Jaettava € 6]],"")</f>
        <v>5.2735094308600675E-4</v>
      </c>
      <c r="Z47" s="25">
        <f>IFERROR(Ohj.lask.[[#This Row],[Jaettava € 1]]+Ohj.lask.[[#This Row],[Jaettava € 2]]+Ohj.lask.[[#This Row],[Jaettava € 3]]+Ohj.lask.[[#This Row],[Jaettava € 4]]+Ohj.lask.[[#This Row],[Jaettava € 5]],"")</f>
        <v>907774</v>
      </c>
      <c r="AA47" s="123">
        <f>0</f>
        <v>0</v>
      </c>
      <c r="AB47" s="19">
        <f>Ohj.lask.[[#This Row],[Jaettava € 1]]+Ohj.lask.[[#This Row],[Jaettava €]]</f>
        <v>588207</v>
      </c>
      <c r="AC47" s="107">
        <f>Ohj.lask.[[#This Row],[Jaettava € 2]]</f>
        <v>218973</v>
      </c>
      <c r="AD47" s="19">
        <f>Ohj.lask.[[#This Row],[Jaettava € 3]]+Ohj.lask.[[#This Row],[Jaettava € 4]]+Ohj.lask.[[#This Row],[Jaettava € 5]]</f>
        <v>100594</v>
      </c>
      <c r="AE47" s="36">
        <f>Ohj.lask.[[#This Row],[Jaettava € 6]]+Ohj.lask.[[#This Row],[Jaettava €]]</f>
        <v>907774</v>
      </c>
      <c r="AF47" s="36">
        <f>IFERROR(VLOOKUP(Ohj.lask.[[#This Row],[Y-tunnus]],'3.1 Alv vahvistettu'!A:Y,COLUMN(C:C),FALSE),0)</f>
        <v>42224.95</v>
      </c>
      <c r="AG47" s="25">
        <f>Ohj.lask.[[#This Row],[Perus-, suoritus- ja vaikuttavuusrahoitus yhteensä, €]]+Ohj.lask.[[#This Row],[Alv-korvaus, €]]</f>
        <v>949998.95</v>
      </c>
    </row>
    <row r="48" spans="1:33" x14ac:dyDescent="0.2">
      <c r="A48" s="131" t="s">
        <v>364</v>
      </c>
      <c r="B48" s="16" t="s">
        <v>59</v>
      </c>
      <c r="C48" s="16" t="s">
        <v>236</v>
      </c>
      <c r="D48" s="16" t="s">
        <v>412</v>
      </c>
      <c r="E48" s="16" t="s">
        <v>474</v>
      </c>
      <c r="F48" s="114">
        <v>63</v>
      </c>
      <c r="G48" s="122">
        <f>0</f>
        <v>0</v>
      </c>
      <c r="H48" s="35">
        <f t="shared" si="2"/>
        <v>63</v>
      </c>
      <c r="I48" s="17">
        <f>IFERROR(VLOOKUP($A48,'2.1 Toteut. op.vuodet'!$A:$Q,COLUMN('2.1 Toteut. op.vuodet'!Q:Q),FALSE),0)</f>
        <v>0.92200164511782856</v>
      </c>
      <c r="J48" s="11">
        <f t="shared" si="3"/>
        <v>58.1</v>
      </c>
      <c r="K48" s="18">
        <f>IFERROR(Ohj.lask.[[#This Row],[Painotetut opiskelija-vuodet]]/Ohj.lask.[[#Totals],[Painotetut opiskelija-vuodet]],0)</f>
        <v>2.9048808998831036E-4</v>
      </c>
      <c r="L48" s="19">
        <f>ROUND(IFERROR('1.1 Jakotaulu'!L$10*Ohj.lask.[[#This Row],[%-osuus 1]],0),0)</f>
        <v>338700</v>
      </c>
      <c r="M48" s="211">
        <f>IFERROR(ROUND(VLOOKUP($A48,'2.2 Tutk. ja osien pain. pist.'!$A:$Q,COLUMN('2.2 Tutk. ja osien pain. pist.'!P:P),FALSE),1),0)</f>
        <v>2092.1999999999998</v>
      </c>
      <c r="N48" s="18">
        <f>IFERROR(Ohj.lask.[[#This Row],[Painotetut pisteet 2]]/Ohj.lask.[[#Totals],[Painotetut pisteet 2]],0)</f>
        <v>1.3370048800358605E-4</v>
      </c>
      <c r="O48" s="25">
        <f>ROUND(IFERROR('1.1 Jakotaulu'!K$11*Ohj.lask.[[#This Row],[%-osuus 2]],0),0)</f>
        <v>49506</v>
      </c>
      <c r="P48" s="233">
        <f>IFERROR(ROUND(VLOOKUP($A48,'2.3 Työll. ja jatko-opisk.'!$A:$K,COLUMN('2.3 Työll. ja jatko-opisk.'!I:I),FALSE),1),0)</f>
        <v>35</v>
      </c>
      <c r="Q48" s="18">
        <f>IFERROR(Ohj.lask.[[#This Row],[Painotetut pisteet 3]]/Ohj.lask.[[#Totals],[Painotetut pisteet 3]],0)</f>
        <v>1.8476599123258978E-4</v>
      </c>
      <c r="R48" s="19">
        <f>ROUND(IFERROR('1.1 Jakotaulu'!L$13*Ohj.lask.[[#This Row],[%-osuus 3]],0),0)</f>
        <v>25655</v>
      </c>
      <c r="S48" s="211">
        <f>IFERROR(ROUND(VLOOKUP($A48,'2.4 Aloittaneet palaute'!$A:$K,COLUMN('2.4 Aloittaneet palaute'!J:J),FALSE),1),0)</f>
        <v>346.8</v>
      </c>
      <c r="T48" s="22">
        <f>IFERROR(Ohj.lask.[[#This Row],[Painotetut pisteet 4]]/Ohj.lask.[[#Totals],[Painotetut pisteet 4]],0)</f>
        <v>2.7854598354040613E-4</v>
      </c>
      <c r="U48" s="25">
        <f>ROUND(IFERROR('1.1 Jakotaulu'!M$16*Ohj.lask.[[#This Row],[%-osuus 4]],0),0)</f>
        <v>3223</v>
      </c>
      <c r="V48" s="235">
        <f>IFERROR(ROUND(VLOOKUP($A48,'2.5 Päättäneet palaute'!$A:$AC,COLUMN('2.5 Päättäneet palaute'!AB:AB),FALSE),1),0)</f>
        <v>2461.1999999999998</v>
      </c>
      <c r="W48" s="22">
        <f>IFERROR(Ohj.lask.[[#This Row],[Painotetut pisteet 5]]/Ohj.lask.[[#Totals],[Painotetut pisteet 5]],0)</f>
        <v>3.716648695515503E-4</v>
      </c>
      <c r="X48" s="19">
        <f>ROUND(IFERROR('1.1 Jakotaulu'!M$17*Ohj.lask.[[#This Row],[%-osuus 5]],0),0)</f>
        <v>12902</v>
      </c>
      <c r="Y48" s="21">
        <f>IFERROR(Ohj.lask.[[#This Row],[Jaettava € 6]]/Ohj.lask.[[#Totals],[Jaettava € 6]],"")</f>
        <v>2.4979072171463348E-4</v>
      </c>
      <c r="Z48" s="25">
        <f>IFERROR(Ohj.lask.[[#This Row],[Jaettava € 1]]+Ohj.lask.[[#This Row],[Jaettava € 2]]+Ohj.lask.[[#This Row],[Jaettava € 3]]+Ohj.lask.[[#This Row],[Jaettava € 4]]+Ohj.lask.[[#This Row],[Jaettava € 5]],"")</f>
        <v>429986</v>
      </c>
      <c r="AA48" s="123">
        <f>0</f>
        <v>0</v>
      </c>
      <c r="AB48" s="19">
        <f>Ohj.lask.[[#This Row],[Jaettava € 1]]+Ohj.lask.[[#This Row],[Jaettava €]]</f>
        <v>338700</v>
      </c>
      <c r="AC48" s="107">
        <f>Ohj.lask.[[#This Row],[Jaettava € 2]]</f>
        <v>49506</v>
      </c>
      <c r="AD48" s="19">
        <f>Ohj.lask.[[#This Row],[Jaettava € 3]]+Ohj.lask.[[#This Row],[Jaettava € 4]]+Ohj.lask.[[#This Row],[Jaettava € 5]]</f>
        <v>41780</v>
      </c>
      <c r="AE48" s="36">
        <f>Ohj.lask.[[#This Row],[Jaettava € 6]]+Ohj.lask.[[#This Row],[Jaettava €]]</f>
        <v>429986</v>
      </c>
      <c r="AF48" s="36">
        <f>IFERROR(VLOOKUP(Ohj.lask.[[#This Row],[Y-tunnus]],'3.1 Alv vahvistettu'!A:Y,COLUMN(C:C),FALSE),0)</f>
        <v>0</v>
      </c>
      <c r="AG48" s="25">
        <f>Ohj.lask.[[#This Row],[Perus-, suoritus- ja vaikuttavuusrahoitus yhteensä, €]]+Ohj.lask.[[#This Row],[Alv-korvaus, €]]</f>
        <v>429986</v>
      </c>
    </row>
    <row r="49" spans="1:33" x14ac:dyDescent="0.2">
      <c r="A49" s="131" t="s">
        <v>363</v>
      </c>
      <c r="B49" s="16" t="s">
        <v>60</v>
      </c>
      <c r="C49" s="16" t="s">
        <v>238</v>
      </c>
      <c r="D49" s="16" t="s">
        <v>412</v>
      </c>
      <c r="E49" s="16" t="s">
        <v>474</v>
      </c>
      <c r="F49" s="114">
        <v>23</v>
      </c>
      <c r="G49" s="122">
        <f>0</f>
        <v>0</v>
      </c>
      <c r="H49" s="35">
        <f t="shared" si="2"/>
        <v>23</v>
      </c>
      <c r="I49" s="17">
        <f>IFERROR(VLOOKUP($A49,'2.1 Toteut. op.vuodet'!$A:$Q,COLUMN('2.1 Toteut. op.vuodet'!Q:Q),FALSE),0)</f>
        <v>0.81720524376938497</v>
      </c>
      <c r="J49" s="11">
        <f t="shared" si="3"/>
        <v>18.8</v>
      </c>
      <c r="K49" s="18">
        <f>IFERROR(Ohj.lask.[[#This Row],[Painotetut opiskelija-vuodet]]/Ohj.lask.[[#Totals],[Painotetut opiskelija-vuodet]],0)</f>
        <v>9.3996146158007476E-5</v>
      </c>
      <c r="L49" s="19">
        <f>ROUND(IFERROR('1.1 Jakotaulu'!L$10*Ohj.lask.[[#This Row],[%-osuus 1]],0),0)</f>
        <v>109597</v>
      </c>
      <c r="M49" s="211">
        <f>IFERROR(ROUND(VLOOKUP($A49,'2.2 Tutk. ja osien pain. pist.'!$A:$Q,COLUMN('2.2 Tutk. ja osien pain. pist.'!P:P),FALSE),1),0)</f>
        <v>1194.4000000000001</v>
      </c>
      <c r="N49" s="18">
        <f>IFERROR(Ohj.lask.[[#This Row],[Painotetut pisteet 2]]/Ohj.lask.[[#Totals],[Painotetut pisteet 2]],0)</f>
        <v>7.6327245421796766E-5</v>
      </c>
      <c r="O49" s="25">
        <f>ROUND(IFERROR('1.1 Jakotaulu'!K$11*Ohj.lask.[[#This Row],[%-osuus 2]],0),0)</f>
        <v>28262</v>
      </c>
      <c r="P49" s="233">
        <f>IFERROR(ROUND(VLOOKUP($A49,'2.3 Työll. ja jatko-opisk.'!$A:$K,COLUMN('2.3 Työll. ja jatko-opisk.'!I:I),FALSE),1),0)</f>
        <v>31.9</v>
      </c>
      <c r="Q49" s="18">
        <f>IFERROR(Ohj.lask.[[#This Row],[Painotetut pisteet 3]]/Ohj.lask.[[#Totals],[Painotetut pisteet 3]],0)</f>
        <v>1.6840100343770324E-4</v>
      </c>
      <c r="R49" s="19">
        <f>ROUND(IFERROR('1.1 Jakotaulu'!L$13*Ohj.lask.[[#This Row],[%-osuus 3]],0),0)</f>
        <v>23383</v>
      </c>
      <c r="S49" s="211">
        <f>IFERROR(ROUND(VLOOKUP($A49,'2.4 Aloittaneet palaute'!$A:$K,COLUMN('2.4 Aloittaneet palaute'!J:J),FALSE),1),0)</f>
        <v>256</v>
      </c>
      <c r="T49" s="22">
        <f>IFERROR(Ohj.lask.[[#This Row],[Painotetut pisteet 4]]/Ohj.lask.[[#Totals],[Painotetut pisteet 4]],0)</f>
        <v>2.0561641230202991E-4</v>
      </c>
      <c r="U49" s="25">
        <f>ROUND(IFERROR('1.1 Jakotaulu'!M$16*Ohj.lask.[[#This Row],[%-osuus 4]],0),0)</f>
        <v>2379</v>
      </c>
      <c r="V49" s="235">
        <f>IFERROR(ROUND(VLOOKUP($A49,'2.5 Päättäneet palaute'!$A:$AC,COLUMN('2.5 Päättäneet palaute'!AB:AB),FALSE),1),0)</f>
        <v>3031.1</v>
      </c>
      <c r="W49" s="22">
        <f>IFERROR(Ohj.lask.[[#This Row],[Painotetut pisteet 5]]/Ohj.lask.[[#Totals],[Painotetut pisteet 5]],0)</f>
        <v>4.5772525032411189E-4</v>
      </c>
      <c r="X49" s="19">
        <f>ROUND(IFERROR('1.1 Jakotaulu'!M$17*Ohj.lask.[[#This Row],[%-osuus 5]],0),0)</f>
        <v>15889</v>
      </c>
      <c r="Y49" s="21">
        <f>IFERROR(Ohj.lask.[[#This Row],[Jaettava € 6]]/Ohj.lask.[[#Totals],[Jaettava € 6]],"")</f>
        <v>1.0428230792396462E-4</v>
      </c>
      <c r="Z49" s="25">
        <f>IFERROR(Ohj.lask.[[#This Row],[Jaettava € 1]]+Ohj.lask.[[#This Row],[Jaettava € 2]]+Ohj.lask.[[#This Row],[Jaettava € 3]]+Ohj.lask.[[#This Row],[Jaettava € 4]]+Ohj.lask.[[#This Row],[Jaettava € 5]],"")</f>
        <v>179510</v>
      </c>
      <c r="AA49" s="123">
        <f>0</f>
        <v>0</v>
      </c>
      <c r="AB49" s="19">
        <f>Ohj.lask.[[#This Row],[Jaettava € 1]]+Ohj.lask.[[#This Row],[Jaettava €]]</f>
        <v>109597</v>
      </c>
      <c r="AC49" s="107">
        <f>Ohj.lask.[[#This Row],[Jaettava € 2]]</f>
        <v>28262</v>
      </c>
      <c r="AD49" s="19">
        <f>Ohj.lask.[[#This Row],[Jaettava € 3]]+Ohj.lask.[[#This Row],[Jaettava € 4]]+Ohj.lask.[[#This Row],[Jaettava € 5]]</f>
        <v>41651</v>
      </c>
      <c r="AE49" s="36">
        <f>Ohj.lask.[[#This Row],[Jaettava € 6]]+Ohj.lask.[[#This Row],[Jaettava €]]</f>
        <v>179510</v>
      </c>
      <c r="AF49" s="36">
        <f>IFERROR(VLOOKUP(Ohj.lask.[[#This Row],[Y-tunnus]],'3.1 Alv vahvistettu'!A:Y,COLUMN(C:C),FALSE),0)</f>
        <v>0</v>
      </c>
      <c r="AG49" s="25">
        <f>Ohj.lask.[[#This Row],[Perus-, suoritus- ja vaikuttavuusrahoitus yhteensä, €]]+Ohj.lask.[[#This Row],[Alv-korvaus, €]]</f>
        <v>179510</v>
      </c>
    </row>
    <row r="50" spans="1:33" x14ac:dyDescent="0.2">
      <c r="A50" s="131" t="s">
        <v>362</v>
      </c>
      <c r="B50" s="16" t="s">
        <v>61</v>
      </c>
      <c r="C50" s="16" t="s">
        <v>236</v>
      </c>
      <c r="D50" s="16" t="s">
        <v>412</v>
      </c>
      <c r="E50" s="16" t="s">
        <v>474</v>
      </c>
      <c r="F50" s="114">
        <v>664</v>
      </c>
      <c r="G50" s="122">
        <f>0</f>
        <v>0</v>
      </c>
      <c r="H50" s="35">
        <f t="shared" si="2"/>
        <v>664</v>
      </c>
      <c r="I50" s="17">
        <f>IFERROR(VLOOKUP($A50,'2.1 Toteut. op.vuodet'!$A:$Q,COLUMN('2.1 Toteut. op.vuodet'!Q:Q),FALSE),0)</f>
        <v>0.73244446377111383</v>
      </c>
      <c r="J50" s="11">
        <f t="shared" si="3"/>
        <v>486.3</v>
      </c>
      <c r="K50" s="18">
        <f>IFERROR(Ohj.lask.[[#This Row],[Painotetut opiskelija-vuodet]]/Ohj.lask.[[#Totals],[Painotetut opiskelija-vuodet]],0)</f>
        <v>2.4314003125871829E-3</v>
      </c>
      <c r="L50" s="19">
        <f>ROUND(IFERROR('1.1 Jakotaulu'!L$10*Ohj.lask.[[#This Row],[%-osuus 1]],0),0)</f>
        <v>2834939</v>
      </c>
      <c r="M50" s="211">
        <f>IFERROR(ROUND(VLOOKUP($A50,'2.2 Tutk. ja osien pain. pist.'!$A:$Q,COLUMN('2.2 Tutk. ja osien pain. pist.'!P:P),FALSE),1),0)</f>
        <v>44141.599999999999</v>
      </c>
      <c r="N50" s="18">
        <f>IFERROR(Ohj.lask.[[#This Row],[Painotetut pisteet 2]]/Ohj.lask.[[#Totals],[Painotetut pisteet 2]],0)</f>
        <v>2.820836182611172E-3</v>
      </c>
      <c r="O50" s="25">
        <f>ROUND(IFERROR('1.1 Jakotaulu'!K$11*Ohj.lask.[[#This Row],[%-osuus 2]],0),0)</f>
        <v>1044491</v>
      </c>
      <c r="P50" s="233">
        <f>IFERROR(ROUND(VLOOKUP($A50,'2.3 Työll. ja jatko-opisk.'!$A:$K,COLUMN('2.3 Työll. ja jatko-opisk.'!I:I),FALSE),1),0)</f>
        <v>787.6</v>
      </c>
      <c r="Q50" s="18">
        <f>IFERROR(Ohj.lask.[[#This Row],[Painotetut pisteet 3]]/Ohj.lask.[[#Totals],[Painotetut pisteet 3]],0)</f>
        <v>4.1577627055653628E-3</v>
      </c>
      <c r="R50" s="19">
        <f>ROUND(IFERROR('1.1 Jakotaulu'!L$13*Ohj.lask.[[#This Row],[%-osuus 3]],0),0)</f>
        <v>577321</v>
      </c>
      <c r="S50" s="211">
        <f>IFERROR(ROUND(VLOOKUP($A50,'2.4 Aloittaneet palaute'!$A:$K,COLUMN('2.4 Aloittaneet palaute'!J:J),FALSE),1),0)</f>
        <v>8324.5</v>
      </c>
      <c r="T50" s="22">
        <f>IFERROR(Ohj.lask.[[#This Row],[Painotetut pisteet 4]]/Ohj.lask.[[#Totals],[Painotetut pisteet 4]],0)</f>
        <v>6.6861477508134686E-3</v>
      </c>
      <c r="U50" s="25">
        <f>ROUND(IFERROR('1.1 Jakotaulu'!M$16*Ohj.lask.[[#This Row],[%-osuus 4]],0),0)</f>
        <v>77366</v>
      </c>
      <c r="V50" s="235">
        <f>IFERROR(ROUND(VLOOKUP($A50,'2.5 Päättäneet palaute'!$A:$AC,COLUMN('2.5 Päättäneet palaute'!AB:AB),FALSE),1),0)</f>
        <v>51291.6</v>
      </c>
      <c r="W50" s="22">
        <f>IFERROR(Ohj.lask.[[#This Row],[Painotetut pisteet 5]]/Ohj.lask.[[#Totals],[Painotetut pisteet 5]],0)</f>
        <v>7.7455248753007877E-3</v>
      </c>
      <c r="X50" s="19">
        <f>ROUND(IFERROR('1.1 Jakotaulu'!M$17*Ohj.lask.[[#This Row],[%-osuus 5]],0),0)</f>
        <v>268874</v>
      </c>
      <c r="Y50" s="21">
        <f>IFERROR(Ohj.lask.[[#This Row],[Jaettava € 6]]/Ohj.lask.[[#Totals],[Jaettava € 6]],"")</f>
        <v>2.7901898859006785E-3</v>
      </c>
      <c r="Z50" s="25">
        <f>IFERROR(Ohj.lask.[[#This Row],[Jaettava € 1]]+Ohj.lask.[[#This Row],[Jaettava € 2]]+Ohj.lask.[[#This Row],[Jaettava € 3]]+Ohj.lask.[[#This Row],[Jaettava € 4]]+Ohj.lask.[[#This Row],[Jaettava € 5]],"")</f>
        <v>4802991</v>
      </c>
      <c r="AA50" s="123">
        <f>0</f>
        <v>0</v>
      </c>
      <c r="AB50" s="19">
        <f>Ohj.lask.[[#This Row],[Jaettava € 1]]+Ohj.lask.[[#This Row],[Jaettava €]]</f>
        <v>2834939</v>
      </c>
      <c r="AC50" s="107">
        <f>Ohj.lask.[[#This Row],[Jaettava € 2]]</f>
        <v>1044491</v>
      </c>
      <c r="AD50" s="19">
        <f>Ohj.lask.[[#This Row],[Jaettava € 3]]+Ohj.lask.[[#This Row],[Jaettava € 4]]+Ohj.lask.[[#This Row],[Jaettava € 5]]</f>
        <v>923561</v>
      </c>
      <c r="AE50" s="36">
        <f>Ohj.lask.[[#This Row],[Jaettava € 6]]+Ohj.lask.[[#This Row],[Jaettava €]]</f>
        <v>4802991</v>
      </c>
      <c r="AF50" s="36">
        <f>IFERROR(VLOOKUP(Ohj.lask.[[#This Row],[Y-tunnus]],'3.1 Alv vahvistettu'!A:Y,COLUMN(C:C),FALSE),0)</f>
        <v>414460.94</v>
      </c>
      <c r="AG50" s="25">
        <f>Ohj.lask.[[#This Row],[Perus-, suoritus- ja vaikuttavuusrahoitus yhteensä, €]]+Ohj.lask.[[#This Row],[Alv-korvaus, €]]</f>
        <v>5217451.9400000004</v>
      </c>
    </row>
    <row r="51" spans="1:33" x14ac:dyDescent="0.2">
      <c r="A51" s="131" t="s">
        <v>361</v>
      </c>
      <c r="B51" s="16" t="s">
        <v>62</v>
      </c>
      <c r="C51" s="98" t="s">
        <v>343</v>
      </c>
      <c r="D51" s="98" t="s">
        <v>412</v>
      </c>
      <c r="E51" s="98" t="s">
        <v>474</v>
      </c>
      <c r="F51" s="113">
        <v>69</v>
      </c>
      <c r="G51" s="122">
        <f>0</f>
        <v>0</v>
      </c>
      <c r="H51" s="35">
        <f t="shared" si="2"/>
        <v>69</v>
      </c>
      <c r="I51" s="17">
        <f>IFERROR(VLOOKUP($A51,'2.1 Toteut. op.vuodet'!$A:$Q,COLUMN('2.1 Toteut. op.vuodet'!Q:Q),FALSE),0)</f>
        <v>1.0404015191013496</v>
      </c>
      <c r="J51" s="11">
        <f t="shared" si="3"/>
        <v>71.8</v>
      </c>
      <c r="K51" s="18">
        <f>IFERROR(Ohj.lask.[[#This Row],[Painotetut opiskelija-vuodet]]/Ohj.lask.[[#Totals],[Painotetut opiskelija-vuodet]],0)</f>
        <v>3.5898528160345408E-4</v>
      </c>
      <c r="L51" s="19">
        <f>ROUND(IFERROR('1.1 Jakotaulu'!L$10*Ohj.lask.[[#This Row],[%-osuus 1]],0),0)</f>
        <v>418566</v>
      </c>
      <c r="M51" s="211">
        <f>IFERROR(ROUND(VLOOKUP($A51,'2.2 Tutk. ja osien pain. pist.'!$A:$Q,COLUMN('2.2 Tutk. ja osien pain. pist.'!P:P),FALSE),1),0)</f>
        <v>7405.1</v>
      </c>
      <c r="N51" s="18">
        <f>IFERROR(Ohj.lask.[[#This Row],[Painotetut pisteet 2]]/Ohj.lask.[[#Totals],[Painotetut pisteet 2]],0)</f>
        <v>4.7321741884875018E-4</v>
      </c>
      <c r="O51" s="25">
        <f>ROUND(IFERROR('1.1 Jakotaulu'!K$11*Ohj.lask.[[#This Row],[%-osuus 2]],0),0)</f>
        <v>175222</v>
      </c>
      <c r="P51" s="233">
        <f>IFERROR(ROUND(VLOOKUP($A51,'2.3 Työll. ja jatko-opisk.'!$A:$K,COLUMN('2.3 Työll. ja jatko-opisk.'!I:I),FALSE),1),0)</f>
        <v>87.9</v>
      </c>
      <c r="Q51" s="22">
        <f>IFERROR(Ohj.lask.[[#This Row],[Painotetut pisteet 3]]/Ohj.lask.[[#Totals],[Painotetut pisteet 3]],0)</f>
        <v>4.6402658940984692E-4</v>
      </c>
      <c r="R51" s="19">
        <f>ROUND(IFERROR('1.1 Jakotaulu'!L$13*Ohj.lask.[[#This Row],[%-osuus 3]],0),0)</f>
        <v>64432</v>
      </c>
      <c r="S51" s="211">
        <f>IFERROR(ROUND(VLOOKUP($A51,'2.4 Aloittaneet palaute'!$A:$K,COLUMN('2.4 Aloittaneet palaute'!J:J),FALSE),1),0)</f>
        <v>405.9</v>
      </c>
      <c r="T51" s="22">
        <f>IFERROR(Ohj.lask.[[#This Row],[Painotetut pisteet 4]]/Ohj.lask.[[#Totals],[Painotetut pisteet 4]],0)</f>
        <v>3.2601445997419503E-4</v>
      </c>
      <c r="U51" s="25">
        <f>ROUND(IFERROR('1.1 Jakotaulu'!M$16*Ohj.lask.[[#This Row],[%-osuus 4]],0),0)</f>
        <v>3772</v>
      </c>
      <c r="V51" s="235">
        <f>IFERROR(ROUND(VLOOKUP($A51,'2.5 Päättäneet palaute'!$A:$AC,COLUMN('2.5 Päättäneet palaute'!AB:AB),FALSE),1),0)</f>
        <v>3149.3</v>
      </c>
      <c r="W51" s="22">
        <f>IFERROR(Ohj.lask.[[#This Row],[Painotetut pisteet 5]]/Ohj.lask.[[#Totals],[Painotetut pisteet 5]],0)</f>
        <v>4.7557458706269195E-4</v>
      </c>
      <c r="X51" s="19">
        <f>ROUND(IFERROR('1.1 Jakotaulu'!M$17*Ohj.lask.[[#This Row],[%-osuus 5]],0),0)</f>
        <v>16509</v>
      </c>
      <c r="Y51" s="21">
        <f>IFERROR(Ohj.lask.[[#This Row],[Jaettava € 6]]/Ohj.lask.[[#Totals],[Jaettava € 6]],"")</f>
        <v>3.9415993654235375E-4</v>
      </c>
      <c r="Z51" s="25">
        <f>IFERROR(Ohj.lask.[[#This Row],[Jaettava € 1]]+Ohj.lask.[[#This Row],[Jaettava € 2]]+Ohj.lask.[[#This Row],[Jaettava € 3]]+Ohj.lask.[[#This Row],[Jaettava € 4]]+Ohj.lask.[[#This Row],[Jaettava € 5]],"")</f>
        <v>678501</v>
      </c>
      <c r="AA51" s="123">
        <f>0</f>
        <v>0</v>
      </c>
      <c r="AB51" s="19">
        <f>Ohj.lask.[[#This Row],[Jaettava € 1]]+Ohj.lask.[[#This Row],[Jaettava €]]</f>
        <v>418566</v>
      </c>
      <c r="AC51" s="107">
        <f>Ohj.lask.[[#This Row],[Jaettava € 2]]</f>
        <v>175222</v>
      </c>
      <c r="AD51" s="19">
        <f>Ohj.lask.[[#This Row],[Jaettava € 3]]+Ohj.lask.[[#This Row],[Jaettava € 4]]+Ohj.lask.[[#This Row],[Jaettava € 5]]</f>
        <v>84713</v>
      </c>
      <c r="AE51" s="36">
        <f>Ohj.lask.[[#This Row],[Jaettava € 6]]+Ohj.lask.[[#This Row],[Jaettava €]]</f>
        <v>678501</v>
      </c>
      <c r="AF51" s="36">
        <f>IFERROR(VLOOKUP(Ohj.lask.[[#This Row],[Y-tunnus]],'3.1 Alv vahvistettu'!A:Y,COLUMN(C:C),FALSE),0)</f>
        <v>33708.32</v>
      </c>
      <c r="AG51" s="25">
        <f>Ohj.lask.[[#This Row],[Perus-, suoritus- ja vaikuttavuusrahoitus yhteensä, €]]+Ohj.lask.[[#This Row],[Alv-korvaus, €]]</f>
        <v>712209.32</v>
      </c>
    </row>
    <row r="52" spans="1:33" x14ac:dyDescent="0.2">
      <c r="A52" s="131" t="s">
        <v>360</v>
      </c>
      <c r="B52" s="16" t="s">
        <v>63</v>
      </c>
      <c r="C52" s="16" t="s">
        <v>236</v>
      </c>
      <c r="D52" s="16" t="s">
        <v>412</v>
      </c>
      <c r="E52" s="16" t="s">
        <v>474</v>
      </c>
      <c r="F52" s="114">
        <v>83</v>
      </c>
      <c r="G52" s="122">
        <f>0</f>
        <v>0</v>
      </c>
      <c r="H52" s="35">
        <f t="shared" si="2"/>
        <v>83</v>
      </c>
      <c r="I52" s="17">
        <f>IFERROR(VLOOKUP($A52,'2.1 Toteut. op.vuodet'!$A:$Q,COLUMN('2.1 Toteut. op.vuodet'!Q:Q),FALSE),0)</f>
        <v>1.0001624451346673</v>
      </c>
      <c r="J52" s="11">
        <f t="shared" si="3"/>
        <v>83</v>
      </c>
      <c r="K52" s="18">
        <f>IFERROR(Ohj.lask.[[#This Row],[Painotetut opiskelija-vuodet]]/Ohj.lask.[[#Totals],[Painotetut opiskelija-vuodet]],0)</f>
        <v>4.1498298569758621E-4</v>
      </c>
      <c r="L52" s="19">
        <f>ROUND(IFERROR('1.1 Jakotaulu'!L$10*Ohj.lask.[[#This Row],[%-osuus 1]],0),0)</f>
        <v>483858</v>
      </c>
      <c r="M52" s="211">
        <f>IFERROR(ROUND(VLOOKUP($A52,'2.2 Tutk. ja osien pain. pist.'!$A:$Q,COLUMN('2.2 Tutk. ja osien pain. pist.'!P:P),FALSE),1),0)</f>
        <v>4908.7</v>
      </c>
      <c r="N52" s="18">
        <f>IFERROR(Ohj.lask.[[#This Row],[Painotetut pisteet 2]]/Ohj.lask.[[#Totals],[Painotetut pisteet 2]],0)</f>
        <v>3.1368682987439195E-4</v>
      </c>
      <c r="O52" s="25">
        <f>ROUND(IFERROR('1.1 Jakotaulu'!K$11*Ohj.lask.[[#This Row],[%-osuus 2]],0),0)</f>
        <v>116151</v>
      </c>
      <c r="P52" s="233">
        <f>IFERROR(ROUND(VLOOKUP($A52,'2.3 Työll. ja jatko-opisk.'!$A:$K,COLUMN('2.3 Työll. ja jatko-opisk.'!I:I),FALSE),1),0)</f>
        <v>45.3</v>
      </c>
      <c r="Q52" s="18">
        <f>IFERROR(Ohj.lask.[[#This Row],[Painotetut pisteet 3]]/Ohj.lask.[[#Totals],[Painotetut pisteet 3]],0)</f>
        <v>2.3913998293818048E-4</v>
      </c>
      <c r="R52" s="19">
        <f>ROUND(IFERROR('1.1 Jakotaulu'!L$13*Ohj.lask.[[#This Row],[%-osuus 3]],0),0)</f>
        <v>33206</v>
      </c>
      <c r="S52" s="211">
        <f>IFERROR(ROUND(VLOOKUP($A52,'2.4 Aloittaneet palaute'!$A:$K,COLUMN('2.4 Aloittaneet palaute'!J:J),FALSE),1),0)</f>
        <v>486.9</v>
      </c>
      <c r="T52" s="22">
        <f>IFERROR(Ohj.lask.[[#This Row],[Painotetut pisteet 4]]/Ohj.lask.[[#Totals],[Painotetut pisteet 4]],0)</f>
        <v>3.9107277792913421E-4</v>
      </c>
      <c r="U52" s="25">
        <f>ROUND(IFERROR('1.1 Jakotaulu'!M$16*Ohj.lask.[[#This Row],[%-osuus 4]],0),0)</f>
        <v>4525</v>
      </c>
      <c r="V52" s="235">
        <f>IFERROR(ROUND(VLOOKUP($A52,'2.5 Päättäneet palaute'!$A:$AC,COLUMN('2.5 Päättäneet palaute'!AB:AB),FALSE),1),0)</f>
        <v>0</v>
      </c>
      <c r="W52" s="22">
        <f>IFERROR(Ohj.lask.[[#This Row],[Painotetut pisteet 5]]/Ohj.lask.[[#Totals],[Painotetut pisteet 5]],0)</f>
        <v>0</v>
      </c>
      <c r="X52" s="19">
        <f>ROUND(IFERROR('1.1 Jakotaulu'!M$17*Ohj.lask.[[#This Row],[%-osuus 5]],0),0)</f>
        <v>0</v>
      </c>
      <c r="Y52" s="21">
        <f>IFERROR(Ohj.lask.[[#This Row],[Jaettava € 6]]/Ohj.lask.[[#Totals],[Jaettava € 6]],"")</f>
        <v>3.7048074789944405E-4</v>
      </c>
      <c r="Z52" s="25">
        <f>IFERROR(Ohj.lask.[[#This Row],[Jaettava € 1]]+Ohj.lask.[[#This Row],[Jaettava € 2]]+Ohj.lask.[[#This Row],[Jaettava € 3]]+Ohj.lask.[[#This Row],[Jaettava € 4]]+Ohj.lask.[[#This Row],[Jaettava € 5]],"")</f>
        <v>637740</v>
      </c>
      <c r="AA52" s="123">
        <f>0</f>
        <v>0</v>
      </c>
      <c r="AB52" s="19">
        <f>Ohj.lask.[[#This Row],[Jaettava € 1]]+Ohj.lask.[[#This Row],[Jaettava €]]</f>
        <v>483858</v>
      </c>
      <c r="AC52" s="107">
        <f>Ohj.lask.[[#This Row],[Jaettava € 2]]</f>
        <v>116151</v>
      </c>
      <c r="AD52" s="19">
        <f>Ohj.lask.[[#This Row],[Jaettava € 3]]+Ohj.lask.[[#This Row],[Jaettava € 4]]+Ohj.lask.[[#This Row],[Jaettava € 5]]</f>
        <v>37731</v>
      </c>
      <c r="AE52" s="36">
        <f>Ohj.lask.[[#This Row],[Jaettava € 6]]+Ohj.lask.[[#This Row],[Jaettava €]]</f>
        <v>637740</v>
      </c>
      <c r="AF52" s="36">
        <f>IFERROR(VLOOKUP(Ohj.lask.[[#This Row],[Y-tunnus]],'3.1 Alv vahvistettu'!A:Y,COLUMN(C:C),FALSE),0)</f>
        <v>37375.14</v>
      </c>
      <c r="AG52" s="25">
        <f>Ohj.lask.[[#This Row],[Perus-, suoritus- ja vaikuttavuusrahoitus yhteensä, €]]+Ohj.lask.[[#This Row],[Alv-korvaus, €]]</f>
        <v>675115.14</v>
      </c>
    </row>
    <row r="53" spans="1:33" x14ac:dyDescent="0.2">
      <c r="A53" s="131" t="s">
        <v>359</v>
      </c>
      <c r="B53" s="16" t="s">
        <v>64</v>
      </c>
      <c r="C53" s="98" t="s">
        <v>294</v>
      </c>
      <c r="D53" s="98" t="s">
        <v>411</v>
      </c>
      <c r="E53" s="98" t="s">
        <v>474</v>
      </c>
      <c r="F53" s="113">
        <v>2434</v>
      </c>
      <c r="G53" s="122">
        <f>0</f>
        <v>0</v>
      </c>
      <c r="H53" s="35">
        <f t="shared" si="2"/>
        <v>2434</v>
      </c>
      <c r="I53" s="17">
        <f>IFERROR(VLOOKUP($A53,'2.1 Toteut. op.vuodet'!$A:$Q,COLUMN('2.1 Toteut. op.vuodet'!Q:Q),FALSE),0)</f>
        <v>1.0488158990349257</v>
      </c>
      <c r="J53" s="11">
        <f t="shared" si="3"/>
        <v>2552.8000000000002</v>
      </c>
      <c r="K53" s="18">
        <f>IFERROR(Ohj.lask.[[#This Row],[Painotetut opiskelija-vuodet]]/Ohj.lask.[[#Totals],[Painotetut opiskelija-vuodet]],0)</f>
        <v>1.2763476697455398E-2</v>
      </c>
      <c r="L53" s="19">
        <f>ROUND(IFERROR('1.1 Jakotaulu'!L$10*Ohj.lask.[[#This Row],[%-osuus 1]],0),0)</f>
        <v>14881825</v>
      </c>
      <c r="M53" s="211">
        <f>IFERROR(ROUND(VLOOKUP($A53,'2.2 Tutk. ja osien pain. pist.'!$A:$Q,COLUMN('2.2 Tutk. ja osien pain. pist.'!P:P),FALSE),1),0)</f>
        <v>203060.4</v>
      </c>
      <c r="N53" s="18">
        <f>IFERROR(Ohj.lask.[[#This Row],[Painotetut pisteet 2]]/Ohj.lask.[[#Totals],[Painotetut pisteet 2]],0)</f>
        <v>1.2976424134501187E-2</v>
      </c>
      <c r="O53" s="25">
        <f>ROUND(IFERROR('1.1 Jakotaulu'!K$11*Ohj.lask.[[#This Row],[%-osuus 2]],0),0)</f>
        <v>4804871</v>
      </c>
      <c r="P53" s="233">
        <f>IFERROR(ROUND(VLOOKUP($A53,'2.3 Työll. ja jatko-opisk.'!$A:$K,COLUMN('2.3 Työll. ja jatko-opisk.'!I:I),FALSE),1),0)</f>
        <v>2695.8</v>
      </c>
      <c r="Q53" s="22">
        <f>IFERROR(Ohj.lask.[[#This Row],[Painotetut pisteet 3]]/Ohj.lask.[[#Totals],[Painotetut pisteet 3]],0)</f>
        <v>1.4231204547566158E-2</v>
      </c>
      <c r="R53" s="19">
        <f>ROUND(IFERROR('1.1 Jakotaulu'!L$13*Ohj.lask.[[#This Row],[%-osuus 3]],0),0)</f>
        <v>1976058</v>
      </c>
      <c r="S53" s="211">
        <f>IFERROR(ROUND(VLOOKUP($A53,'2.4 Aloittaneet palaute'!$A:$K,COLUMN('2.4 Aloittaneet palaute'!J:J),FALSE),1),0)</f>
        <v>22991.599999999999</v>
      </c>
      <c r="T53" s="22">
        <f>IFERROR(Ohj.lask.[[#This Row],[Painotetut pisteet 4]]/Ohj.lask.[[#Totals],[Painotetut pisteet 4]],0)</f>
        <v>1.8466602754231839E-2</v>
      </c>
      <c r="U53" s="25">
        <f>ROUND(IFERROR('1.1 Jakotaulu'!M$16*Ohj.lask.[[#This Row],[%-osuus 4]],0),0)</f>
        <v>213680</v>
      </c>
      <c r="V53" s="235">
        <f>IFERROR(ROUND(VLOOKUP($A53,'2.5 Päättäneet palaute'!$A:$AC,COLUMN('2.5 Päättäneet palaute'!AB:AB),FALSE),1),0)</f>
        <v>133430.39999999999</v>
      </c>
      <c r="W53" s="22">
        <f>IFERROR(Ohj.lask.[[#This Row],[Painotetut pisteet 5]]/Ohj.lask.[[#Totals],[Painotetut pisteet 5]],0)</f>
        <v>2.0149273610519738E-2</v>
      </c>
      <c r="X53" s="19">
        <f>ROUND(IFERROR('1.1 Jakotaulu'!M$17*Ohj.lask.[[#This Row],[%-osuus 5]],0),0)</f>
        <v>699451</v>
      </c>
      <c r="Y53" s="21">
        <f>IFERROR(Ohj.lask.[[#This Row],[Jaettava € 6]]/Ohj.lask.[[#Totals],[Jaettava € 6]],"")</f>
        <v>1.3114953992680152E-2</v>
      </c>
      <c r="Z53" s="25">
        <f>IFERROR(Ohj.lask.[[#This Row],[Jaettava € 1]]+Ohj.lask.[[#This Row],[Jaettava € 2]]+Ohj.lask.[[#This Row],[Jaettava € 3]]+Ohj.lask.[[#This Row],[Jaettava € 4]]+Ohj.lask.[[#This Row],[Jaettava € 5]],"")</f>
        <v>22575885</v>
      </c>
      <c r="AA53" s="123">
        <f>0</f>
        <v>0</v>
      </c>
      <c r="AB53" s="19">
        <f>Ohj.lask.[[#This Row],[Jaettava € 1]]+Ohj.lask.[[#This Row],[Jaettava €]]</f>
        <v>14881825</v>
      </c>
      <c r="AC53" s="107">
        <f>Ohj.lask.[[#This Row],[Jaettava € 2]]</f>
        <v>4804871</v>
      </c>
      <c r="AD53" s="19">
        <f>Ohj.lask.[[#This Row],[Jaettava € 3]]+Ohj.lask.[[#This Row],[Jaettava € 4]]+Ohj.lask.[[#This Row],[Jaettava € 5]]</f>
        <v>2889189</v>
      </c>
      <c r="AE53" s="36">
        <f>Ohj.lask.[[#This Row],[Jaettava € 6]]+Ohj.lask.[[#This Row],[Jaettava €]]</f>
        <v>22575885</v>
      </c>
      <c r="AF53" s="36">
        <f>IFERROR(VLOOKUP(Ohj.lask.[[#This Row],[Y-tunnus]],'3.1 Alv vahvistettu'!A:Y,COLUMN(C:C),FALSE),0)</f>
        <v>0</v>
      </c>
      <c r="AG53" s="25">
        <f>Ohj.lask.[[#This Row],[Perus-, suoritus- ja vaikuttavuusrahoitus yhteensä, €]]+Ohj.lask.[[#This Row],[Alv-korvaus, €]]</f>
        <v>22575885</v>
      </c>
    </row>
    <row r="54" spans="1:33" x14ac:dyDescent="0.2">
      <c r="A54" s="131" t="s">
        <v>345</v>
      </c>
      <c r="B54" s="16" t="s">
        <v>65</v>
      </c>
      <c r="C54" s="16" t="s">
        <v>343</v>
      </c>
      <c r="D54" s="16" t="s">
        <v>412</v>
      </c>
      <c r="E54" s="16" t="s">
        <v>474</v>
      </c>
      <c r="F54" s="114">
        <v>43</v>
      </c>
      <c r="G54" s="122">
        <f>0</f>
        <v>0</v>
      </c>
      <c r="H54" s="35">
        <f t="shared" si="2"/>
        <v>43</v>
      </c>
      <c r="I54" s="17">
        <f>IFERROR(VLOOKUP($A54,'2.1 Toteut. op.vuodet'!$A:$Q,COLUMN('2.1 Toteut. op.vuodet'!Q:Q),FALSE),0)</f>
        <v>1.5938119440914871</v>
      </c>
      <c r="J54" s="11">
        <f t="shared" si="3"/>
        <v>68.5</v>
      </c>
      <c r="K54" s="18">
        <f>IFERROR(Ohj.lask.[[#This Row],[Painotetut opiskelija-vuodet]]/Ohj.lask.[[#Totals],[Painotetut opiskelija-vuodet]],0)</f>
        <v>3.4248595807571871E-4</v>
      </c>
      <c r="L54" s="19">
        <f>ROUND(IFERROR('1.1 Jakotaulu'!L$10*Ohj.lask.[[#This Row],[%-osuus 1]],0),0)</f>
        <v>399328</v>
      </c>
      <c r="M54" s="211">
        <f>IFERROR(ROUND(VLOOKUP($A54,'2.2 Tutk. ja osien pain. pist.'!$A:$Q,COLUMN('2.2 Tutk. ja osien pain. pist.'!P:P),FALSE),1),0)</f>
        <v>8087.2</v>
      </c>
      <c r="N54" s="18">
        <f>IFERROR(Ohj.lask.[[#This Row],[Painotetut pisteet 2]]/Ohj.lask.[[#Totals],[Painotetut pisteet 2]],0)</f>
        <v>5.1680651304014961E-4</v>
      </c>
      <c r="O54" s="25">
        <f>ROUND(IFERROR('1.1 Jakotaulu'!K$11*Ohj.lask.[[#This Row],[%-osuus 2]],0),0)</f>
        <v>191362</v>
      </c>
      <c r="P54" s="233">
        <f>IFERROR(ROUND(VLOOKUP($A54,'2.3 Työll. ja jatko-opisk.'!$A:$K,COLUMN('2.3 Työll. ja jatko-opisk.'!I:I),FALSE),1),0)</f>
        <v>62.4</v>
      </c>
      <c r="Q54" s="18">
        <f>IFERROR(Ohj.lask.[[#This Row],[Painotetut pisteet 3]]/Ohj.lask.[[#Totals],[Painotetut pisteet 3]],0)</f>
        <v>3.2941136722610293E-4</v>
      </c>
      <c r="R54" s="19">
        <f>ROUND(IFERROR('1.1 Jakotaulu'!L$13*Ohj.lask.[[#This Row],[%-osuus 3]],0),0)</f>
        <v>45740</v>
      </c>
      <c r="S54" s="211">
        <f>IFERROR(ROUND(VLOOKUP($A54,'2.4 Aloittaneet palaute'!$A:$K,COLUMN('2.4 Aloittaneet palaute'!J:J),FALSE),1),0)</f>
        <v>892.2</v>
      </c>
      <c r="T54" s="22">
        <f>IFERROR(Ohj.lask.[[#This Row],[Painotetut pisteet 4]]/Ohj.lask.[[#Totals],[Painotetut pisteet 4]],0)</f>
        <v>7.1660532443699641E-4</v>
      </c>
      <c r="U54" s="25">
        <f>ROUND(IFERROR('1.1 Jakotaulu'!M$16*Ohj.lask.[[#This Row],[%-osuus 4]],0),0)</f>
        <v>8292</v>
      </c>
      <c r="V54" s="235">
        <f>IFERROR(ROUND(VLOOKUP($A54,'2.5 Päättäneet palaute'!$A:$AC,COLUMN('2.5 Päättäneet palaute'!AB:AB),FALSE),1),0)</f>
        <v>2149</v>
      </c>
      <c r="W54" s="22">
        <f>IFERROR(Ohj.lask.[[#This Row],[Painotetut pisteet 5]]/Ohj.lask.[[#Totals],[Painotetut pisteet 5]],0)</f>
        <v>3.2451966709990315E-4</v>
      </c>
      <c r="X54" s="19">
        <f>ROUND(IFERROR('1.1 Jakotaulu'!M$17*Ohj.lask.[[#This Row],[%-osuus 5]],0),0)</f>
        <v>11265</v>
      </c>
      <c r="Y54" s="21">
        <f>IFERROR(Ohj.lask.[[#This Row],[Jaettava € 6]]/Ohj.lask.[[#Totals],[Jaettava € 6]],"")</f>
        <v>3.8108093325228557E-4</v>
      </c>
      <c r="Z54" s="25">
        <f>IFERROR(Ohj.lask.[[#This Row],[Jaettava € 1]]+Ohj.lask.[[#This Row],[Jaettava € 2]]+Ohj.lask.[[#This Row],[Jaettava € 3]]+Ohj.lask.[[#This Row],[Jaettava € 4]]+Ohj.lask.[[#This Row],[Jaettava € 5]],"")</f>
        <v>655987</v>
      </c>
      <c r="AA54" s="123">
        <f>0</f>
        <v>0</v>
      </c>
      <c r="AB54" s="19">
        <f>Ohj.lask.[[#This Row],[Jaettava € 1]]+Ohj.lask.[[#This Row],[Jaettava €]]</f>
        <v>399328</v>
      </c>
      <c r="AC54" s="107">
        <f>Ohj.lask.[[#This Row],[Jaettava € 2]]</f>
        <v>191362</v>
      </c>
      <c r="AD54" s="19">
        <f>Ohj.lask.[[#This Row],[Jaettava € 3]]+Ohj.lask.[[#This Row],[Jaettava € 4]]+Ohj.lask.[[#This Row],[Jaettava € 5]]</f>
        <v>65297</v>
      </c>
      <c r="AE54" s="36">
        <f>Ohj.lask.[[#This Row],[Jaettava € 6]]+Ohj.lask.[[#This Row],[Jaettava €]]</f>
        <v>655987</v>
      </c>
      <c r="AF54" s="36">
        <f>IFERROR(VLOOKUP(Ohj.lask.[[#This Row],[Y-tunnus]],'3.1 Alv vahvistettu'!A:Y,COLUMN(C:C),FALSE),0)</f>
        <v>16009.52</v>
      </c>
      <c r="AG54" s="25">
        <f>Ohj.lask.[[#This Row],[Perus-, suoritus- ja vaikuttavuusrahoitus yhteensä, €]]+Ohj.lask.[[#This Row],[Alv-korvaus, €]]</f>
        <v>671996.52</v>
      </c>
    </row>
    <row r="55" spans="1:33" x14ac:dyDescent="0.2">
      <c r="A55" s="131" t="s">
        <v>344</v>
      </c>
      <c r="B55" s="16" t="s">
        <v>66</v>
      </c>
      <c r="C55" s="16" t="s">
        <v>343</v>
      </c>
      <c r="D55" s="16" t="s">
        <v>411</v>
      </c>
      <c r="E55" s="16" t="s">
        <v>474</v>
      </c>
      <c r="F55" s="114">
        <v>2572</v>
      </c>
      <c r="G55" s="122">
        <f>0</f>
        <v>0</v>
      </c>
      <c r="H55" s="35">
        <f t="shared" si="2"/>
        <v>2572</v>
      </c>
      <c r="I55" s="17">
        <f>IFERROR(VLOOKUP($A55,'2.1 Toteut. op.vuodet'!$A:$Q,COLUMN('2.1 Toteut. op.vuodet'!Q:Q),FALSE),0)</f>
        <v>1.1669756939625588</v>
      </c>
      <c r="J55" s="11">
        <f t="shared" si="3"/>
        <v>3001.5</v>
      </c>
      <c r="K55" s="18">
        <f>IFERROR(Ohj.lask.[[#This Row],[Painotetut opiskelija-vuodet]]/Ohj.lask.[[#Totals],[Painotetut opiskelija-vuodet]],0)</f>
        <v>1.5006884717726566E-2</v>
      </c>
      <c r="L55" s="19">
        <f>ROUND(IFERROR('1.1 Jakotaulu'!L$10*Ohj.lask.[[#This Row],[%-osuus 1]],0),0)</f>
        <v>17497570</v>
      </c>
      <c r="M55" s="211">
        <f>IFERROR(ROUND(VLOOKUP($A55,'2.2 Tutk. ja osien pain. pist.'!$A:$Q,COLUMN('2.2 Tutk. ja osien pain. pist.'!P:P),FALSE),1),0)</f>
        <v>250070.8</v>
      </c>
      <c r="N55" s="18">
        <f>IFERROR(Ohj.lask.[[#This Row],[Painotetut pisteet 2]]/Ohj.lask.[[#Totals],[Painotetut pisteet 2]],0)</f>
        <v>1.5980588851661967E-2</v>
      </c>
      <c r="O55" s="25">
        <f>ROUND(IFERROR('1.1 Jakotaulu'!K$11*Ohj.lask.[[#This Row],[%-osuus 2]],0),0)</f>
        <v>5917244</v>
      </c>
      <c r="P55" s="233">
        <f>IFERROR(ROUND(VLOOKUP($A55,'2.3 Työll. ja jatko-opisk.'!$A:$K,COLUMN('2.3 Työll. ja jatko-opisk.'!I:I),FALSE),1),0)</f>
        <v>3000.3</v>
      </c>
      <c r="Q55" s="18">
        <f>IFERROR(Ohj.lask.[[#This Row],[Painotetut pisteet 3]]/Ohj.lask.[[#Totals],[Painotetut pisteet 3]],0)</f>
        <v>1.5838668671289691E-2</v>
      </c>
      <c r="R55" s="19">
        <f>ROUND(IFERROR('1.1 Jakotaulu'!L$13*Ohj.lask.[[#This Row],[%-osuus 3]],0),0)</f>
        <v>2199261</v>
      </c>
      <c r="S55" s="211">
        <f>IFERROR(ROUND(VLOOKUP($A55,'2.4 Aloittaneet palaute'!$A:$K,COLUMN('2.4 Aloittaneet palaute'!J:J),FALSE),1),0)</f>
        <v>22859.5</v>
      </c>
      <c r="T55" s="22">
        <f>IFERROR(Ohj.lask.[[#This Row],[Painotetut pisteet 4]]/Ohj.lask.[[#Totals],[Painotetut pisteet 4]],0)</f>
        <v>1.8360501472727549E-2</v>
      </c>
      <c r="U55" s="25">
        <f>ROUND(IFERROR('1.1 Jakotaulu'!M$16*Ohj.lask.[[#This Row],[%-osuus 4]],0),0)</f>
        <v>212452</v>
      </c>
      <c r="V55" s="235">
        <f>IFERROR(ROUND(VLOOKUP($A55,'2.5 Päättäneet palaute'!$A:$AC,COLUMN('2.5 Päättäneet palaute'!AB:AB),FALSE),1),0)</f>
        <v>121341.5</v>
      </c>
      <c r="W55" s="22">
        <f>IFERROR(Ohj.lask.[[#This Row],[Painotetut pisteet 5]]/Ohj.lask.[[#Totals],[Painotetut pisteet 5]],0)</f>
        <v>1.8323733450629549E-2</v>
      </c>
      <c r="X55" s="19">
        <f>ROUND(IFERROR('1.1 Jakotaulu'!M$17*Ohj.lask.[[#This Row],[%-osuus 5]],0),0)</f>
        <v>636080</v>
      </c>
      <c r="Y55" s="21">
        <f>IFERROR(Ohj.lask.[[#This Row],[Jaettava € 6]]/Ohj.lask.[[#Totals],[Jaettava € 6]],"")</f>
        <v>1.5372857955795564E-2</v>
      </c>
      <c r="Z55" s="25">
        <f>IFERROR(Ohj.lask.[[#This Row],[Jaettava € 1]]+Ohj.lask.[[#This Row],[Jaettava € 2]]+Ohj.lask.[[#This Row],[Jaettava € 3]]+Ohj.lask.[[#This Row],[Jaettava € 4]]+Ohj.lask.[[#This Row],[Jaettava € 5]],"")</f>
        <v>26462607</v>
      </c>
      <c r="AA55" s="123">
        <f>0</f>
        <v>0</v>
      </c>
      <c r="AB55" s="19">
        <f>Ohj.lask.[[#This Row],[Jaettava € 1]]+Ohj.lask.[[#This Row],[Jaettava €]]</f>
        <v>17497570</v>
      </c>
      <c r="AC55" s="107">
        <f>Ohj.lask.[[#This Row],[Jaettava € 2]]</f>
        <v>5917244</v>
      </c>
      <c r="AD55" s="19">
        <f>Ohj.lask.[[#This Row],[Jaettava € 3]]+Ohj.lask.[[#This Row],[Jaettava € 4]]+Ohj.lask.[[#This Row],[Jaettava € 5]]</f>
        <v>3047793</v>
      </c>
      <c r="AE55" s="36">
        <f>Ohj.lask.[[#This Row],[Jaettava € 6]]+Ohj.lask.[[#This Row],[Jaettava €]]</f>
        <v>26462607</v>
      </c>
      <c r="AF55" s="36">
        <f>IFERROR(VLOOKUP(Ohj.lask.[[#This Row],[Y-tunnus]],'3.1 Alv vahvistettu'!A:Y,COLUMN(C:C),FALSE),0)</f>
        <v>0</v>
      </c>
      <c r="AG55" s="25">
        <f>Ohj.lask.[[#This Row],[Perus-, suoritus- ja vaikuttavuusrahoitus yhteensä, €]]+Ohj.lask.[[#This Row],[Alv-korvaus, €]]</f>
        <v>26462607</v>
      </c>
    </row>
    <row r="56" spans="1:33" x14ac:dyDescent="0.2">
      <c r="A56" s="131" t="s">
        <v>338</v>
      </c>
      <c r="B56" s="16" t="s">
        <v>67</v>
      </c>
      <c r="C56" s="16" t="s">
        <v>236</v>
      </c>
      <c r="D56" s="16" t="s">
        <v>411</v>
      </c>
      <c r="E56" s="16" t="s">
        <v>474</v>
      </c>
      <c r="F56" s="114">
        <v>5059</v>
      </c>
      <c r="G56" s="122">
        <f>0</f>
        <v>0</v>
      </c>
      <c r="H56" s="35">
        <f t="shared" si="2"/>
        <v>5059</v>
      </c>
      <c r="I56" s="17">
        <f>IFERROR(VLOOKUP($A56,'2.1 Toteut. op.vuodet'!$A:$Q,COLUMN('2.1 Toteut. op.vuodet'!Q:Q),FALSE),0)</f>
        <v>1.0310418065536644</v>
      </c>
      <c r="J56" s="11">
        <f t="shared" si="3"/>
        <v>5216</v>
      </c>
      <c r="K56" s="18">
        <f>IFERROR(Ohj.lask.[[#This Row],[Painotetut opiskelija-vuodet]]/Ohj.lask.[[#Totals],[Painotetut opiskelija-vuodet]],0)</f>
        <v>2.607893076383867E-2</v>
      </c>
      <c r="L56" s="19">
        <f>ROUND(IFERROR('1.1 Jakotaulu'!L$10*Ohj.lask.[[#This Row],[%-osuus 1]],0),0)</f>
        <v>30407238</v>
      </c>
      <c r="M56" s="211">
        <f>IFERROR(ROUND(VLOOKUP($A56,'2.2 Tutk. ja osien pain. pist.'!$A:$Q,COLUMN('2.2 Tutk. ja osien pain. pist.'!P:P),FALSE),1),0)</f>
        <v>495621.1</v>
      </c>
      <c r="N56" s="18">
        <f>IFERROR(Ohj.lask.[[#This Row],[Painotetut pisteet 2]]/Ohj.lask.[[#Totals],[Painotetut pisteet 2]],0)</f>
        <v>3.1672298506296777E-2</v>
      </c>
      <c r="O56" s="25">
        <f>ROUND(IFERROR('1.1 Jakotaulu'!K$11*Ohj.lask.[[#This Row],[%-osuus 2]],0),0)</f>
        <v>11727524</v>
      </c>
      <c r="P56" s="233">
        <f>IFERROR(ROUND(VLOOKUP($A56,'2.3 Työll. ja jatko-opisk.'!$A:$K,COLUMN('2.3 Työll. ja jatko-opisk.'!I:I),FALSE),1),0)</f>
        <v>5304.7</v>
      </c>
      <c r="Q56" s="18">
        <f>IFERROR(Ohj.lask.[[#This Row],[Painotetut pisteet 3]]/Ohj.lask.[[#Totals],[Painotetut pisteet 3]],0)</f>
        <v>2.8003661534043399E-2</v>
      </c>
      <c r="R56" s="19">
        <f>ROUND(IFERROR('1.1 Jakotaulu'!L$13*Ohj.lask.[[#This Row],[%-osuus 3]],0),0)</f>
        <v>3888417</v>
      </c>
      <c r="S56" s="211">
        <f>IFERROR(ROUND(VLOOKUP($A56,'2.4 Aloittaneet palaute'!$A:$K,COLUMN('2.4 Aloittaneet palaute'!J:J),FALSE),1),0)</f>
        <v>8785.7000000000007</v>
      </c>
      <c r="T56" s="22">
        <f>IFERROR(Ohj.lask.[[#This Row],[Painotetut pisteet 4]]/Ohj.lask.[[#Totals],[Painotetut pisteet 4]],0)</f>
        <v>7.0565785686013448E-3</v>
      </c>
      <c r="U56" s="25">
        <f>ROUND(IFERROR('1.1 Jakotaulu'!M$16*Ohj.lask.[[#This Row],[%-osuus 4]],0),0)</f>
        <v>81653</v>
      </c>
      <c r="V56" s="235">
        <f>IFERROR(ROUND(VLOOKUP($A56,'2.5 Päättäneet palaute'!$A:$AC,COLUMN('2.5 Päättäneet palaute'!AB:AB),FALSE),1),0)</f>
        <v>151876</v>
      </c>
      <c r="W56" s="22">
        <f>IFERROR(Ohj.lask.[[#This Row],[Painotetut pisteet 5]]/Ohj.lask.[[#Totals],[Painotetut pisteet 5]],0)</f>
        <v>2.2934736603287525E-2</v>
      </c>
      <c r="X56" s="19">
        <f>ROUND(IFERROR('1.1 Jakotaulu'!M$17*Ohj.lask.[[#This Row],[%-osuus 5]],0),0)</f>
        <v>796144</v>
      </c>
      <c r="Y56" s="21">
        <f>IFERROR(Ohj.lask.[[#This Row],[Jaettava € 6]]/Ohj.lask.[[#Totals],[Jaettava € 6]],"")</f>
        <v>2.7246069974744998E-2</v>
      </c>
      <c r="Z56" s="25">
        <f>IFERROR(Ohj.lask.[[#This Row],[Jaettava € 1]]+Ohj.lask.[[#This Row],[Jaettava € 2]]+Ohj.lask.[[#This Row],[Jaettava € 3]]+Ohj.lask.[[#This Row],[Jaettava € 4]]+Ohj.lask.[[#This Row],[Jaettava € 5]],"")</f>
        <v>46900976</v>
      </c>
      <c r="AA56" s="123">
        <f>0</f>
        <v>0</v>
      </c>
      <c r="AB56" s="19">
        <f>Ohj.lask.[[#This Row],[Jaettava € 1]]+Ohj.lask.[[#This Row],[Jaettava €]]</f>
        <v>30407238</v>
      </c>
      <c r="AC56" s="107">
        <f>Ohj.lask.[[#This Row],[Jaettava € 2]]</f>
        <v>11727524</v>
      </c>
      <c r="AD56" s="19">
        <f>Ohj.lask.[[#This Row],[Jaettava € 3]]+Ohj.lask.[[#This Row],[Jaettava € 4]]+Ohj.lask.[[#This Row],[Jaettava € 5]]</f>
        <v>4766214</v>
      </c>
      <c r="AE56" s="36">
        <f>Ohj.lask.[[#This Row],[Jaettava € 6]]+Ohj.lask.[[#This Row],[Jaettava €]]</f>
        <v>46900976</v>
      </c>
      <c r="AF56" s="36">
        <f>IFERROR(VLOOKUP(Ohj.lask.[[#This Row],[Y-tunnus]],'3.1 Alv vahvistettu'!A:Y,COLUMN(C:C),FALSE),0)</f>
        <v>0</v>
      </c>
      <c r="AG56" s="25">
        <f>Ohj.lask.[[#This Row],[Perus-, suoritus- ja vaikuttavuusrahoitus yhteensä, €]]+Ohj.lask.[[#This Row],[Alv-korvaus, €]]</f>
        <v>46900976</v>
      </c>
    </row>
    <row r="57" spans="1:33" x14ac:dyDescent="0.2">
      <c r="A57" s="131" t="s">
        <v>358</v>
      </c>
      <c r="B57" s="16" t="s">
        <v>68</v>
      </c>
      <c r="C57" s="16" t="s">
        <v>236</v>
      </c>
      <c r="D57" s="16" t="s">
        <v>412</v>
      </c>
      <c r="E57" s="16" t="s">
        <v>474</v>
      </c>
      <c r="F57" s="114">
        <v>332</v>
      </c>
      <c r="G57" s="122">
        <f>0</f>
        <v>0</v>
      </c>
      <c r="H57" s="35">
        <f t="shared" si="2"/>
        <v>332</v>
      </c>
      <c r="I57" s="17">
        <f>IFERROR(VLOOKUP($A57,'2.1 Toteut. op.vuodet'!$A:$Q,COLUMN('2.1 Toteut. op.vuodet'!Q:Q),FALSE),0)</f>
        <v>0.77516085463907225</v>
      </c>
      <c r="J57" s="11">
        <f t="shared" si="3"/>
        <v>257.39999999999998</v>
      </c>
      <c r="K57" s="18">
        <f>IFERROR(Ohj.lask.[[#This Row],[Painotetut opiskelija-vuodet]]/Ohj.lask.[[#Totals],[Painotetut opiskelija-vuodet]],0)</f>
        <v>1.2869472351633576E-3</v>
      </c>
      <c r="L57" s="19">
        <f>ROUND(IFERROR('1.1 Jakotaulu'!L$10*Ohj.lask.[[#This Row],[%-osuus 1]],0),0)</f>
        <v>1500541</v>
      </c>
      <c r="M57" s="211">
        <f>IFERROR(ROUND(VLOOKUP($A57,'2.2 Tutk. ja osien pain. pist.'!$A:$Q,COLUMN('2.2 Tutk. ja osien pain. pist.'!P:P),FALSE),1),0)</f>
        <v>7045</v>
      </c>
      <c r="N57" s="18">
        <f>IFERROR(Ohj.lask.[[#This Row],[Painotetut pisteet 2]]/Ohj.lask.[[#Totals],[Painotetut pisteet 2]],0)</f>
        <v>4.5020549564346802E-4</v>
      </c>
      <c r="O57" s="25">
        <f>ROUND(IFERROR('1.1 Jakotaulu'!K$11*Ohj.lask.[[#This Row],[%-osuus 2]],0),0)</f>
        <v>166701</v>
      </c>
      <c r="P57" s="233">
        <f>IFERROR(ROUND(VLOOKUP($A57,'2.3 Työll. ja jatko-opisk.'!$A:$K,COLUMN('2.3 Työll. ja jatko-opisk.'!I:I),FALSE),1),0)</f>
        <v>116.8</v>
      </c>
      <c r="Q57" s="18">
        <f>IFERROR(Ohj.lask.[[#This Row],[Painotetut pisteet 3]]/Ohj.lask.[[#Totals],[Painotetut pisteet 3]],0)</f>
        <v>6.1659050788475669E-4</v>
      </c>
      <c r="R57" s="19">
        <f>ROUND(IFERROR('1.1 Jakotaulu'!L$13*Ohj.lask.[[#This Row],[%-osuus 3]],0),0)</f>
        <v>85616</v>
      </c>
      <c r="S57" s="211">
        <f>IFERROR(ROUND(VLOOKUP($A57,'2.4 Aloittaneet palaute'!$A:$K,COLUMN('2.4 Aloittaneet palaute'!J:J),FALSE),1),0)</f>
        <v>1230</v>
      </c>
      <c r="T57" s="22">
        <f>IFERROR(Ohj.lask.[[#This Row],[Painotetut pisteet 4]]/Ohj.lask.[[#Totals],[Painotetut pisteet 4]],0)</f>
        <v>9.8792260598240924E-4</v>
      </c>
      <c r="U57" s="25">
        <f>ROUND(IFERROR('1.1 Jakotaulu'!M$16*Ohj.lask.[[#This Row],[%-osuus 4]],0),0)</f>
        <v>11431</v>
      </c>
      <c r="V57" s="235">
        <f>IFERROR(ROUND(VLOOKUP($A57,'2.5 Päättäneet palaute'!$A:$AC,COLUMN('2.5 Päättäneet palaute'!AB:AB),FALSE),1),0)</f>
        <v>5922.9</v>
      </c>
      <c r="W57" s="22">
        <f>IFERROR(Ohj.lask.[[#This Row],[Painotetut pisteet 5]]/Ohj.lask.[[#Totals],[Painotetut pisteet 5]],0)</f>
        <v>8.9441486098930487E-4</v>
      </c>
      <c r="X57" s="19">
        <f>ROUND(IFERROR('1.1 Jakotaulu'!M$17*Ohj.lask.[[#This Row],[%-osuus 5]],0),0)</f>
        <v>31048</v>
      </c>
      <c r="Y57" s="21">
        <f>IFERROR(Ohj.lask.[[#This Row],[Jaettava € 6]]/Ohj.lask.[[#Totals],[Jaettava € 6]],"")</f>
        <v>1.0429607590735162E-3</v>
      </c>
      <c r="Z57" s="25">
        <f>IFERROR(Ohj.lask.[[#This Row],[Jaettava € 1]]+Ohj.lask.[[#This Row],[Jaettava € 2]]+Ohj.lask.[[#This Row],[Jaettava € 3]]+Ohj.lask.[[#This Row],[Jaettava € 4]]+Ohj.lask.[[#This Row],[Jaettava € 5]],"")</f>
        <v>1795337</v>
      </c>
      <c r="AA57" s="123">
        <f>0</f>
        <v>0</v>
      </c>
      <c r="AB57" s="19">
        <f>Ohj.lask.[[#This Row],[Jaettava € 1]]+Ohj.lask.[[#This Row],[Jaettava €]]</f>
        <v>1500541</v>
      </c>
      <c r="AC57" s="107">
        <f>Ohj.lask.[[#This Row],[Jaettava € 2]]</f>
        <v>166701</v>
      </c>
      <c r="AD57" s="19">
        <f>Ohj.lask.[[#This Row],[Jaettava € 3]]+Ohj.lask.[[#This Row],[Jaettava € 4]]+Ohj.lask.[[#This Row],[Jaettava € 5]]</f>
        <v>128095</v>
      </c>
      <c r="AE57" s="36">
        <f>Ohj.lask.[[#This Row],[Jaettava € 6]]+Ohj.lask.[[#This Row],[Jaettava €]]</f>
        <v>1795337</v>
      </c>
      <c r="AF57" s="36">
        <f>IFERROR(VLOOKUP(Ohj.lask.[[#This Row],[Y-tunnus]],'3.1 Alv vahvistettu'!A:Y,COLUMN(C:C),FALSE),0)</f>
        <v>293758.75</v>
      </c>
      <c r="AG57" s="25">
        <f>Ohj.lask.[[#This Row],[Perus-, suoritus- ja vaikuttavuusrahoitus yhteensä, €]]+Ohj.lask.[[#This Row],[Alv-korvaus, €]]</f>
        <v>2089095.75</v>
      </c>
    </row>
    <row r="58" spans="1:33" x14ac:dyDescent="0.2">
      <c r="A58" s="131" t="s">
        <v>357</v>
      </c>
      <c r="B58" s="16" t="s">
        <v>69</v>
      </c>
      <c r="C58" s="16" t="s">
        <v>332</v>
      </c>
      <c r="D58" s="16" t="s">
        <v>412</v>
      </c>
      <c r="E58" s="16" t="s">
        <v>474</v>
      </c>
      <c r="F58" s="114">
        <v>582</v>
      </c>
      <c r="G58" s="122">
        <f>0</f>
        <v>0</v>
      </c>
      <c r="H58" s="35">
        <f t="shared" si="2"/>
        <v>582</v>
      </c>
      <c r="I58" s="17">
        <f>IFERROR(VLOOKUP($A58,'2.1 Toteut. op.vuodet'!$A:$Q,COLUMN('2.1 Toteut. op.vuodet'!Q:Q),FALSE),0)</f>
        <v>4.8018456385501338</v>
      </c>
      <c r="J58" s="11">
        <f t="shared" si="3"/>
        <v>2794.7</v>
      </c>
      <c r="K58" s="18">
        <f>IFERROR(Ohj.lask.[[#This Row],[Painotetut opiskelija-vuodet]]/Ohj.lask.[[#Totals],[Painotetut opiskelija-vuodet]],0)</f>
        <v>1.3972927109988483E-2</v>
      </c>
      <c r="L58" s="19">
        <f>ROUND(IFERROR('1.1 Jakotaulu'!L$10*Ohj.lask.[[#This Row],[%-osuus 1]],0),0)</f>
        <v>16292007</v>
      </c>
      <c r="M58" s="211">
        <f>IFERROR(ROUND(VLOOKUP($A58,'2.2 Tutk. ja osien pain. pist.'!$A:$Q,COLUMN('2.2 Tutk. ja osien pain. pist.'!P:P),FALSE),1),0)</f>
        <v>130354.4</v>
      </c>
      <c r="N58" s="18">
        <f>IFERROR(Ohj.lask.[[#This Row],[Painotetut pisteet 2]]/Ohj.lask.[[#Totals],[Painotetut pisteet 2]],0)</f>
        <v>8.3302011726482435E-3</v>
      </c>
      <c r="O58" s="25">
        <f>ROUND(IFERROR('1.1 Jakotaulu'!K$11*Ohj.lask.[[#This Row],[%-osuus 2]],0),0)</f>
        <v>3084482</v>
      </c>
      <c r="P58" s="233">
        <f>IFERROR(ROUND(VLOOKUP($A58,'2.3 Työll. ja jatko-opisk.'!$A:$K,COLUMN('2.3 Työll. ja jatko-opisk.'!I:I),FALSE),1),0)</f>
        <v>298.2</v>
      </c>
      <c r="Q58" s="18">
        <f>IFERROR(Ohj.lask.[[#This Row],[Painotetut pisteet 3]]/Ohj.lask.[[#Totals],[Painotetut pisteet 3]],0)</f>
        <v>1.5742062453016649E-3</v>
      </c>
      <c r="R58" s="19">
        <f>ROUND(IFERROR('1.1 Jakotaulu'!L$13*Ohj.lask.[[#This Row],[%-osuus 3]],0),0)</f>
        <v>218585</v>
      </c>
      <c r="S58" s="211">
        <f>IFERROR(ROUND(VLOOKUP($A58,'2.4 Aloittaneet palaute'!$A:$K,COLUMN('2.4 Aloittaneet palaute'!J:J),FALSE),1),0)</f>
        <v>6096.2</v>
      </c>
      <c r="T58" s="22">
        <f>IFERROR(Ohj.lask.[[#This Row],[Painotetut pisteet 4]]/Ohj.lask.[[#Totals],[Painotetut pisteet 4]],0)</f>
        <v>4.896401455764198E-3</v>
      </c>
      <c r="U58" s="25">
        <f>ROUND(IFERROR('1.1 Jakotaulu'!M$16*Ohj.lask.[[#This Row],[%-osuus 4]],0),0)</f>
        <v>56657</v>
      </c>
      <c r="V58" s="235">
        <f>IFERROR(ROUND(VLOOKUP($A58,'2.5 Päättäneet palaute'!$A:$AC,COLUMN('2.5 Päättäneet palaute'!AB:AB),FALSE),1),0)</f>
        <v>15161</v>
      </c>
      <c r="W58" s="22">
        <f>IFERROR(Ohj.lask.[[#This Row],[Painotetut pisteet 5]]/Ohj.lask.[[#Totals],[Painotetut pisteet 5]],0)</f>
        <v>2.2894568045144868E-3</v>
      </c>
      <c r="X58" s="19">
        <f>ROUND(IFERROR('1.1 Jakotaulu'!M$17*Ohj.lask.[[#This Row],[%-osuus 5]],0),0)</f>
        <v>79475</v>
      </c>
      <c r="Y58" s="21">
        <f>IFERROR(Ohj.lask.[[#This Row],[Jaettava € 6]]/Ohj.lask.[[#Totals],[Jaettava € 6]],"")</f>
        <v>1.1462401536422364E-2</v>
      </c>
      <c r="Z58" s="25">
        <f>IFERROR(Ohj.lask.[[#This Row],[Jaettava € 1]]+Ohj.lask.[[#This Row],[Jaettava € 2]]+Ohj.lask.[[#This Row],[Jaettava € 3]]+Ohj.lask.[[#This Row],[Jaettava € 4]]+Ohj.lask.[[#This Row],[Jaettava € 5]],"")</f>
        <v>19731206</v>
      </c>
      <c r="AA58" s="123">
        <f>0</f>
        <v>0</v>
      </c>
      <c r="AB58" s="19">
        <f>Ohj.lask.[[#This Row],[Jaettava € 1]]+Ohj.lask.[[#This Row],[Jaettava €]]</f>
        <v>16292007</v>
      </c>
      <c r="AC58" s="107">
        <f>Ohj.lask.[[#This Row],[Jaettava € 2]]</f>
        <v>3084482</v>
      </c>
      <c r="AD58" s="19">
        <f>Ohj.lask.[[#This Row],[Jaettava € 3]]+Ohj.lask.[[#This Row],[Jaettava € 4]]+Ohj.lask.[[#This Row],[Jaettava € 5]]</f>
        <v>354717</v>
      </c>
      <c r="AE58" s="36">
        <f>Ohj.lask.[[#This Row],[Jaettava € 6]]+Ohj.lask.[[#This Row],[Jaettava €]]</f>
        <v>19731206</v>
      </c>
      <c r="AF58" s="36">
        <f>IFERROR(VLOOKUP(Ohj.lask.[[#This Row],[Y-tunnus]],'3.1 Alv vahvistettu'!A:Y,COLUMN(C:C),FALSE),0)</f>
        <v>645158.78</v>
      </c>
      <c r="AG58" s="25">
        <f>Ohj.lask.[[#This Row],[Perus-, suoritus- ja vaikuttavuusrahoitus yhteensä, €]]+Ohj.lask.[[#This Row],[Alv-korvaus, €]]</f>
        <v>20376364.780000001</v>
      </c>
    </row>
    <row r="59" spans="1:33" x14ac:dyDescent="0.2">
      <c r="A59" s="131" t="s">
        <v>356</v>
      </c>
      <c r="B59" s="16" t="s">
        <v>70</v>
      </c>
      <c r="C59" s="98" t="s">
        <v>236</v>
      </c>
      <c r="D59" s="98" t="s">
        <v>412</v>
      </c>
      <c r="E59" s="98" t="s">
        <v>474</v>
      </c>
      <c r="F59" s="113">
        <v>1390</v>
      </c>
      <c r="G59" s="122">
        <f>0</f>
        <v>0</v>
      </c>
      <c r="H59" s="35">
        <f t="shared" si="2"/>
        <v>1390</v>
      </c>
      <c r="I59" s="17">
        <f>IFERROR(VLOOKUP($A59,'2.1 Toteut. op.vuodet'!$A:$Q,COLUMN('2.1 Toteut. op.vuodet'!Q:Q),FALSE),0)</f>
        <v>1.0232522086272446</v>
      </c>
      <c r="J59" s="11">
        <f t="shared" si="3"/>
        <v>1422.3</v>
      </c>
      <c r="K59" s="18">
        <f>IFERROR(Ohj.lask.[[#This Row],[Painotetut opiskelija-vuodet]]/Ohj.lask.[[#Totals],[Painotetut opiskelija-vuodet]],0)</f>
        <v>7.111208440453938E-3</v>
      </c>
      <c r="L59" s="19">
        <f>ROUND(IFERROR('1.1 Jakotaulu'!L$10*Ohj.lask.[[#This Row],[%-osuus 1]],0),0)</f>
        <v>8291452</v>
      </c>
      <c r="M59" s="211">
        <f>IFERROR(ROUND(VLOOKUP($A59,'2.2 Tutk. ja osien pain. pist.'!$A:$Q,COLUMN('2.2 Tutk. ja osien pain. pist.'!P:P),FALSE),1),0)</f>
        <v>116957.3</v>
      </c>
      <c r="N59" s="18">
        <f>IFERROR(Ohj.lask.[[#This Row],[Painotetut pisteet 2]]/Ohj.lask.[[#Totals],[Painotetut pisteet 2]],0)</f>
        <v>7.474069441536094E-3</v>
      </c>
      <c r="O59" s="25">
        <f>ROUND(IFERROR('1.1 Jakotaulu'!K$11*Ohj.lask.[[#This Row],[%-osuus 2]],0),0)</f>
        <v>2767476</v>
      </c>
      <c r="P59" s="233">
        <f>IFERROR(ROUND(VLOOKUP($A59,'2.3 Työll. ja jatko-opisk.'!$A:$K,COLUMN('2.3 Työll. ja jatko-opisk.'!I:I),FALSE),1),0)</f>
        <v>1648.4</v>
      </c>
      <c r="Q59" s="22">
        <f>IFERROR(Ohj.lask.[[#This Row],[Painotetut pisteet 3]]/Ohj.lask.[[#Totals],[Painotetut pisteet 3]],0)</f>
        <v>8.7019502842228865E-3</v>
      </c>
      <c r="R59" s="19">
        <f>ROUND(IFERROR('1.1 Jakotaulu'!L$13*Ohj.lask.[[#This Row],[%-osuus 3]],0),0)</f>
        <v>1208300</v>
      </c>
      <c r="S59" s="211">
        <f>IFERROR(ROUND(VLOOKUP($A59,'2.4 Aloittaneet palaute'!$A:$K,COLUMN('2.4 Aloittaneet palaute'!J:J),FALSE),1),0)</f>
        <v>9783.2000000000007</v>
      </c>
      <c r="T59" s="22">
        <f>IFERROR(Ohj.lask.[[#This Row],[Painotetut pisteet 4]]/Ohj.lask.[[#Totals],[Painotetut pisteet 4]],0)</f>
        <v>7.8577597063797626E-3</v>
      </c>
      <c r="U59" s="25">
        <f>ROUND(IFERROR('1.1 Jakotaulu'!M$16*Ohj.lask.[[#This Row],[%-osuus 4]],0),0)</f>
        <v>90923</v>
      </c>
      <c r="V59" s="235">
        <f>IFERROR(ROUND(VLOOKUP($A59,'2.5 Päättäneet palaute'!$A:$AC,COLUMN('2.5 Päättäneet palaute'!AB:AB),FALSE),1),0)</f>
        <v>58445.3</v>
      </c>
      <c r="W59" s="22">
        <f>IFERROR(Ohj.lask.[[#This Row],[Painotetut pisteet 5]]/Ohj.lask.[[#Totals],[Painotetut pisteet 5]],0)</f>
        <v>8.8258023729892842E-3</v>
      </c>
      <c r="X59" s="19">
        <f>ROUND(IFERROR('1.1 Jakotaulu'!M$17*Ohj.lask.[[#This Row],[%-osuus 5]],0),0)</f>
        <v>306374</v>
      </c>
      <c r="Y59" s="21">
        <f>IFERROR(Ohj.lask.[[#This Row],[Jaettava € 6]]/Ohj.lask.[[#Totals],[Jaettava € 6]],"")</f>
        <v>7.3571717216909813E-3</v>
      </c>
      <c r="Z59" s="25">
        <f>IFERROR(Ohj.lask.[[#This Row],[Jaettava € 1]]+Ohj.lask.[[#This Row],[Jaettava € 2]]+Ohj.lask.[[#This Row],[Jaettava € 3]]+Ohj.lask.[[#This Row],[Jaettava € 4]]+Ohj.lask.[[#This Row],[Jaettava € 5]],"")</f>
        <v>12664525</v>
      </c>
      <c r="AA59" s="123">
        <f>0</f>
        <v>0</v>
      </c>
      <c r="AB59" s="19">
        <f>Ohj.lask.[[#This Row],[Jaettava € 1]]+Ohj.lask.[[#This Row],[Jaettava €]]</f>
        <v>8291452</v>
      </c>
      <c r="AC59" s="107">
        <f>Ohj.lask.[[#This Row],[Jaettava € 2]]</f>
        <v>2767476</v>
      </c>
      <c r="AD59" s="19">
        <f>Ohj.lask.[[#This Row],[Jaettava € 3]]+Ohj.lask.[[#This Row],[Jaettava € 4]]+Ohj.lask.[[#This Row],[Jaettava € 5]]</f>
        <v>1605597</v>
      </c>
      <c r="AE59" s="36">
        <f>Ohj.lask.[[#This Row],[Jaettava € 6]]+Ohj.lask.[[#This Row],[Jaettava €]]</f>
        <v>12664525</v>
      </c>
      <c r="AF59" s="36">
        <f>IFERROR(VLOOKUP(Ohj.lask.[[#This Row],[Y-tunnus]],'3.1 Alv vahvistettu'!A:Y,COLUMN(C:C),FALSE),0)</f>
        <v>552450.67000000004</v>
      </c>
      <c r="AG59" s="25">
        <f>Ohj.lask.[[#This Row],[Perus-, suoritus- ja vaikuttavuusrahoitus yhteensä, €]]+Ohj.lask.[[#This Row],[Alv-korvaus, €]]</f>
        <v>13216975.67</v>
      </c>
    </row>
    <row r="60" spans="1:33" x14ac:dyDescent="0.2">
      <c r="A60" s="131" t="s">
        <v>355</v>
      </c>
      <c r="B60" s="16" t="s">
        <v>71</v>
      </c>
      <c r="C60" s="16" t="s">
        <v>236</v>
      </c>
      <c r="D60" s="16" t="s">
        <v>412</v>
      </c>
      <c r="E60" s="16" t="s">
        <v>474</v>
      </c>
      <c r="F60" s="114">
        <v>105</v>
      </c>
      <c r="G60" s="122">
        <f>0</f>
        <v>0</v>
      </c>
      <c r="H60" s="35">
        <f t="shared" si="2"/>
        <v>105</v>
      </c>
      <c r="I60" s="17">
        <f>IFERROR(VLOOKUP($A60,'2.1 Toteut. op.vuodet'!$A:$Q,COLUMN('2.1 Toteut. op.vuodet'!Q:Q),FALSE),0)</f>
        <v>1.7620419536357699</v>
      </c>
      <c r="J60" s="11">
        <f t="shared" si="3"/>
        <v>185</v>
      </c>
      <c r="K60" s="18">
        <f>IFERROR(Ohj.lask.[[#This Row],[Painotetut opiskelija-vuodet]]/Ohj.lask.[[#Totals],[Painotetut opiskelija-vuodet]],0)</f>
        <v>9.2496207655486074E-4</v>
      </c>
      <c r="L60" s="19">
        <f>ROUND(IFERROR('1.1 Jakotaulu'!L$10*Ohj.lask.[[#This Row],[%-osuus 1]],0),0)</f>
        <v>1078478</v>
      </c>
      <c r="M60" s="211">
        <f>IFERROR(ROUND(VLOOKUP($A60,'2.2 Tutk. ja osien pain. pist.'!$A:$Q,COLUMN('2.2 Tutk. ja osien pain. pist.'!P:P),FALSE),1),0)</f>
        <v>19353.400000000001</v>
      </c>
      <c r="N60" s="18">
        <f>IFERROR(Ohj.lask.[[#This Row],[Painotetut pisteet 2]]/Ohj.lask.[[#Totals],[Painotetut pisteet 2]],0)</f>
        <v>1.2367646613749175E-3</v>
      </c>
      <c r="O60" s="25">
        <f>ROUND(IFERROR('1.1 Jakotaulu'!K$11*Ohj.lask.[[#This Row],[%-osuus 2]],0),0)</f>
        <v>457946</v>
      </c>
      <c r="P60" s="233">
        <f>IFERROR(ROUND(VLOOKUP($A60,'2.3 Työll. ja jatko-opisk.'!$A:$K,COLUMN('2.3 Työll. ja jatko-opisk.'!I:I),FALSE),1),0)</f>
        <v>171.5</v>
      </c>
      <c r="Q60" s="18">
        <f>IFERROR(Ohj.lask.[[#This Row],[Painotetut pisteet 3]]/Ohj.lask.[[#Totals],[Painotetut pisteet 3]],0)</f>
        <v>9.0535335703968993E-4</v>
      </c>
      <c r="R60" s="19">
        <f>ROUND(IFERROR('1.1 Jakotaulu'!L$13*Ohj.lask.[[#This Row],[%-osuus 3]],0),0)</f>
        <v>125712</v>
      </c>
      <c r="S60" s="211">
        <f>IFERROR(ROUND(VLOOKUP($A60,'2.4 Aloittaneet palaute'!$A:$K,COLUMN('2.4 Aloittaneet palaute'!J:J),FALSE),1),0)</f>
        <v>1235</v>
      </c>
      <c r="T60" s="22">
        <f>IFERROR(Ohj.lask.[[#This Row],[Painotetut pisteet 4]]/Ohj.lask.[[#Totals],[Painotetut pisteet 4]],0)</f>
        <v>9.9193855153518334E-4</v>
      </c>
      <c r="U60" s="25">
        <f>ROUND(IFERROR('1.1 Jakotaulu'!M$16*Ohj.lask.[[#This Row],[%-osuus 4]],0),0)</f>
        <v>11478</v>
      </c>
      <c r="V60" s="235">
        <f>IFERROR(ROUND(VLOOKUP($A60,'2.5 Päättäneet palaute'!$A:$AC,COLUMN('2.5 Päättäneet palaute'!AB:AB),FALSE),1),0)</f>
        <v>9066.7000000000007</v>
      </c>
      <c r="W60" s="22">
        <f>IFERROR(Ohj.lask.[[#This Row],[Painotetut pisteet 5]]/Ohj.lask.[[#Totals],[Painotetut pisteet 5]],0)</f>
        <v>1.3691588951580699E-3</v>
      </c>
      <c r="X60" s="19">
        <f>ROUND(IFERROR('1.1 Jakotaulu'!M$17*Ohj.lask.[[#This Row],[%-osuus 5]],0),0)</f>
        <v>47528</v>
      </c>
      <c r="Y60" s="21">
        <f>IFERROR(Ohj.lask.[[#This Row],[Jaettava € 6]]/Ohj.lask.[[#Totals],[Jaettava € 6]],"")</f>
        <v>9.998588380862811E-4</v>
      </c>
      <c r="Z60" s="25">
        <f>IFERROR(Ohj.lask.[[#This Row],[Jaettava € 1]]+Ohj.lask.[[#This Row],[Jaettava € 2]]+Ohj.lask.[[#This Row],[Jaettava € 3]]+Ohj.lask.[[#This Row],[Jaettava € 4]]+Ohj.lask.[[#This Row],[Jaettava € 5]],"")</f>
        <v>1721142</v>
      </c>
      <c r="AA60" s="123">
        <f>0</f>
        <v>0</v>
      </c>
      <c r="AB60" s="19">
        <f>Ohj.lask.[[#This Row],[Jaettava € 1]]+Ohj.lask.[[#This Row],[Jaettava €]]</f>
        <v>1078478</v>
      </c>
      <c r="AC60" s="107">
        <f>Ohj.lask.[[#This Row],[Jaettava € 2]]</f>
        <v>457946</v>
      </c>
      <c r="AD60" s="19">
        <f>Ohj.lask.[[#This Row],[Jaettava € 3]]+Ohj.lask.[[#This Row],[Jaettava € 4]]+Ohj.lask.[[#This Row],[Jaettava € 5]]</f>
        <v>184718</v>
      </c>
      <c r="AE60" s="36">
        <f>Ohj.lask.[[#This Row],[Jaettava € 6]]+Ohj.lask.[[#This Row],[Jaettava €]]</f>
        <v>1721142</v>
      </c>
      <c r="AF60" s="36">
        <f>IFERROR(VLOOKUP(Ohj.lask.[[#This Row],[Y-tunnus]],'3.1 Alv vahvistettu'!A:Y,COLUMN(C:C),FALSE),0)</f>
        <v>14970.28</v>
      </c>
      <c r="AG60" s="25">
        <f>Ohj.lask.[[#This Row],[Perus-, suoritus- ja vaikuttavuusrahoitus yhteensä, €]]+Ohj.lask.[[#This Row],[Alv-korvaus, €]]</f>
        <v>1736112.28</v>
      </c>
    </row>
    <row r="61" spans="1:33" x14ac:dyDescent="0.2">
      <c r="A61" s="131" t="s">
        <v>354</v>
      </c>
      <c r="B61" s="16" t="s">
        <v>72</v>
      </c>
      <c r="C61" s="98" t="s">
        <v>315</v>
      </c>
      <c r="D61" s="98" t="s">
        <v>412</v>
      </c>
      <c r="E61" s="98" t="s">
        <v>474</v>
      </c>
      <c r="F61" s="113">
        <v>20</v>
      </c>
      <c r="G61" s="122">
        <f>0</f>
        <v>0</v>
      </c>
      <c r="H61" s="35">
        <f t="shared" si="2"/>
        <v>20</v>
      </c>
      <c r="I61" s="17">
        <f>IFERROR(VLOOKUP($A61,'2.1 Toteut. op.vuodet'!$A:$Q,COLUMN('2.1 Toteut. op.vuodet'!Q:Q),FALSE),0)</f>
        <v>0.76229999999999942</v>
      </c>
      <c r="J61" s="11">
        <f t="shared" si="3"/>
        <v>15.2</v>
      </c>
      <c r="K61" s="18">
        <f>IFERROR(Ohj.lask.[[#This Row],[Painotetut opiskelija-vuodet]]/Ohj.lask.[[#Totals],[Painotetut opiskelija-vuodet]],0)</f>
        <v>7.5996884127750716E-5</v>
      </c>
      <c r="L61" s="19">
        <f>ROUND(IFERROR('1.1 Jakotaulu'!L$10*Ohj.lask.[[#This Row],[%-osuus 1]],0),0)</f>
        <v>88610</v>
      </c>
      <c r="M61" s="211">
        <f>IFERROR(ROUND(VLOOKUP($A61,'2.2 Tutk. ja osien pain. pist.'!$A:$Q,COLUMN('2.2 Tutk. ja osien pain. pist.'!P:P),FALSE),1),0)</f>
        <v>1083.5999999999999</v>
      </c>
      <c r="N61" s="18">
        <f>IFERROR(Ohj.lask.[[#This Row],[Painotetut pisteet 2]]/Ohj.lask.[[#Totals],[Painotetut pisteet 2]],0)</f>
        <v>6.9246653666325326E-5</v>
      </c>
      <c r="O61" s="25">
        <f>ROUND(IFERROR('1.1 Jakotaulu'!K$11*Ohj.lask.[[#This Row],[%-osuus 2]],0),0)</f>
        <v>25640</v>
      </c>
      <c r="P61" s="233">
        <f>IFERROR(ROUND(VLOOKUP($A61,'2.3 Työll. ja jatko-opisk.'!$A:$K,COLUMN('2.3 Työll. ja jatko-opisk.'!I:I),FALSE),1),0)</f>
        <v>25.6</v>
      </c>
      <c r="Q61" s="22">
        <f>IFERROR(Ohj.lask.[[#This Row],[Painotetut pisteet 3]]/Ohj.lask.[[#Totals],[Painotetut pisteet 3]],0)</f>
        <v>1.351431250158371E-4</v>
      </c>
      <c r="R61" s="19">
        <f>ROUND(IFERROR('1.1 Jakotaulu'!L$13*Ohj.lask.[[#This Row],[%-osuus 3]],0),0)</f>
        <v>18765</v>
      </c>
      <c r="S61" s="211">
        <f>IFERROR(ROUND(VLOOKUP($A61,'2.4 Aloittaneet palaute'!$A:$K,COLUMN('2.4 Aloittaneet palaute'!J:J),FALSE),1),0)</f>
        <v>184</v>
      </c>
      <c r="T61" s="22">
        <f>IFERROR(Ohj.lask.[[#This Row],[Painotetut pisteet 4]]/Ohj.lask.[[#Totals],[Painotetut pisteet 4]],0)</f>
        <v>1.47786796342084E-4</v>
      </c>
      <c r="U61" s="25">
        <f>ROUND(IFERROR('1.1 Jakotaulu'!M$16*Ohj.lask.[[#This Row],[%-osuus 4]],0),0)</f>
        <v>1710</v>
      </c>
      <c r="V61" s="235">
        <f>IFERROR(ROUND(VLOOKUP($A61,'2.5 Päättäneet palaute'!$A:$AC,COLUMN('2.5 Päättäneet palaute'!AB:AB),FALSE),1),0)</f>
        <v>1707.2</v>
      </c>
      <c r="W61" s="22">
        <f>IFERROR(Ohj.lask.[[#This Row],[Painotetut pisteet 5]]/Ohj.lask.[[#Totals],[Painotetut pisteet 5]],0)</f>
        <v>2.5780361827499053E-4</v>
      </c>
      <c r="X61" s="19">
        <f>ROUND(IFERROR('1.1 Jakotaulu'!M$17*Ohj.lask.[[#This Row],[%-osuus 5]],0),0)</f>
        <v>8949</v>
      </c>
      <c r="Y61" s="21">
        <f>IFERROR(Ohj.lask.[[#This Row],[Jaettava € 6]]/Ohj.lask.[[#Totals],[Jaettava € 6]],"")</f>
        <v>8.34641875587304E-5</v>
      </c>
      <c r="Z61" s="25">
        <f>IFERROR(Ohj.lask.[[#This Row],[Jaettava € 1]]+Ohj.lask.[[#This Row],[Jaettava € 2]]+Ohj.lask.[[#This Row],[Jaettava € 3]]+Ohj.lask.[[#This Row],[Jaettava € 4]]+Ohj.lask.[[#This Row],[Jaettava € 5]],"")</f>
        <v>143674</v>
      </c>
      <c r="AA61" s="123">
        <f>0</f>
        <v>0</v>
      </c>
      <c r="AB61" s="19">
        <f>Ohj.lask.[[#This Row],[Jaettava € 1]]+Ohj.lask.[[#This Row],[Jaettava €]]</f>
        <v>88610</v>
      </c>
      <c r="AC61" s="107">
        <f>Ohj.lask.[[#This Row],[Jaettava € 2]]</f>
        <v>25640</v>
      </c>
      <c r="AD61" s="19">
        <f>Ohj.lask.[[#This Row],[Jaettava € 3]]+Ohj.lask.[[#This Row],[Jaettava € 4]]+Ohj.lask.[[#This Row],[Jaettava € 5]]</f>
        <v>29424</v>
      </c>
      <c r="AE61" s="36">
        <f>Ohj.lask.[[#This Row],[Jaettava € 6]]+Ohj.lask.[[#This Row],[Jaettava €]]</f>
        <v>143674</v>
      </c>
      <c r="AF61" s="36">
        <f>IFERROR(VLOOKUP(Ohj.lask.[[#This Row],[Y-tunnus]],'3.1 Alv vahvistettu'!A:Y,COLUMN(C:C),FALSE),0)</f>
        <v>6907.55</v>
      </c>
      <c r="AG61" s="25">
        <f>Ohj.lask.[[#This Row],[Perus-, suoritus- ja vaikuttavuusrahoitus yhteensä, €]]+Ohj.lask.[[#This Row],[Alv-korvaus, €]]</f>
        <v>150581.54999999999</v>
      </c>
    </row>
    <row r="62" spans="1:33" x14ac:dyDescent="0.2">
      <c r="A62" s="131" t="s">
        <v>353</v>
      </c>
      <c r="B62" s="16" t="s">
        <v>154</v>
      </c>
      <c r="C62" s="16" t="s">
        <v>236</v>
      </c>
      <c r="D62" s="16" t="s">
        <v>412</v>
      </c>
      <c r="E62" s="16" t="s">
        <v>474</v>
      </c>
      <c r="F62" s="114">
        <v>33</v>
      </c>
      <c r="G62" s="122">
        <f>0</f>
        <v>0</v>
      </c>
      <c r="H62" s="35">
        <f t="shared" si="2"/>
        <v>33</v>
      </c>
      <c r="I62" s="17">
        <f>IFERROR(VLOOKUP($A62,'2.1 Toteut. op.vuodet'!$A:$Q,COLUMN('2.1 Toteut. op.vuodet'!Q:Q),FALSE),0)</f>
        <v>0.73658725048873142</v>
      </c>
      <c r="J62" s="11">
        <f t="shared" si="3"/>
        <v>24.3</v>
      </c>
      <c r="K62" s="18">
        <f>IFERROR(Ohj.lask.[[#This Row],[Painotetut opiskelija-vuodet]]/Ohj.lask.[[#Totals],[Painotetut opiskelija-vuodet]],0)</f>
        <v>1.2149501870423307E-4</v>
      </c>
      <c r="L62" s="19">
        <f>ROUND(IFERROR('1.1 Jakotaulu'!L$10*Ohj.lask.[[#This Row],[%-osuus 1]],0),0)</f>
        <v>141659</v>
      </c>
      <c r="M62" s="211">
        <f>IFERROR(ROUND(VLOOKUP($A62,'2.2 Tutk. ja osien pain. pist.'!$A:$Q,COLUMN('2.2 Tutk. ja osien pain. pist.'!P:P),FALSE),1),0)</f>
        <v>1825.1</v>
      </c>
      <c r="N62" s="18">
        <f>IFERROR(Ohj.lask.[[#This Row],[Painotetut pisteet 2]]/Ohj.lask.[[#Totals],[Painotetut pisteet 2]],0)</f>
        <v>1.1663166076634399E-4</v>
      </c>
      <c r="O62" s="25">
        <f>ROUND(IFERROR('1.1 Jakotaulu'!K$11*Ohj.lask.[[#This Row],[%-osuus 2]],0),0)</f>
        <v>43186</v>
      </c>
      <c r="P62" s="233">
        <f>IFERROR(ROUND(VLOOKUP($A62,'2.3 Työll. ja jatko-opisk.'!$A:$K,COLUMN('2.3 Työll. ja jatko-opisk.'!I:I),FALSE),1),0)</f>
        <v>44.7</v>
      </c>
      <c r="Q62" s="18">
        <f>IFERROR(Ohj.lask.[[#This Row],[Painotetut pisteet 3]]/Ohj.lask.[[#Totals],[Painotetut pisteet 3]],0)</f>
        <v>2.3597256594562181E-4</v>
      </c>
      <c r="R62" s="19">
        <f>ROUND(IFERROR('1.1 Jakotaulu'!L$13*Ohj.lask.[[#This Row],[%-osuus 3]],0),0)</f>
        <v>32766</v>
      </c>
      <c r="S62" s="211">
        <f>IFERROR(ROUND(VLOOKUP($A62,'2.4 Aloittaneet palaute'!$A:$K,COLUMN('2.4 Aloittaneet palaute'!J:J),FALSE),1),0)</f>
        <v>296.39999999999998</v>
      </c>
      <c r="T62" s="22">
        <f>IFERROR(Ohj.lask.[[#This Row],[Painotetut pisteet 4]]/Ohj.lask.[[#Totals],[Painotetut pisteet 4]],0)</f>
        <v>2.3806525236844396E-4</v>
      </c>
      <c r="U62" s="25">
        <f>ROUND(IFERROR('1.1 Jakotaulu'!M$16*Ohj.lask.[[#This Row],[%-osuus 4]],0),0)</f>
        <v>2755</v>
      </c>
      <c r="V62" s="235">
        <f>IFERROR(ROUND(VLOOKUP($A62,'2.5 Päättäneet palaute'!$A:$AC,COLUMN('2.5 Päättäneet palaute'!AB:AB),FALSE),1),0)</f>
        <v>3139.3</v>
      </c>
      <c r="W62" s="22">
        <f>IFERROR(Ohj.lask.[[#This Row],[Painotetut pisteet 5]]/Ohj.lask.[[#Totals],[Painotetut pisteet 5]],0)</f>
        <v>4.7406449089191534E-4</v>
      </c>
      <c r="X62" s="19">
        <f>ROUND(IFERROR('1.1 Jakotaulu'!M$17*Ohj.lask.[[#This Row],[%-osuus 5]],0),0)</f>
        <v>16456</v>
      </c>
      <c r="Y62" s="21">
        <f>IFERROR(Ohj.lask.[[#This Row],[Jaettava € 6]]/Ohj.lask.[[#Totals],[Jaettava € 6]],"")</f>
        <v>1.3757642876257117E-4</v>
      </c>
      <c r="Z62" s="25">
        <f>IFERROR(Ohj.lask.[[#This Row],[Jaettava € 1]]+Ohj.lask.[[#This Row],[Jaettava € 2]]+Ohj.lask.[[#This Row],[Jaettava € 3]]+Ohj.lask.[[#This Row],[Jaettava € 4]]+Ohj.lask.[[#This Row],[Jaettava € 5]],"")</f>
        <v>236822</v>
      </c>
      <c r="AA62" s="123">
        <f>0</f>
        <v>0</v>
      </c>
      <c r="AB62" s="19">
        <f>Ohj.lask.[[#This Row],[Jaettava € 1]]+Ohj.lask.[[#This Row],[Jaettava €]]</f>
        <v>141659</v>
      </c>
      <c r="AC62" s="107">
        <f>Ohj.lask.[[#This Row],[Jaettava € 2]]</f>
        <v>43186</v>
      </c>
      <c r="AD62" s="19">
        <f>Ohj.lask.[[#This Row],[Jaettava € 3]]+Ohj.lask.[[#This Row],[Jaettava € 4]]+Ohj.lask.[[#This Row],[Jaettava € 5]]</f>
        <v>51977</v>
      </c>
      <c r="AE62" s="36">
        <f>Ohj.lask.[[#This Row],[Jaettava € 6]]+Ohj.lask.[[#This Row],[Jaettava €]]</f>
        <v>236822</v>
      </c>
      <c r="AF62" s="36">
        <f>IFERROR(VLOOKUP(Ohj.lask.[[#This Row],[Y-tunnus]],'3.1 Alv vahvistettu'!A:Y,COLUMN(C:C),FALSE),0)</f>
        <v>26587.46</v>
      </c>
      <c r="AG62" s="25">
        <f>Ohj.lask.[[#This Row],[Perus-, suoritus- ja vaikuttavuusrahoitus yhteensä, €]]+Ohj.lask.[[#This Row],[Alv-korvaus, €]]</f>
        <v>263409.46000000002</v>
      </c>
    </row>
    <row r="63" spans="1:33" x14ac:dyDescent="0.2">
      <c r="A63" s="131" t="s">
        <v>352</v>
      </c>
      <c r="B63" s="16" t="s">
        <v>171</v>
      </c>
      <c r="C63" s="16" t="s">
        <v>236</v>
      </c>
      <c r="D63" s="16" t="s">
        <v>412</v>
      </c>
      <c r="E63" s="16" t="s">
        <v>474</v>
      </c>
      <c r="F63" s="114">
        <v>0</v>
      </c>
      <c r="G63" s="122">
        <f>0</f>
        <v>0</v>
      </c>
      <c r="H63" s="35">
        <f t="shared" si="2"/>
        <v>0</v>
      </c>
      <c r="I63" s="17">
        <f>IFERROR(VLOOKUP($A63,'2.1 Toteut. op.vuodet'!$A:$Q,COLUMN('2.1 Toteut. op.vuodet'!Q:Q),FALSE),0)</f>
        <v>0.43</v>
      </c>
      <c r="J63" s="11">
        <f t="shared" si="3"/>
        <v>0</v>
      </c>
      <c r="K63" s="18">
        <f>IFERROR(Ohj.lask.[[#This Row],[Painotetut opiskelija-vuodet]]/Ohj.lask.[[#Totals],[Painotetut opiskelija-vuodet]],0)</f>
        <v>0</v>
      </c>
      <c r="L63" s="19">
        <f>ROUND(IFERROR('1.1 Jakotaulu'!L$10*Ohj.lask.[[#This Row],[%-osuus 1]],0),0)</f>
        <v>0</v>
      </c>
      <c r="M63" s="211">
        <f>IFERROR(ROUND(VLOOKUP($A63,'2.2 Tutk. ja osien pain. pist.'!$A:$Q,COLUMN('2.2 Tutk. ja osien pain. pist.'!P:P),FALSE),1),0)</f>
        <v>0</v>
      </c>
      <c r="N63" s="18">
        <f>IFERROR(Ohj.lask.[[#This Row],[Painotetut pisteet 2]]/Ohj.lask.[[#Totals],[Painotetut pisteet 2]],0)</f>
        <v>0</v>
      </c>
      <c r="O63" s="25">
        <f>ROUND(IFERROR('1.1 Jakotaulu'!K$11*Ohj.lask.[[#This Row],[%-osuus 2]],0),0)</f>
        <v>0</v>
      </c>
      <c r="P63" s="233">
        <f>IFERROR(ROUND(VLOOKUP($A63,'2.3 Työll. ja jatko-opisk.'!$A:$K,COLUMN('2.3 Työll. ja jatko-opisk.'!I:I),FALSE),1),0)</f>
        <v>0</v>
      </c>
      <c r="Q63" s="18">
        <f>IFERROR(Ohj.lask.[[#This Row],[Painotetut pisteet 3]]/Ohj.lask.[[#Totals],[Painotetut pisteet 3]],0)</f>
        <v>0</v>
      </c>
      <c r="R63" s="19">
        <f>ROUND(IFERROR('1.1 Jakotaulu'!L$13*Ohj.lask.[[#This Row],[%-osuus 3]],0),0)</f>
        <v>0</v>
      </c>
      <c r="S63" s="211">
        <f>IFERROR(ROUND(VLOOKUP($A63,'2.4 Aloittaneet palaute'!$A:$K,COLUMN('2.4 Aloittaneet palaute'!J:J),FALSE),1),0)</f>
        <v>0</v>
      </c>
      <c r="T63" s="22">
        <f>IFERROR(Ohj.lask.[[#This Row],[Painotetut pisteet 4]]/Ohj.lask.[[#Totals],[Painotetut pisteet 4]],0)</f>
        <v>0</v>
      </c>
      <c r="U63" s="25">
        <f>ROUND(IFERROR('1.1 Jakotaulu'!M$16*Ohj.lask.[[#This Row],[%-osuus 4]],0),0)</f>
        <v>0</v>
      </c>
      <c r="V63" s="235">
        <f>IFERROR(ROUND(VLOOKUP($A63,'2.5 Päättäneet palaute'!$A:$AC,COLUMN('2.5 Päättäneet palaute'!AB:AB),FALSE),1),0)</f>
        <v>0</v>
      </c>
      <c r="W63" s="22">
        <f>IFERROR(Ohj.lask.[[#This Row],[Painotetut pisteet 5]]/Ohj.lask.[[#Totals],[Painotetut pisteet 5]],0)</f>
        <v>0</v>
      </c>
      <c r="X63" s="19">
        <f>ROUND(IFERROR('1.1 Jakotaulu'!M$17*Ohj.lask.[[#This Row],[%-osuus 5]],0),0)</f>
        <v>0</v>
      </c>
      <c r="Y63" s="21">
        <f>IFERROR(Ohj.lask.[[#This Row],[Jaettava € 6]]/Ohj.lask.[[#Totals],[Jaettava € 6]],"")</f>
        <v>0</v>
      </c>
      <c r="Z63" s="25">
        <f>IFERROR(Ohj.lask.[[#This Row],[Jaettava € 1]]+Ohj.lask.[[#This Row],[Jaettava € 2]]+Ohj.lask.[[#This Row],[Jaettava € 3]]+Ohj.lask.[[#This Row],[Jaettava € 4]]+Ohj.lask.[[#This Row],[Jaettava € 5]],"")</f>
        <v>0</v>
      </c>
      <c r="AA63" s="123">
        <f>0</f>
        <v>0</v>
      </c>
      <c r="AB63" s="19">
        <f>Ohj.lask.[[#This Row],[Jaettava € 1]]+Ohj.lask.[[#This Row],[Jaettava €]]</f>
        <v>0</v>
      </c>
      <c r="AC63" s="107">
        <f>Ohj.lask.[[#This Row],[Jaettava € 2]]</f>
        <v>0</v>
      </c>
      <c r="AD63" s="19">
        <f>Ohj.lask.[[#This Row],[Jaettava € 3]]+Ohj.lask.[[#This Row],[Jaettava € 4]]+Ohj.lask.[[#This Row],[Jaettava € 5]]</f>
        <v>0</v>
      </c>
      <c r="AE63" s="36">
        <f>Ohj.lask.[[#This Row],[Jaettava € 6]]+Ohj.lask.[[#This Row],[Jaettava €]]</f>
        <v>0</v>
      </c>
      <c r="AF63" s="36">
        <f>IFERROR(VLOOKUP(Ohj.lask.[[#This Row],[Y-tunnus]],'3.1 Alv vahvistettu'!A:Y,COLUMN(C:C),FALSE),0)</f>
        <v>42648.33</v>
      </c>
      <c r="AG63" s="25">
        <f>Ohj.lask.[[#This Row],[Perus-, suoritus- ja vaikuttavuusrahoitus yhteensä, €]]+Ohj.lask.[[#This Row],[Alv-korvaus, €]]</f>
        <v>42648.33</v>
      </c>
    </row>
    <row r="64" spans="1:33" x14ac:dyDescent="0.2">
      <c r="A64" s="131" t="s">
        <v>351</v>
      </c>
      <c r="B64" s="16" t="s">
        <v>73</v>
      </c>
      <c r="C64" s="16" t="s">
        <v>269</v>
      </c>
      <c r="D64" s="16" t="s">
        <v>412</v>
      </c>
      <c r="E64" s="16" t="s">
        <v>474</v>
      </c>
      <c r="F64" s="114">
        <v>97</v>
      </c>
      <c r="G64" s="122">
        <f>0</f>
        <v>0</v>
      </c>
      <c r="H64" s="35">
        <f t="shared" si="2"/>
        <v>97</v>
      </c>
      <c r="I64" s="17">
        <f>IFERROR(VLOOKUP($A64,'2.1 Toteut. op.vuodet'!$A:$Q,COLUMN('2.1 Toteut. op.vuodet'!Q:Q),FALSE),0)</f>
        <v>1.0503663842228421</v>
      </c>
      <c r="J64" s="11">
        <f t="shared" si="3"/>
        <v>101.9</v>
      </c>
      <c r="K64" s="18">
        <f>IFERROR(Ohj.lask.[[#This Row],[Painotetut opiskelija-vuodet]]/Ohj.lask.[[#Totals],[Painotetut opiskelija-vuodet]],0)</f>
        <v>5.0947911135643413E-4</v>
      </c>
      <c r="L64" s="19">
        <f>ROUND(IFERROR('1.1 Jakotaulu'!L$10*Ohj.lask.[[#This Row],[%-osuus 1]],0),0)</f>
        <v>594037</v>
      </c>
      <c r="M64" s="211">
        <f>IFERROR(ROUND(VLOOKUP($A64,'2.2 Tutk. ja osien pain. pist.'!$A:$Q,COLUMN('2.2 Tutk. ja osien pain. pist.'!P:P),FALSE),1),0)</f>
        <v>9762.6</v>
      </c>
      <c r="N64" s="18">
        <f>IFERROR(Ohj.lask.[[#This Row],[Painotetut pisteet 2]]/Ohj.lask.[[#Totals],[Painotetut pisteet 2]],0)</f>
        <v>6.2387170642568077E-4</v>
      </c>
      <c r="O64" s="25">
        <f>ROUND(IFERROR('1.1 Jakotaulu'!K$11*Ohj.lask.[[#This Row],[%-osuus 2]],0),0)</f>
        <v>231005</v>
      </c>
      <c r="P64" s="233">
        <f>IFERROR(ROUND(VLOOKUP($A64,'2.3 Työll. ja jatko-opisk.'!$A:$K,COLUMN('2.3 Työll. ja jatko-opisk.'!I:I),FALSE),1),0)</f>
        <v>125</v>
      </c>
      <c r="Q64" s="18">
        <f>IFERROR(Ohj.lask.[[#This Row],[Painotetut pisteet 3]]/Ohj.lask.[[#Totals],[Painotetut pisteet 3]],0)</f>
        <v>6.5987854011639207E-4</v>
      </c>
      <c r="R64" s="19">
        <f>ROUND(IFERROR('1.1 Jakotaulu'!L$13*Ohj.lask.[[#This Row],[%-osuus 3]],0),0)</f>
        <v>91627</v>
      </c>
      <c r="S64" s="211">
        <f>IFERROR(ROUND(VLOOKUP($A64,'2.4 Aloittaneet palaute'!$A:$K,COLUMN('2.4 Aloittaneet palaute'!J:J),FALSE),1),0)</f>
        <v>1190</v>
      </c>
      <c r="T64" s="22">
        <f>IFERROR(Ohj.lask.[[#This Row],[Painotetut pisteet 4]]/Ohj.lask.[[#Totals],[Painotetut pisteet 4]],0)</f>
        <v>9.5579504156021713E-4</v>
      </c>
      <c r="U64" s="25">
        <f>ROUND(IFERROR('1.1 Jakotaulu'!M$16*Ohj.lask.[[#This Row],[%-osuus 4]],0),0)</f>
        <v>11060</v>
      </c>
      <c r="V64" s="235">
        <f>IFERROR(ROUND(VLOOKUP($A64,'2.5 Päättäneet palaute'!$A:$AC,COLUMN('2.5 Päättäneet palaute'!AB:AB),FALSE),1),0)</f>
        <v>2416.5</v>
      </c>
      <c r="W64" s="22">
        <f>IFERROR(Ohj.lask.[[#This Row],[Painotetut pisteet 5]]/Ohj.lask.[[#Totals],[Painotetut pisteet 5]],0)</f>
        <v>3.6491473966817869E-4</v>
      </c>
      <c r="X64" s="19">
        <f>ROUND(IFERROR('1.1 Jakotaulu'!M$17*Ohj.lask.[[#This Row],[%-osuus 5]],0),0)</f>
        <v>12667</v>
      </c>
      <c r="Y64" s="21">
        <f>IFERROR(Ohj.lask.[[#This Row],[Jaettava € 6]]/Ohj.lask.[[#Totals],[Jaettava € 6]],"")</f>
        <v>5.4630196224424621E-4</v>
      </c>
      <c r="Z64" s="25">
        <f>IFERROR(Ohj.lask.[[#This Row],[Jaettava € 1]]+Ohj.lask.[[#This Row],[Jaettava € 2]]+Ohj.lask.[[#This Row],[Jaettava € 3]]+Ohj.lask.[[#This Row],[Jaettava € 4]]+Ohj.lask.[[#This Row],[Jaettava € 5]],"")</f>
        <v>940396</v>
      </c>
      <c r="AA64" s="123">
        <f>0</f>
        <v>0</v>
      </c>
      <c r="AB64" s="19">
        <f>Ohj.lask.[[#This Row],[Jaettava € 1]]+Ohj.lask.[[#This Row],[Jaettava €]]</f>
        <v>594037</v>
      </c>
      <c r="AC64" s="107">
        <f>Ohj.lask.[[#This Row],[Jaettava € 2]]</f>
        <v>231005</v>
      </c>
      <c r="AD64" s="19">
        <f>Ohj.lask.[[#This Row],[Jaettava € 3]]+Ohj.lask.[[#This Row],[Jaettava € 4]]+Ohj.lask.[[#This Row],[Jaettava € 5]]</f>
        <v>115354</v>
      </c>
      <c r="AE64" s="36">
        <f>Ohj.lask.[[#This Row],[Jaettava € 6]]+Ohj.lask.[[#This Row],[Jaettava €]]</f>
        <v>940396</v>
      </c>
      <c r="AF64" s="36">
        <f>IFERROR(VLOOKUP(Ohj.lask.[[#This Row],[Y-tunnus]],'3.1 Alv vahvistettu'!A:Y,COLUMN(C:C),FALSE),0)</f>
        <v>40748.75</v>
      </c>
      <c r="AG64" s="25">
        <f>Ohj.lask.[[#This Row],[Perus-, suoritus- ja vaikuttavuusrahoitus yhteensä, €]]+Ohj.lask.[[#This Row],[Alv-korvaus, €]]</f>
        <v>981144.75</v>
      </c>
    </row>
    <row r="65" spans="1:33" x14ac:dyDescent="0.2">
      <c r="A65" s="131" t="s">
        <v>350</v>
      </c>
      <c r="B65" s="16" t="s">
        <v>74</v>
      </c>
      <c r="C65" s="16" t="s">
        <v>254</v>
      </c>
      <c r="D65" s="16" t="s">
        <v>411</v>
      </c>
      <c r="E65" s="16" t="s">
        <v>474</v>
      </c>
      <c r="F65" s="114">
        <v>2316</v>
      </c>
      <c r="G65" s="122">
        <f>0</f>
        <v>0</v>
      </c>
      <c r="H65" s="35">
        <f t="shared" si="2"/>
        <v>2316</v>
      </c>
      <c r="I65" s="17">
        <f>IFERROR(VLOOKUP($A65,'2.1 Toteut. op.vuodet'!$A:$Q,COLUMN('2.1 Toteut. op.vuodet'!Q:Q),FALSE),0)</f>
        <v>1.0748560094876323</v>
      </c>
      <c r="J65" s="11">
        <f t="shared" si="3"/>
        <v>2489.4</v>
      </c>
      <c r="K65" s="18">
        <f>IFERROR(Ohj.lask.[[#This Row],[Painotetut opiskelija-vuodet]]/Ohj.lask.[[#Totals],[Painotetut opiskelija-vuodet]],0)</f>
        <v>1.2446489693922544E-2</v>
      </c>
      <c r="L65" s="19">
        <f>ROUND(IFERROR('1.1 Jakotaulu'!L$10*Ohj.lask.[[#This Row],[%-osuus 1]],0),0)</f>
        <v>14512227</v>
      </c>
      <c r="M65" s="211">
        <f>IFERROR(ROUND(VLOOKUP($A65,'2.2 Tutk. ja osien pain. pist.'!$A:$Q,COLUMN('2.2 Tutk. ja osien pain. pist.'!P:P),FALSE),1),0)</f>
        <v>211947.6</v>
      </c>
      <c r="N65" s="18">
        <f>IFERROR(Ohj.lask.[[#This Row],[Painotetut pisteet 2]]/Ohj.lask.[[#Totals],[Painotetut pisteet 2]],0)</f>
        <v>1.3544354053718026E-2</v>
      </c>
      <c r="O65" s="25">
        <f>ROUND(IFERROR('1.1 Jakotaulu'!K$11*Ohj.lask.[[#This Row],[%-osuus 2]],0),0)</f>
        <v>5015163</v>
      </c>
      <c r="P65" s="233">
        <f>IFERROR(ROUND(VLOOKUP($A65,'2.3 Työll. ja jatko-opisk.'!$A:$K,COLUMN('2.3 Työll. ja jatko-opisk.'!I:I),FALSE),1),0)</f>
        <v>2425.5</v>
      </c>
      <c r="Q65" s="18">
        <f>IFERROR(Ohj.lask.[[#This Row],[Painotetut pisteet 3]]/Ohj.lask.[[#Totals],[Painotetut pisteet 3]],0)</f>
        <v>1.2804283192418471E-2</v>
      </c>
      <c r="R65" s="19">
        <f>ROUND(IFERROR('1.1 Jakotaulu'!L$13*Ohj.lask.[[#This Row],[%-osuus 3]],0),0)</f>
        <v>1777924</v>
      </c>
      <c r="S65" s="211">
        <f>IFERROR(ROUND(VLOOKUP($A65,'2.4 Aloittaneet palaute'!$A:$K,COLUMN('2.4 Aloittaneet palaute'!J:J),FALSE),1),0)</f>
        <v>10735.9</v>
      </c>
      <c r="T65" s="22">
        <f>IFERROR(Ohj.lask.[[#This Row],[Painotetut pisteet 4]]/Ohj.lask.[[#Totals],[Painotetut pisteet 4]],0)</f>
        <v>8.622957972005324E-3</v>
      </c>
      <c r="U65" s="25">
        <f>ROUND(IFERROR('1.1 Jakotaulu'!M$16*Ohj.lask.[[#This Row],[%-osuus 4]],0),0)</f>
        <v>99778</v>
      </c>
      <c r="V65" s="235">
        <f>IFERROR(ROUND(VLOOKUP($A65,'2.5 Päättäneet palaute'!$A:$AC,COLUMN('2.5 Päättäneet palaute'!AB:AB),FALSE),1),0)</f>
        <v>39126.9</v>
      </c>
      <c r="W65" s="22">
        <f>IFERROR(Ohj.lask.[[#This Row],[Painotetut pisteet 5]]/Ohj.lask.[[#Totals],[Painotetut pisteet 5]],0)</f>
        <v>5.9085381864361101E-3</v>
      </c>
      <c r="X65" s="19">
        <f>ROUND(IFERROR('1.1 Jakotaulu'!M$17*Ohj.lask.[[#This Row],[%-osuus 5]],0),0)</f>
        <v>205106</v>
      </c>
      <c r="Y65" s="21">
        <f>IFERROR(Ohj.lask.[[#This Row],[Jaettava € 6]]/Ohj.lask.[[#Totals],[Jaettava € 6]],"")</f>
        <v>1.2553959791286528E-2</v>
      </c>
      <c r="Z65" s="25">
        <f>IFERROR(Ohj.lask.[[#This Row],[Jaettava € 1]]+Ohj.lask.[[#This Row],[Jaettava € 2]]+Ohj.lask.[[#This Row],[Jaettava € 3]]+Ohj.lask.[[#This Row],[Jaettava € 4]]+Ohj.lask.[[#This Row],[Jaettava € 5]],"")</f>
        <v>21610198</v>
      </c>
      <c r="AA65" s="123">
        <f>0</f>
        <v>0</v>
      </c>
      <c r="AB65" s="19">
        <f>Ohj.lask.[[#This Row],[Jaettava € 1]]+Ohj.lask.[[#This Row],[Jaettava €]]</f>
        <v>14512227</v>
      </c>
      <c r="AC65" s="107">
        <f>Ohj.lask.[[#This Row],[Jaettava € 2]]</f>
        <v>5015163</v>
      </c>
      <c r="AD65" s="19">
        <f>Ohj.lask.[[#This Row],[Jaettava € 3]]+Ohj.lask.[[#This Row],[Jaettava € 4]]+Ohj.lask.[[#This Row],[Jaettava € 5]]</f>
        <v>2082808</v>
      </c>
      <c r="AE65" s="36">
        <f>Ohj.lask.[[#This Row],[Jaettava € 6]]+Ohj.lask.[[#This Row],[Jaettava €]]</f>
        <v>21610198</v>
      </c>
      <c r="AF65" s="36">
        <f>IFERROR(VLOOKUP(Ohj.lask.[[#This Row],[Y-tunnus]],'3.1 Alv vahvistettu'!A:Y,COLUMN(C:C),FALSE),0)</f>
        <v>0</v>
      </c>
      <c r="AG65" s="25">
        <f>Ohj.lask.[[#This Row],[Perus-, suoritus- ja vaikuttavuusrahoitus yhteensä, €]]+Ohj.lask.[[#This Row],[Alv-korvaus, €]]</f>
        <v>21610198</v>
      </c>
    </row>
    <row r="66" spans="1:33" x14ac:dyDescent="0.2">
      <c r="A66" s="131" t="s">
        <v>349</v>
      </c>
      <c r="B66" s="16" t="s">
        <v>75</v>
      </c>
      <c r="C66" s="16" t="s">
        <v>250</v>
      </c>
      <c r="D66" s="16" t="s">
        <v>411</v>
      </c>
      <c r="E66" s="16" t="s">
        <v>474</v>
      </c>
      <c r="F66" s="114">
        <v>5467</v>
      </c>
      <c r="G66" s="122">
        <f>0</f>
        <v>0</v>
      </c>
      <c r="H66" s="35">
        <f t="shared" si="2"/>
        <v>5467</v>
      </c>
      <c r="I66" s="17">
        <f>IFERROR(VLOOKUP($A66,'2.1 Toteut. op.vuodet'!$A:$Q,COLUMN('2.1 Toteut. op.vuodet'!Q:Q),FALSE),0)</f>
        <v>1.0295657064837356</v>
      </c>
      <c r="J66" s="11">
        <f t="shared" si="3"/>
        <v>5628.6</v>
      </c>
      <c r="K66" s="18">
        <f>IFERROR(Ohj.lask.[[#This Row],[Painotetut opiskelija-vuodet]]/Ohj.lask.[[#Totals],[Painotetut opiskelija-vuodet]],0)</f>
        <v>2.8141846184306433E-2</v>
      </c>
      <c r="L66" s="19">
        <f>ROUND(IFERROR('1.1 Jakotaulu'!L$10*Ohj.lask.[[#This Row],[%-osuus 1]],0),0)</f>
        <v>32812534</v>
      </c>
      <c r="M66" s="211">
        <f>IFERROR(ROUND(VLOOKUP($A66,'2.2 Tutk. ja osien pain. pist.'!$A:$Q,COLUMN('2.2 Tutk. ja osien pain. pist.'!P:P),FALSE),1),0)</f>
        <v>548757.4</v>
      </c>
      <c r="N66" s="18">
        <f>IFERROR(Ohj.lask.[[#This Row],[Painotetut pisteet 2]]/Ohj.lask.[[#Totals],[Painotetut pisteet 2]],0)</f>
        <v>3.5067934315829788E-2</v>
      </c>
      <c r="O66" s="25">
        <f>ROUND(IFERROR('1.1 Jakotaulu'!K$11*Ohj.lask.[[#This Row],[%-osuus 2]],0),0)</f>
        <v>12984850</v>
      </c>
      <c r="P66" s="233">
        <f>IFERROR(ROUND(VLOOKUP($A66,'2.3 Työll. ja jatko-opisk.'!$A:$K,COLUMN('2.3 Työll. ja jatko-opisk.'!I:I),FALSE),1),0)</f>
        <v>6202.4</v>
      </c>
      <c r="Q66" s="18">
        <f>IFERROR(Ohj.lask.[[#This Row],[Painotetut pisteet 3]]/Ohj.lask.[[#Totals],[Painotetut pisteet 3]],0)</f>
        <v>3.2742645257743279E-2</v>
      </c>
      <c r="R66" s="19">
        <f>ROUND(IFERROR('1.1 Jakotaulu'!L$13*Ohj.lask.[[#This Row],[%-osuus 3]],0),0)</f>
        <v>4546443</v>
      </c>
      <c r="S66" s="211">
        <f>IFERROR(ROUND(VLOOKUP($A66,'2.4 Aloittaneet palaute'!$A:$K,COLUMN('2.4 Aloittaneet palaute'!J:J),FALSE),1),0)</f>
        <v>18063.2</v>
      </c>
      <c r="T66" s="22">
        <f>IFERROR(Ohj.lask.[[#This Row],[Painotetut pisteet 4]]/Ohj.lask.[[#Totals],[Painotetut pisteet 4]],0)</f>
        <v>1.4508165541773541E-2</v>
      </c>
      <c r="U66" s="25">
        <f>ROUND(IFERROR('1.1 Jakotaulu'!M$16*Ohj.lask.[[#This Row],[%-osuus 4]],0),0)</f>
        <v>167876</v>
      </c>
      <c r="V66" s="235">
        <f>IFERROR(ROUND(VLOOKUP($A66,'2.5 Päättäneet palaute'!$A:$AC,COLUMN('2.5 Päättäneet palaute'!AB:AB),FALSE),1),0)</f>
        <v>33850.300000000003</v>
      </c>
      <c r="W66" s="22">
        <f>IFERROR(Ohj.lask.[[#This Row],[Painotetut pisteet 5]]/Ohj.lask.[[#Totals],[Painotetut pisteet 5]],0)</f>
        <v>5.1117208409641006E-3</v>
      </c>
      <c r="X66" s="19">
        <f>ROUND(IFERROR('1.1 Jakotaulu'!M$17*Ohj.lask.[[#This Row],[%-osuus 5]],0),0)</f>
        <v>177446</v>
      </c>
      <c r="Y66" s="21">
        <f>IFERROR(Ohj.lask.[[#This Row],[Jaettava € 6]]/Ohj.lask.[[#Totals],[Jaettava € 6]],"")</f>
        <v>2.9446724106856018E-2</v>
      </c>
      <c r="Z66" s="25">
        <f>IFERROR(Ohj.lask.[[#This Row],[Jaettava € 1]]+Ohj.lask.[[#This Row],[Jaettava € 2]]+Ohj.lask.[[#This Row],[Jaettava € 3]]+Ohj.lask.[[#This Row],[Jaettava € 4]]+Ohj.lask.[[#This Row],[Jaettava € 5]],"")</f>
        <v>50689149</v>
      </c>
      <c r="AA66" s="123">
        <f>0</f>
        <v>0</v>
      </c>
      <c r="AB66" s="19">
        <f>Ohj.lask.[[#This Row],[Jaettava € 1]]+Ohj.lask.[[#This Row],[Jaettava €]]</f>
        <v>32812534</v>
      </c>
      <c r="AC66" s="107">
        <f>Ohj.lask.[[#This Row],[Jaettava € 2]]</f>
        <v>12984850</v>
      </c>
      <c r="AD66" s="19">
        <f>Ohj.lask.[[#This Row],[Jaettava € 3]]+Ohj.lask.[[#This Row],[Jaettava € 4]]+Ohj.lask.[[#This Row],[Jaettava € 5]]</f>
        <v>4891765</v>
      </c>
      <c r="AE66" s="36">
        <f>Ohj.lask.[[#This Row],[Jaettava € 6]]+Ohj.lask.[[#This Row],[Jaettava €]]</f>
        <v>50689149</v>
      </c>
      <c r="AF66" s="36">
        <f>IFERROR(VLOOKUP(Ohj.lask.[[#This Row],[Y-tunnus]],'3.1 Alv vahvistettu'!A:Y,COLUMN(C:C),FALSE),0)</f>
        <v>0</v>
      </c>
      <c r="AG66" s="25">
        <f>Ohj.lask.[[#This Row],[Perus-, suoritus- ja vaikuttavuusrahoitus yhteensä, €]]+Ohj.lask.[[#This Row],[Alv-korvaus, €]]</f>
        <v>50689149</v>
      </c>
    </row>
    <row r="67" spans="1:33" x14ac:dyDescent="0.2">
      <c r="A67" s="131" t="s">
        <v>348</v>
      </c>
      <c r="B67" s="16" t="s">
        <v>76</v>
      </c>
      <c r="C67" s="16" t="s">
        <v>332</v>
      </c>
      <c r="D67" s="16" t="s">
        <v>411</v>
      </c>
      <c r="E67" s="16" t="s">
        <v>474</v>
      </c>
      <c r="F67" s="114">
        <v>2145</v>
      </c>
      <c r="G67" s="122">
        <f>0</f>
        <v>0</v>
      </c>
      <c r="H67" s="35">
        <f t="shared" si="2"/>
        <v>2145</v>
      </c>
      <c r="I67" s="17">
        <f>IFERROR(VLOOKUP($A67,'2.1 Toteut. op.vuodet'!$A:$Q,COLUMN('2.1 Toteut. op.vuodet'!Q:Q),FALSE),0)</f>
        <v>1.0541484994709653</v>
      </c>
      <c r="J67" s="11">
        <f t="shared" si="3"/>
        <v>2261.1</v>
      </c>
      <c r="K67" s="18">
        <f>IFERROR(Ohj.lask.[[#This Row],[Painotetut opiskelija-vuodet]]/Ohj.lask.[[#Totals],[Painotetut opiskelija-vuodet]],0)</f>
        <v>1.130503649350376E-2</v>
      </c>
      <c r="L67" s="19">
        <f>ROUND(IFERROR('1.1 Jakotaulu'!L$10*Ohj.lask.[[#This Row],[%-osuus 1]],0),0)</f>
        <v>13181328</v>
      </c>
      <c r="M67" s="211">
        <f>IFERROR(ROUND(VLOOKUP($A67,'2.2 Tutk. ja osien pain. pist.'!$A:$Q,COLUMN('2.2 Tutk. ja osien pain. pist.'!P:P),FALSE),1),0)</f>
        <v>197398.6</v>
      </c>
      <c r="N67" s="18">
        <f>IFERROR(Ohj.lask.[[#This Row],[Painotetut pisteet 2]]/Ohj.lask.[[#Totals],[Painotetut pisteet 2]],0)</f>
        <v>1.2614611008137216E-2</v>
      </c>
      <c r="O67" s="25">
        <f>ROUND(IFERROR('1.1 Jakotaulu'!K$11*Ohj.lask.[[#This Row],[%-osuus 2]],0),0)</f>
        <v>4670900</v>
      </c>
      <c r="P67" s="233">
        <f>IFERROR(ROUND(VLOOKUP($A67,'2.3 Työll. ja jatko-opisk.'!$A:$K,COLUMN('2.3 Työll. ja jatko-opisk.'!I:I),FALSE),1),0)</f>
        <v>2623.3</v>
      </c>
      <c r="Q67" s="18">
        <f>IFERROR(Ohj.lask.[[#This Row],[Painotetut pisteet 3]]/Ohj.lask.[[#Totals],[Painotetut pisteet 3]],0)</f>
        <v>1.3848474994298652E-2</v>
      </c>
      <c r="R67" s="19">
        <f>ROUND(IFERROR('1.1 Jakotaulu'!L$13*Ohj.lask.[[#This Row],[%-osuus 3]],0),0)</f>
        <v>1922914</v>
      </c>
      <c r="S67" s="211">
        <f>IFERROR(ROUND(VLOOKUP($A67,'2.4 Aloittaneet palaute'!$A:$K,COLUMN('2.4 Aloittaneet palaute'!J:J),FALSE),1),0)</f>
        <v>17569.599999999999</v>
      </c>
      <c r="T67" s="22">
        <f>IFERROR(Ohj.lask.[[#This Row],[Painotetut pisteet 4]]/Ohj.lask.[[#Totals],[Painotetut pisteet 4]],0)</f>
        <v>1.4111711396803688E-2</v>
      </c>
      <c r="U67" s="25">
        <f>ROUND(IFERROR('1.1 Jakotaulu'!M$16*Ohj.lask.[[#This Row],[%-osuus 4]],0),0)</f>
        <v>163289</v>
      </c>
      <c r="V67" s="235">
        <f>IFERROR(ROUND(VLOOKUP($A67,'2.5 Päättäneet palaute'!$A:$AC,COLUMN('2.5 Päättäneet palaute'!AB:AB),FALSE),1),0)</f>
        <v>96449.8</v>
      </c>
      <c r="W67" s="22">
        <f>IFERROR(Ohj.lask.[[#This Row],[Painotetut pisteet 5]]/Ohj.lask.[[#Totals],[Painotetut pisteet 5]],0)</f>
        <v>1.4564847365217423E-2</v>
      </c>
      <c r="X67" s="19">
        <f>ROUND(IFERROR('1.1 Jakotaulu'!M$17*Ohj.lask.[[#This Row],[%-osuus 5]],0),0)</f>
        <v>505596</v>
      </c>
      <c r="Y67" s="21">
        <f>IFERROR(Ohj.lask.[[#This Row],[Jaettava € 6]]/Ohj.lask.[[#Totals],[Jaettava € 6]],"")</f>
        <v>1.1876498907135239E-2</v>
      </c>
      <c r="Z67" s="25">
        <f>IFERROR(Ohj.lask.[[#This Row],[Jaettava € 1]]+Ohj.lask.[[#This Row],[Jaettava € 2]]+Ohj.lask.[[#This Row],[Jaettava € 3]]+Ohj.lask.[[#This Row],[Jaettava € 4]]+Ohj.lask.[[#This Row],[Jaettava € 5]],"")</f>
        <v>20444027</v>
      </c>
      <c r="AA67" s="123">
        <f>0</f>
        <v>0</v>
      </c>
      <c r="AB67" s="19">
        <f>Ohj.lask.[[#This Row],[Jaettava € 1]]+Ohj.lask.[[#This Row],[Jaettava €]]</f>
        <v>13181328</v>
      </c>
      <c r="AC67" s="107">
        <f>Ohj.lask.[[#This Row],[Jaettava € 2]]</f>
        <v>4670900</v>
      </c>
      <c r="AD67" s="19">
        <f>Ohj.lask.[[#This Row],[Jaettava € 3]]+Ohj.lask.[[#This Row],[Jaettava € 4]]+Ohj.lask.[[#This Row],[Jaettava € 5]]</f>
        <v>2591799</v>
      </c>
      <c r="AE67" s="36">
        <f>Ohj.lask.[[#This Row],[Jaettava € 6]]+Ohj.lask.[[#This Row],[Jaettava €]]</f>
        <v>20444027</v>
      </c>
      <c r="AF67" s="36">
        <f>IFERROR(VLOOKUP(Ohj.lask.[[#This Row],[Y-tunnus]],'3.1 Alv vahvistettu'!A:Y,COLUMN(C:C),FALSE),0)</f>
        <v>0</v>
      </c>
      <c r="AG67" s="25">
        <f>Ohj.lask.[[#This Row],[Perus-, suoritus- ja vaikuttavuusrahoitus yhteensä, €]]+Ohj.lask.[[#This Row],[Alv-korvaus, €]]</f>
        <v>20444027</v>
      </c>
    </row>
    <row r="68" spans="1:33" x14ac:dyDescent="0.2">
      <c r="A68" s="131" t="s">
        <v>347</v>
      </c>
      <c r="B68" s="16" t="s">
        <v>77</v>
      </c>
      <c r="C68" s="16" t="s">
        <v>254</v>
      </c>
      <c r="D68" s="16" t="s">
        <v>412</v>
      </c>
      <c r="E68" s="16" t="s">
        <v>474</v>
      </c>
      <c r="F68" s="114">
        <v>77</v>
      </c>
      <c r="G68" s="122">
        <f>0</f>
        <v>0</v>
      </c>
      <c r="H68" s="35">
        <f t="shared" si="2"/>
        <v>77</v>
      </c>
      <c r="I68" s="17">
        <f>IFERROR(VLOOKUP($A68,'2.1 Toteut. op.vuodet'!$A:$Q,COLUMN('2.1 Toteut. op.vuodet'!Q:Q),FALSE),0)</f>
        <v>0.9139645561501325</v>
      </c>
      <c r="J68" s="11">
        <f t="shared" si="3"/>
        <v>70.400000000000006</v>
      </c>
      <c r="K68" s="18">
        <f>IFERROR(Ohj.lask.[[#This Row],[Painotetut opiskelija-vuodet]]/Ohj.lask.[[#Totals],[Painotetut opiskelija-vuodet]],0)</f>
        <v>3.5198556859168759E-4</v>
      </c>
      <c r="L68" s="19">
        <f>ROUND(IFERROR('1.1 Jakotaulu'!L$10*Ohj.lask.[[#This Row],[%-osuus 1]],0),0)</f>
        <v>410404</v>
      </c>
      <c r="M68" s="211">
        <f>IFERROR(ROUND(VLOOKUP($A68,'2.2 Tutk. ja osien pain. pist.'!$A:$Q,COLUMN('2.2 Tutk. ja osien pain. pist.'!P:P),FALSE),1),0)</f>
        <v>26346.1</v>
      </c>
      <c r="N68" s="18">
        <f>IFERROR(Ohj.lask.[[#This Row],[Painotetut pisteet 2]]/Ohj.lask.[[#Totals],[Painotetut pisteet 2]],0)</f>
        <v>1.6836279643395844E-3</v>
      </c>
      <c r="O68" s="25">
        <f>ROUND(IFERROR('1.1 Jakotaulu'!K$11*Ohj.lask.[[#This Row],[%-osuus 2]],0),0)</f>
        <v>623409</v>
      </c>
      <c r="P68" s="233">
        <f>IFERROR(ROUND(VLOOKUP($A68,'2.3 Työll. ja jatko-opisk.'!$A:$K,COLUMN('2.3 Työll. ja jatko-opisk.'!I:I),FALSE),1),0)</f>
        <v>330.3</v>
      </c>
      <c r="Q68" s="18">
        <f>IFERROR(Ohj.lask.[[#This Row],[Painotetut pisteet 3]]/Ohj.lask.[[#Totals],[Painotetut pisteet 3]],0)</f>
        <v>1.7436630544035545E-3</v>
      </c>
      <c r="R68" s="19">
        <f>ROUND(IFERROR('1.1 Jakotaulu'!L$13*Ohj.lask.[[#This Row],[%-osuus 3]],0),0)</f>
        <v>242114</v>
      </c>
      <c r="S68" s="211">
        <f>IFERROR(ROUND(VLOOKUP($A68,'2.4 Aloittaneet palaute'!$A:$K,COLUMN('2.4 Aloittaneet palaute'!J:J),FALSE),1),0)</f>
        <v>4721.2</v>
      </c>
      <c r="T68" s="22">
        <f>IFERROR(Ohj.lask.[[#This Row],[Painotetut pisteet 4]]/Ohj.lask.[[#Totals],[Painotetut pisteet 4]],0)</f>
        <v>3.7920164287513418E-3</v>
      </c>
      <c r="U68" s="25">
        <f>ROUND(IFERROR('1.1 Jakotaulu'!M$16*Ohj.lask.[[#This Row],[%-osuus 4]],0),0)</f>
        <v>43878</v>
      </c>
      <c r="V68" s="235">
        <f>IFERROR(ROUND(VLOOKUP($A68,'2.5 Päättäneet palaute'!$A:$AC,COLUMN('2.5 Päättäneet palaute'!AB:AB),FALSE),1),0)</f>
        <v>30738.6</v>
      </c>
      <c r="W68" s="22">
        <f>IFERROR(Ohj.lask.[[#This Row],[Painotetut pisteet 5]]/Ohj.lask.[[#Totals],[Painotetut pisteet 5]],0)</f>
        <v>4.6418242155035283E-3</v>
      </c>
      <c r="X68" s="19">
        <f>ROUND(IFERROR('1.1 Jakotaulu'!M$17*Ohj.lask.[[#This Row],[%-osuus 5]],0),0)</f>
        <v>161134</v>
      </c>
      <c r="Y68" s="21">
        <f>IFERROR(Ohj.lask.[[#This Row],[Jaettava € 6]]/Ohj.lask.[[#Totals],[Jaettava € 6]],"")</f>
        <v>8.6031829321268037E-4</v>
      </c>
      <c r="Z68" s="25">
        <f>IFERROR(Ohj.lask.[[#This Row],[Jaettava € 1]]+Ohj.lask.[[#This Row],[Jaettava € 2]]+Ohj.lask.[[#This Row],[Jaettava € 3]]+Ohj.lask.[[#This Row],[Jaettava € 4]]+Ohj.lask.[[#This Row],[Jaettava € 5]],"")</f>
        <v>1480939</v>
      </c>
      <c r="AA68" s="123">
        <f>0</f>
        <v>0</v>
      </c>
      <c r="AB68" s="19">
        <f>Ohj.lask.[[#This Row],[Jaettava € 1]]+Ohj.lask.[[#This Row],[Jaettava €]]</f>
        <v>410404</v>
      </c>
      <c r="AC68" s="107">
        <f>Ohj.lask.[[#This Row],[Jaettava € 2]]</f>
        <v>623409</v>
      </c>
      <c r="AD68" s="19">
        <f>Ohj.lask.[[#This Row],[Jaettava € 3]]+Ohj.lask.[[#This Row],[Jaettava € 4]]+Ohj.lask.[[#This Row],[Jaettava € 5]]</f>
        <v>447126</v>
      </c>
      <c r="AE68" s="36">
        <f>Ohj.lask.[[#This Row],[Jaettava € 6]]+Ohj.lask.[[#This Row],[Jaettava €]]</f>
        <v>1480939</v>
      </c>
      <c r="AF68" s="36">
        <f>IFERROR(VLOOKUP(Ohj.lask.[[#This Row],[Y-tunnus]],'3.1 Alv vahvistettu'!A:Y,COLUMN(C:C),FALSE),0)</f>
        <v>145403.82</v>
      </c>
      <c r="AG68" s="25">
        <f>Ohj.lask.[[#This Row],[Perus-, suoritus- ja vaikuttavuusrahoitus yhteensä, €]]+Ohj.lask.[[#This Row],[Alv-korvaus, €]]</f>
        <v>1626342.82</v>
      </c>
    </row>
    <row r="69" spans="1:33" x14ac:dyDescent="0.2">
      <c r="A69" s="131" t="s">
        <v>346</v>
      </c>
      <c r="B69" s="16" t="s">
        <v>78</v>
      </c>
      <c r="C69" s="16" t="s">
        <v>254</v>
      </c>
      <c r="D69" s="16" t="s">
        <v>413</v>
      </c>
      <c r="E69" s="16" t="s">
        <v>474</v>
      </c>
      <c r="F69" s="114">
        <v>2256</v>
      </c>
      <c r="G69" s="122">
        <f>0</f>
        <v>0</v>
      </c>
      <c r="H69" s="35">
        <f t="shared" si="2"/>
        <v>2256</v>
      </c>
      <c r="I69" s="17">
        <f>IFERROR(VLOOKUP($A69,'2.1 Toteut. op.vuodet'!$A:$Q,COLUMN('2.1 Toteut. op.vuodet'!Q:Q),FALSE),0)</f>
        <v>1.0098258880644133</v>
      </c>
      <c r="J69" s="11">
        <f t="shared" si="3"/>
        <v>2278.1999999999998</v>
      </c>
      <c r="K69" s="18">
        <f>IFERROR(Ohj.lask.[[#This Row],[Painotetut opiskelija-vuodet]]/Ohj.lask.[[#Totals],[Painotetut opiskelija-vuodet]],0)</f>
        <v>1.1390532988147479E-2</v>
      </c>
      <c r="L69" s="19">
        <f>ROUND(IFERROR('1.1 Jakotaulu'!L$10*Ohj.lask.[[#This Row],[%-osuus 1]],0),0)</f>
        <v>13281014</v>
      </c>
      <c r="M69" s="211">
        <f>IFERROR(ROUND(VLOOKUP($A69,'2.2 Tutk. ja osien pain. pist.'!$A:$Q,COLUMN('2.2 Tutk. ja osien pain. pist.'!P:P),FALSE),1),0)</f>
        <v>220200.7</v>
      </c>
      <c r="N69" s="18">
        <f>IFERROR(Ohj.lask.[[#This Row],[Painotetut pisteet 2]]/Ohj.lask.[[#Totals],[Painotetut pisteet 2]],0)</f>
        <v>1.4071762283114068E-2</v>
      </c>
      <c r="O69" s="25">
        <f>ROUND(IFERROR('1.1 Jakotaulu'!K$11*Ohj.lask.[[#This Row],[%-osuus 2]],0),0)</f>
        <v>5210450</v>
      </c>
      <c r="P69" s="233">
        <f>IFERROR(ROUND(VLOOKUP($A69,'2.3 Työll. ja jatko-opisk.'!$A:$K,COLUMN('2.3 Työll. ja jatko-opisk.'!I:I),FALSE),1),0)</f>
        <v>2364</v>
      </c>
      <c r="Q69" s="18">
        <f>IFERROR(Ohj.lask.[[#This Row],[Painotetut pisteet 3]]/Ohj.lask.[[#Totals],[Painotetut pisteet 3]],0)</f>
        <v>1.2479622950681207E-2</v>
      </c>
      <c r="R69" s="19">
        <f>ROUND(IFERROR('1.1 Jakotaulu'!L$13*Ohj.lask.[[#This Row],[%-osuus 3]],0),0)</f>
        <v>1732844</v>
      </c>
      <c r="S69" s="211">
        <f>IFERROR(ROUND(VLOOKUP($A69,'2.4 Aloittaneet palaute'!$A:$K,COLUMN('2.4 Aloittaneet palaute'!J:J),FALSE),1),0)</f>
        <v>13529.1</v>
      </c>
      <c r="T69" s="22">
        <f>IFERROR(Ohj.lask.[[#This Row],[Painotetut pisteet 4]]/Ohj.lask.[[#Totals],[Painotetut pisteet 4]],0)</f>
        <v>1.0866425795607003E-2</v>
      </c>
      <c r="U69" s="25">
        <f>ROUND(IFERROR('1.1 Jakotaulu'!M$16*Ohj.lask.[[#This Row],[%-osuus 4]],0),0)</f>
        <v>125737</v>
      </c>
      <c r="V69" s="235">
        <f>IFERROR(ROUND(VLOOKUP($A69,'2.5 Päättäneet palaute'!$A:$AC,COLUMN('2.5 Päättäneet palaute'!AB:AB),FALSE),1),0)</f>
        <v>92229.9</v>
      </c>
      <c r="W69" s="22">
        <f>IFERROR(Ohj.lask.[[#This Row],[Painotetut pisteet 5]]/Ohj.lask.[[#Totals],[Painotetut pisteet 5]],0)</f>
        <v>1.392760188211138E-2</v>
      </c>
      <c r="X69" s="19">
        <f>ROUND(IFERROR('1.1 Jakotaulu'!M$17*Ohj.lask.[[#This Row],[%-osuus 5]],0),0)</f>
        <v>483475</v>
      </c>
      <c r="Y69" s="21">
        <f>IFERROR(Ohj.lask.[[#This Row],[Jaettava € 6]]/Ohj.lask.[[#Totals],[Jaettava € 6]],"")</f>
        <v>1.2102766128795473E-2</v>
      </c>
      <c r="Z69" s="25">
        <f>IFERROR(Ohj.lask.[[#This Row],[Jaettava € 1]]+Ohj.lask.[[#This Row],[Jaettava € 2]]+Ohj.lask.[[#This Row],[Jaettava € 3]]+Ohj.lask.[[#This Row],[Jaettava € 4]]+Ohj.lask.[[#This Row],[Jaettava € 5]],"")</f>
        <v>20833520</v>
      </c>
      <c r="AA69" s="123">
        <f>0</f>
        <v>0</v>
      </c>
      <c r="AB69" s="19">
        <f>Ohj.lask.[[#This Row],[Jaettava € 1]]+Ohj.lask.[[#This Row],[Jaettava €]]</f>
        <v>13281014</v>
      </c>
      <c r="AC69" s="107">
        <f>Ohj.lask.[[#This Row],[Jaettava € 2]]</f>
        <v>5210450</v>
      </c>
      <c r="AD69" s="19">
        <f>Ohj.lask.[[#This Row],[Jaettava € 3]]+Ohj.lask.[[#This Row],[Jaettava € 4]]+Ohj.lask.[[#This Row],[Jaettava € 5]]</f>
        <v>2342056</v>
      </c>
      <c r="AE69" s="36">
        <f>Ohj.lask.[[#This Row],[Jaettava € 6]]+Ohj.lask.[[#This Row],[Jaettava €]]</f>
        <v>20833520</v>
      </c>
      <c r="AF69" s="36">
        <f>IFERROR(VLOOKUP(Ohj.lask.[[#This Row],[Y-tunnus]],'3.1 Alv vahvistettu'!A:Y,COLUMN(C:C),FALSE),0)</f>
        <v>0</v>
      </c>
      <c r="AG69" s="25">
        <f>Ohj.lask.[[#This Row],[Perus-, suoritus- ja vaikuttavuusrahoitus yhteensä, €]]+Ohj.lask.[[#This Row],[Alv-korvaus, €]]</f>
        <v>20833520</v>
      </c>
    </row>
    <row r="70" spans="1:33" x14ac:dyDescent="0.2">
      <c r="A70" s="131" t="s">
        <v>342</v>
      </c>
      <c r="B70" s="16" t="s">
        <v>79</v>
      </c>
      <c r="C70" s="16" t="s">
        <v>244</v>
      </c>
      <c r="D70" s="16" t="s">
        <v>412</v>
      </c>
      <c r="E70" s="16" t="s">
        <v>474</v>
      </c>
      <c r="F70" s="114">
        <v>82</v>
      </c>
      <c r="G70" s="122">
        <f>0</f>
        <v>0</v>
      </c>
      <c r="H70" s="35">
        <f t="shared" ref="H70:H101" si="4">IFERROR(F70+G70,0)</f>
        <v>82</v>
      </c>
      <c r="I70" s="17">
        <f>IFERROR(VLOOKUP($A70,'2.1 Toteut. op.vuodet'!$A:$Q,COLUMN('2.1 Toteut. op.vuodet'!Q:Q),FALSE),0)</f>
        <v>0.75264525828721907</v>
      </c>
      <c r="J70" s="11">
        <f t="shared" ref="J70:J101" si="5">IFERROR(ROUND(H70*I70,1),0)</f>
        <v>61.7</v>
      </c>
      <c r="K70" s="18">
        <f>IFERROR(Ohj.lask.[[#This Row],[Painotetut opiskelija-vuodet]]/Ohj.lask.[[#Totals],[Painotetut opiskelija-vuodet]],0)</f>
        <v>3.084873520185671E-4</v>
      </c>
      <c r="L70" s="19">
        <f>ROUND(IFERROR('1.1 Jakotaulu'!L$10*Ohj.lask.[[#This Row],[%-osuus 1]],0),0)</f>
        <v>359687</v>
      </c>
      <c r="M70" s="211">
        <f>IFERROR(ROUND(VLOOKUP($A70,'2.2 Tutk. ja osien pain. pist.'!$A:$Q,COLUMN('2.2 Tutk. ja osien pain. pist.'!P:P),FALSE),1),0)</f>
        <v>6855.9</v>
      </c>
      <c r="N70" s="18">
        <f>IFERROR(Ohj.lask.[[#This Row],[Painotetut pisteet 2]]/Ohj.lask.[[#Totals],[Painotetut pisteet 2]],0)</f>
        <v>4.3812120050845308E-4</v>
      </c>
      <c r="O70" s="25">
        <f>ROUND(IFERROR('1.1 Jakotaulu'!K$11*Ohj.lask.[[#This Row],[%-osuus 2]],0),0)</f>
        <v>162226</v>
      </c>
      <c r="P70" s="233">
        <f>IFERROR(ROUND(VLOOKUP($A70,'2.3 Työll. ja jatko-opisk.'!$A:$K,COLUMN('2.3 Työll. ja jatko-opisk.'!I:I),FALSE),1),0)</f>
        <v>110.4</v>
      </c>
      <c r="Q70" s="18">
        <f>IFERROR(Ohj.lask.[[#This Row],[Painotetut pisteet 3]]/Ohj.lask.[[#Totals],[Painotetut pisteet 3]],0)</f>
        <v>5.8280472663079744E-4</v>
      </c>
      <c r="R70" s="19">
        <f>ROUND(IFERROR('1.1 Jakotaulu'!L$13*Ohj.lask.[[#This Row],[%-osuus 3]],0),0)</f>
        <v>80925</v>
      </c>
      <c r="S70" s="211">
        <f>IFERROR(ROUND(VLOOKUP($A70,'2.4 Aloittaneet palaute'!$A:$K,COLUMN('2.4 Aloittaneet palaute'!J:J),FALSE),1),0)</f>
        <v>1247.7</v>
      </c>
      <c r="T70" s="22">
        <f>IFERROR(Ohj.lask.[[#This Row],[Painotetut pisteet 4]]/Ohj.lask.[[#Totals],[Painotetut pisteet 4]],0)</f>
        <v>1.0021390532392294E-3</v>
      </c>
      <c r="U70" s="25">
        <f>ROUND(IFERROR('1.1 Jakotaulu'!M$16*Ohj.lask.[[#This Row],[%-osuus 4]],0),0)</f>
        <v>11596</v>
      </c>
      <c r="V70" s="235">
        <f>IFERROR(ROUND(VLOOKUP($A70,'2.5 Päättäneet palaute'!$A:$AC,COLUMN('2.5 Päättäneet palaute'!AB:AB),FALSE),1),0)</f>
        <v>7243.1</v>
      </c>
      <c r="W70" s="22">
        <f>IFERROR(Ohj.lask.[[#This Row],[Painotetut pisteet 5]]/Ohj.lask.[[#Totals],[Painotetut pisteet 5]],0)</f>
        <v>1.0937777574552389E-3</v>
      </c>
      <c r="X70" s="19">
        <f>ROUND(IFERROR('1.1 Jakotaulu'!M$17*Ohj.lask.[[#This Row],[%-osuus 5]],0),0)</f>
        <v>37969</v>
      </c>
      <c r="Y70" s="21">
        <f>IFERROR(Ohj.lask.[[#This Row],[Jaettava € 6]]/Ohj.lask.[[#Totals],[Jaettava € 6]],"")</f>
        <v>3.7899888884473454E-4</v>
      </c>
      <c r="Z70" s="25">
        <f>IFERROR(Ohj.lask.[[#This Row],[Jaettava € 1]]+Ohj.lask.[[#This Row],[Jaettava € 2]]+Ohj.lask.[[#This Row],[Jaettava € 3]]+Ohj.lask.[[#This Row],[Jaettava € 4]]+Ohj.lask.[[#This Row],[Jaettava € 5]],"")</f>
        <v>652403</v>
      </c>
      <c r="AA70" s="123">
        <f>0</f>
        <v>0</v>
      </c>
      <c r="AB70" s="19">
        <f>Ohj.lask.[[#This Row],[Jaettava € 1]]+Ohj.lask.[[#This Row],[Jaettava €]]</f>
        <v>359687</v>
      </c>
      <c r="AC70" s="107">
        <f>Ohj.lask.[[#This Row],[Jaettava € 2]]</f>
        <v>162226</v>
      </c>
      <c r="AD70" s="19">
        <f>Ohj.lask.[[#This Row],[Jaettava € 3]]+Ohj.lask.[[#This Row],[Jaettava € 4]]+Ohj.lask.[[#This Row],[Jaettava € 5]]</f>
        <v>130490</v>
      </c>
      <c r="AE70" s="36">
        <f>Ohj.lask.[[#This Row],[Jaettava € 6]]+Ohj.lask.[[#This Row],[Jaettava €]]</f>
        <v>652403</v>
      </c>
      <c r="AF70" s="36">
        <f>IFERROR(VLOOKUP(Ohj.lask.[[#This Row],[Y-tunnus]],'3.1 Alv vahvistettu'!A:Y,COLUMN(C:C),FALSE),0)</f>
        <v>27483.71</v>
      </c>
      <c r="AG70" s="25">
        <f>Ohj.lask.[[#This Row],[Perus-, suoritus- ja vaikuttavuusrahoitus yhteensä, €]]+Ohj.lask.[[#This Row],[Alv-korvaus, €]]</f>
        <v>679886.71</v>
      </c>
    </row>
    <row r="71" spans="1:33" x14ac:dyDescent="0.2">
      <c r="A71" s="131" t="s">
        <v>341</v>
      </c>
      <c r="B71" s="16" t="s">
        <v>80</v>
      </c>
      <c r="C71" s="16" t="s">
        <v>240</v>
      </c>
      <c r="D71" s="16" t="s">
        <v>412</v>
      </c>
      <c r="E71" s="16" t="s">
        <v>474</v>
      </c>
      <c r="F71" s="114">
        <v>52</v>
      </c>
      <c r="G71" s="122">
        <f>0</f>
        <v>0</v>
      </c>
      <c r="H71" s="35">
        <f t="shared" si="4"/>
        <v>52</v>
      </c>
      <c r="I71" s="17">
        <f>IFERROR(VLOOKUP($A71,'2.1 Toteut. op.vuodet'!$A:$Q,COLUMN('2.1 Toteut. op.vuodet'!Q:Q),FALSE),0)</f>
        <v>1.5900000000000025</v>
      </c>
      <c r="J71" s="11">
        <f t="shared" si="5"/>
        <v>82.7</v>
      </c>
      <c r="K71" s="18">
        <f>IFERROR(Ohj.lask.[[#This Row],[Painotetut opiskelija-vuodet]]/Ohj.lask.[[#Totals],[Painotetut opiskelija-vuodet]],0)</f>
        <v>4.1348304719506483E-4</v>
      </c>
      <c r="L71" s="19">
        <f>ROUND(IFERROR('1.1 Jakotaulu'!L$10*Ohj.lask.[[#This Row],[%-osuus 1]],0),0)</f>
        <v>482109</v>
      </c>
      <c r="M71" s="211">
        <f>IFERROR(ROUND(VLOOKUP($A71,'2.2 Tutk. ja osien pain. pist.'!$A:$Q,COLUMN('2.2 Tutk. ja osien pain. pist.'!P:P),FALSE),1),0)</f>
        <v>9797.7000000000007</v>
      </c>
      <c r="N71" s="18">
        <f>IFERROR(Ohj.lask.[[#This Row],[Painotetut pisteet 2]]/Ohj.lask.[[#Totals],[Painotetut pisteet 2]],0)</f>
        <v>6.2611474587168298E-4</v>
      </c>
      <c r="O71" s="25">
        <f>ROUND(IFERROR('1.1 Jakotaulu'!K$11*Ohj.lask.[[#This Row],[%-osuus 2]],0),0)</f>
        <v>231836</v>
      </c>
      <c r="P71" s="233">
        <f>IFERROR(ROUND(VLOOKUP($A71,'2.3 Työll. ja jatko-opisk.'!$A:$K,COLUMN('2.3 Työll. ja jatko-opisk.'!I:I),FALSE),1),0)</f>
        <v>99.6</v>
      </c>
      <c r="Q71" s="18">
        <f>IFERROR(Ohj.lask.[[#This Row],[Painotetut pisteet 3]]/Ohj.lask.[[#Totals],[Painotetut pisteet 3]],0)</f>
        <v>5.2579122076474119E-4</v>
      </c>
      <c r="R71" s="19">
        <f>ROUND(IFERROR('1.1 Jakotaulu'!L$13*Ohj.lask.[[#This Row],[%-osuus 3]],0),0)</f>
        <v>73008</v>
      </c>
      <c r="S71" s="211">
        <f>IFERROR(ROUND(VLOOKUP($A71,'2.4 Aloittaneet palaute'!$A:$K,COLUMN('2.4 Aloittaneet palaute'!J:J),FALSE),1),0)</f>
        <v>328.7</v>
      </c>
      <c r="T71" s="22">
        <f>IFERROR(Ohj.lask.[[#This Row],[Painotetut pisteet 4]]/Ohj.lask.[[#Totals],[Painotetut pisteet 4]],0)</f>
        <v>2.6400826063936419E-4</v>
      </c>
      <c r="U71" s="25">
        <f>ROUND(IFERROR('1.1 Jakotaulu'!M$16*Ohj.lask.[[#This Row],[%-osuus 4]],0),0)</f>
        <v>3055</v>
      </c>
      <c r="V71" s="235">
        <f>IFERROR(ROUND(VLOOKUP($A71,'2.5 Päättäneet palaute'!$A:$AC,COLUMN('2.5 Päättäneet palaute'!AB:AB),FALSE),1),0)</f>
        <v>1125</v>
      </c>
      <c r="W71" s="22">
        <f>IFERROR(Ohj.lask.[[#This Row],[Painotetut pisteet 5]]/Ohj.lask.[[#Totals],[Painotetut pisteet 5]],0)</f>
        <v>1.6988581921237368E-4</v>
      </c>
      <c r="X71" s="19">
        <f>ROUND(IFERROR('1.1 Jakotaulu'!M$17*Ohj.lask.[[#This Row],[%-osuus 5]],0),0)</f>
        <v>5897</v>
      </c>
      <c r="Y71" s="21">
        <f>IFERROR(Ohj.lask.[[#This Row],[Jaettava € 6]]/Ohj.lask.[[#Totals],[Jaettava € 6]],"")</f>
        <v>4.6236315686158468E-4</v>
      </c>
      <c r="Z71" s="25">
        <f>IFERROR(Ohj.lask.[[#This Row],[Jaettava € 1]]+Ohj.lask.[[#This Row],[Jaettava € 2]]+Ohj.lask.[[#This Row],[Jaettava € 3]]+Ohj.lask.[[#This Row],[Jaettava € 4]]+Ohj.lask.[[#This Row],[Jaettava € 5]],"")</f>
        <v>795905</v>
      </c>
      <c r="AA71" s="123">
        <f>0</f>
        <v>0</v>
      </c>
      <c r="AB71" s="19">
        <f>Ohj.lask.[[#This Row],[Jaettava € 1]]+Ohj.lask.[[#This Row],[Jaettava €]]</f>
        <v>482109</v>
      </c>
      <c r="AC71" s="107">
        <f>Ohj.lask.[[#This Row],[Jaettava € 2]]</f>
        <v>231836</v>
      </c>
      <c r="AD71" s="19">
        <f>Ohj.lask.[[#This Row],[Jaettava € 3]]+Ohj.lask.[[#This Row],[Jaettava € 4]]+Ohj.lask.[[#This Row],[Jaettava € 5]]</f>
        <v>81960</v>
      </c>
      <c r="AE71" s="36">
        <f>Ohj.lask.[[#This Row],[Jaettava € 6]]+Ohj.lask.[[#This Row],[Jaettava €]]</f>
        <v>795905</v>
      </c>
      <c r="AF71" s="36">
        <f>IFERROR(VLOOKUP(Ohj.lask.[[#This Row],[Y-tunnus]],'3.1 Alv vahvistettu'!A:Y,COLUMN(C:C),FALSE),0)</f>
        <v>13349.19</v>
      </c>
      <c r="AG71" s="25">
        <f>Ohj.lask.[[#This Row],[Perus-, suoritus- ja vaikuttavuusrahoitus yhteensä, €]]+Ohj.lask.[[#This Row],[Alv-korvaus, €]]</f>
        <v>809254.19</v>
      </c>
    </row>
    <row r="72" spans="1:33" x14ac:dyDescent="0.2">
      <c r="A72" s="131" t="s">
        <v>340</v>
      </c>
      <c r="B72" s="16" t="s">
        <v>440</v>
      </c>
      <c r="C72" s="16" t="s">
        <v>240</v>
      </c>
      <c r="D72" s="16" t="s">
        <v>412</v>
      </c>
      <c r="E72" s="16" t="s">
        <v>474</v>
      </c>
      <c r="F72" s="114">
        <v>90</v>
      </c>
      <c r="G72" s="122">
        <f>0</f>
        <v>0</v>
      </c>
      <c r="H72" s="35">
        <f t="shared" si="4"/>
        <v>90</v>
      </c>
      <c r="I72" s="17">
        <f>IFERROR(VLOOKUP($A72,'2.1 Toteut. op.vuodet'!$A:$Q,COLUMN('2.1 Toteut. op.vuodet'!Q:Q),FALSE),0)</f>
        <v>1.079667167650741</v>
      </c>
      <c r="J72" s="11">
        <f t="shared" si="5"/>
        <v>97.2</v>
      </c>
      <c r="K72" s="18">
        <f>IFERROR(Ohj.lask.[[#This Row],[Painotetut opiskelija-vuodet]]/Ohj.lask.[[#Totals],[Painotetut opiskelija-vuodet]],0)</f>
        <v>4.8598007481693228E-4</v>
      </c>
      <c r="L72" s="19">
        <f>ROUND(IFERROR('1.1 Jakotaulu'!L$10*Ohj.lask.[[#This Row],[%-osuus 1]],0),0)</f>
        <v>566638</v>
      </c>
      <c r="M72" s="211">
        <f>IFERROR(ROUND(VLOOKUP($A72,'2.2 Tutk. ja osien pain. pist.'!$A:$Q,COLUMN('2.2 Tutk. ja osien pain. pist.'!P:P),FALSE),1),0)</f>
        <v>11784.8</v>
      </c>
      <c r="N72" s="18">
        <f>IFERROR(Ohj.lask.[[#This Row],[Painotetut pisteet 2]]/Ohj.lask.[[#Totals],[Painotetut pisteet 2]],0)</f>
        <v>7.5309889638880639E-4</v>
      </c>
      <c r="O72" s="25">
        <f>ROUND(IFERROR('1.1 Jakotaulu'!K$11*Ohj.lask.[[#This Row],[%-osuus 2]],0),0)</f>
        <v>278855</v>
      </c>
      <c r="P72" s="233">
        <f>IFERROR(ROUND(VLOOKUP($A72,'2.3 Työll. ja jatko-opisk.'!$A:$K,COLUMN('2.3 Työll. ja jatko-opisk.'!I:I),FALSE),1),0)</f>
        <v>94.1</v>
      </c>
      <c r="Q72" s="18">
        <f>IFERROR(Ohj.lask.[[#This Row],[Painotetut pisteet 3]]/Ohj.lask.[[#Totals],[Painotetut pisteet 3]],0)</f>
        <v>4.967565649996199E-4</v>
      </c>
      <c r="R72" s="19">
        <f>ROUND(IFERROR('1.1 Jakotaulu'!L$13*Ohj.lask.[[#This Row],[%-osuus 3]],0),0)</f>
        <v>68977</v>
      </c>
      <c r="S72" s="211">
        <f>IFERROR(ROUND(VLOOKUP($A72,'2.4 Aloittaneet palaute'!$A:$K,COLUMN('2.4 Aloittaneet palaute'!J:J),FALSE),1),0)</f>
        <v>904.8</v>
      </c>
      <c r="T72" s="22">
        <f>IFERROR(Ohj.lask.[[#This Row],[Painotetut pisteet 4]]/Ohj.lask.[[#Totals],[Painotetut pisteet 4]],0)</f>
        <v>7.2672550722998686E-4</v>
      </c>
      <c r="U72" s="25">
        <f>ROUND(IFERROR('1.1 Jakotaulu'!M$16*Ohj.lask.[[#This Row],[%-osuus 4]],0),0)</f>
        <v>8409</v>
      </c>
      <c r="V72" s="235">
        <f>IFERROR(ROUND(VLOOKUP($A72,'2.5 Päättäneet palaute'!$A:$AC,COLUMN('2.5 Päättäneet palaute'!AB:AB),FALSE),1),0)</f>
        <v>7979.6</v>
      </c>
      <c r="W72" s="22">
        <f>IFERROR(Ohj.lask.[[#This Row],[Painotetut pisteet 5]]/Ohj.lask.[[#Totals],[Painotetut pisteet 5]],0)</f>
        <v>1.2049963404329397E-3</v>
      </c>
      <c r="X72" s="19">
        <f>ROUND(IFERROR('1.1 Jakotaulu'!M$17*Ohj.lask.[[#This Row],[%-osuus 5]],0),0)</f>
        <v>41830</v>
      </c>
      <c r="Y72" s="21">
        <f>IFERROR(Ohj.lask.[[#This Row],[Jaettava € 6]]/Ohj.lask.[[#Totals],[Jaettava € 6]],"")</f>
        <v>5.6042605423107345E-4</v>
      </c>
      <c r="Z72" s="25">
        <f>IFERROR(Ohj.lask.[[#This Row],[Jaettava € 1]]+Ohj.lask.[[#This Row],[Jaettava € 2]]+Ohj.lask.[[#This Row],[Jaettava € 3]]+Ohj.lask.[[#This Row],[Jaettava € 4]]+Ohj.lask.[[#This Row],[Jaettava € 5]],"")</f>
        <v>964709</v>
      </c>
      <c r="AA72" s="123">
        <f>0</f>
        <v>0</v>
      </c>
      <c r="AB72" s="19">
        <f>Ohj.lask.[[#This Row],[Jaettava € 1]]+Ohj.lask.[[#This Row],[Jaettava €]]</f>
        <v>566638</v>
      </c>
      <c r="AC72" s="107">
        <f>Ohj.lask.[[#This Row],[Jaettava € 2]]</f>
        <v>278855</v>
      </c>
      <c r="AD72" s="19">
        <f>Ohj.lask.[[#This Row],[Jaettava € 3]]+Ohj.lask.[[#This Row],[Jaettava € 4]]+Ohj.lask.[[#This Row],[Jaettava € 5]]</f>
        <v>119216</v>
      </c>
      <c r="AE72" s="36">
        <f>Ohj.lask.[[#This Row],[Jaettava € 6]]+Ohj.lask.[[#This Row],[Jaettava €]]</f>
        <v>964709</v>
      </c>
      <c r="AF72" s="36">
        <f>IFERROR(VLOOKUP(Ohj.lask.[[#This Row],[Y-tunnus]],'3.1 Alv vahvistettu'!A:Y,COLUMN(C:C),FALSE),0)</f>
        <v>57260</v>
      </c>
      <c r="AG72" s="25">
        <f>Ohj.lask.[[#This Row],[Perus-, suoritus- ja vaikuttavuusrahoitus yhteensä, €]]+Ohj.lask.[[#This Row],[Alv-korvaus, €]]</f>
        <v>1021969</v>
      </c>
    </row>
    <row r="73" spans="1:33" x14ac:dyDescent="0.2">
      <c r="A73" s="131" t="s">
        <v>339</v>
      </c>
      <c r="B73" s="16" t="s">
        <v>82</v>
      </c>
      <c r="C73" s="16" t="s">
        <v>269</v>
      </c>
      <c r="D73" s="16" t="s">
        <v>412</v>
      </c>
      <c r="E73" s="16" t="s">
        <v>474</v>
      </c>
      <c r="F73" s="114">
        <v>139</v>
      </c>
      <c r="G73" s="122">
        <f>0</f>
        <v>0</v>
      </c>
      <c r="H73" s="35">
        <f t="shared" si="4"/>
        <v>139</v>
      </c>
      <c r="I73" s="17">
        <f>IFERROR(VLOOKUP($A73,'2.1 Toteut. op.vuodet'!$A:$Q,COLUMN('2.1 Toteut. op.vuodet'!Q:Q),FALSE),0)</f>
        <v>1.3139855592017669</v>
      </c>
      <c r="J73" s="11">
        <f t="shared" si="5"/>
        <v>182.6</v>
      </c>
      <c r="K73" s="18">
        <f>IFERROR(Ohj.lask.[[#This Row],[Painotetut opiskelija-vuodet]]/Ohj.lask.[[#Totals],[Painotetut opiskelija-vuodet]],0)</f>
        <v>9.1296256853468961E-4</v>
      </c>
      <c r="L73" s="19">
        <f>ROUND(IFERROR('1.1 Jakotaulu'!L$10*Ohj.lask.[[#This Row],[%-osuus 1]],0),0)</f>
        <v>1064487</v>
      </c>
      <c r="M73" s="211">
        <f>IFERROR(ROUND(VLOOKUP($A73,'2.2 Tutk. ja osien pain. pist.'!$A:$Q,COLUMN('2.2 Tutk. ja osien pain. pist.'!P:P),FALSE),1),0)</f>
        <v>19714.900000000001</v>
      </c>
      <c r="N73" s="18">
        <f>IFERROR(Ohj.lask.[[#This Row],[Painotetut pisteet 2]]/Ohj.lask.[[#Totals],[Painotetut pisteet 2]],0)</f>
        <v>1.259866050541009E-3</v>
      </c>
      <c r="O73" s="25">
        <f>ROUND(IFERROR('1.1 Jakotaulu'!K$11*Ohj.lask.[[#This Row],[%-osuus 2]],0),0)</f>
        <v>466499</v>
      </c>
      <c r="P73" s="233">
        <f>IFERROR(ROUND(VLOOKUP($A73,'2.3 Työll. ja jatko-opisk.'!$A:$K,COLUMN('2.3 Työll. ja jatko-opisk.'!I:I),FALSE),1),0)</f>
        <v>197.7</v>
      </c>
      <c r="Q73" s="18">
        <f>IFERROR(Ohj.lask.[[#This Row],[Painotetut pisteet 3]]/Ohj.lask.[[#Totals],[Painotetut pisteet 3]],0)</f>
        <v>1.0436638990480856E-3</v>
      </c>
      <c r="R73" s="19">
        <f>ROUND(IFERROR('1.1 Jakotaulu'!L$13*Ohj.lask.[[#This Row],[%-osuus 3]],0),0)</f>
        <v>144917</v>
      </c>
      <c r="S73" s="211">
        <f>IFERROR(ROUND(VLOOKUP($A73,'2.4 Aloittaneet palaute'!$A:$K,COLUMN('2.4 Aloittaneet palaute'!J:J),FALSE),1),0)</f>
        <v>1448.6</v>
      </c>
      <c r="T73" s="22">
        <f>IFERROR(Ohj.lask.[[#This Row],[Painotetut pisteet 4]]/Ohj.lask.[[#Totals],[Painotetut pisteet 4]],0)</f>
        <v>1.1634997455496894E-3</v>
      </c>
      <c r="U73" s="25">
        <f>ROUND(IFERROR('1.1 Jakotaulu'!M$16*Ohj.lask.[[#This Row],[%-osuus 4]],0),0)</f>
        <v>13463</v>
      </c>
      <c r="V73" s="235">
        <f>IFERROR(ROUND(VLOOKUP($A73,'2.5 Päättäneet palaute'!$A:$AC,COLUMN('2.5 Päättäneet palaute'!AB:AB),FALSE),1),0)</f>
        <v>13886.8</v>
      </c>
      <c r="W73" s="22">
        <f>IFERROR(Ohj.lask.[[#This Row],[Painotetut pisteet 5]]/Ohj.lask.[[#Totals],[Painotetut pisteet 5]],0)</f>
        <v>2.097040350434125E-3</v>
      </c>
      <c r="X73" s="19">
        <f>ROUND(IFERROR('1.1 Jakotaulu'!M$17*Ohj.lask.[[#This Row],[%-osuus 5]],0),0)</f>
        <v>72796</v>
      </c>
      <c r="Y73" s="21">
        <f>IFERROR(Ohj.lask.[[#This Row],[Jaettava € 6]]/Ohj.lask.[[#Totals],[Jaettava € 6]],"")</f>
        <v>1.0236884869695804E-3</v>
      </c>
      <c r="Z73" s="25">
        <f>IFERROR(Ohj.lask.[[#This Row],[Jaettava € 1]]+Ohj.lask.[[#This Row],[Jaettava € 2]]+Ohj.lask.[[#This Row],[Jaettava € 3]]+Ohj.lask.[[#This Row],[Jaettava € 4]]+Ohj.lask.[[#This Row],[Jaettava € 5]],"")</f>
        <v>1762162</v>
      </c>
      <c r="AA73" s="123">
        <f>0</f>
        <v>0</v>
      </c>
      <c r="AB73" s="19">
        <f>Ohj.lask.[[#This Row],[Jaettava € 1]]+Ohj.lask.[[#This Row],[Jaettava €]]</f>
        <v>1064487</v>
      </c>
      <c r="AC73" s="107">
        <f>Ohj.lask.[[#This Row],[Jaettava € 2]]</f>
        <v>466499</v>
      </c>
      <c r="AD73" s="19">
        <f>Ohj.lask.[[#This Row],[Jaettava € 3]]+Ohj.lask.[[#This Row],[Jaettava € 4]]+Ohj.lask.[[#This Row],[Jaettava € 5]]</f>
        <v>231176</v>
      </c>
      <c r="AE73" s="36">
        <f>Ohj.lask.[[#This Row],[Jaettava € 6]]+Ohj.lask.[[#This Row],[Jaettava €]]</f>
        <v>1762162</v>
      </c>
      <c r="AF73" s="36">
        <f>IFERROR(VLOOKUP(Ohj.lask.[[#This Row],[Y-tunnus]],'3.1 Alv vahvistettu'!A:Y,COLUMN(C:C),FALSE),0)</f>
        <v>142721.46</v>
      </c>
      <c r="AG73" s="25">
        <f>Ohj.lask.[[#This Row],[Perus-, suoritus- ja vaikuttavuusrahoitus yhteensä, €]]+Ohj.lask.[[#This Row],[Alv-korvaus, €]]</f>
        <v>1904883.46</v>
      </c>
    </row>
    <row r="74" spans="1:33" x14ac:dyDescent="0.2">
      <c r="A74" s="131" t="s">
        <v>337</v>
      </c>
      <c r="B74" s="16" t="s">
        <v>172</v>
      </c>
      <c r="C74" s="16" t="s">
        <v>242</v>
      </c>
      <c r="D74" s="16" t="s">
        <v>411</v>
      </c>
      <c r="E74" s="16" t="s">
        <v>475</v>
      </c>
      <c r="F74" s="114">
        <v>32</v>
      </c>
      <c r="G74" s="122">
        <f>0</f>
        <v>0</v>
      </c>
      <c r="H74" s="35">
        <f t="shared" si="4"/>
        <v>32</v>
      </c>
      <c r="I74" s="17">
        <f>IFERROR(VLOOKUP($A74,'2.1 Toteut. op.vuodet'!$A:$Q,COLUMN('2.1 Toteut. op.vuodet'!Q:Q),FALSE),0)</f>
        <v>0.94710000000000094</v>
      </c>
      <c r="J74" s="11">
        <f t="shared" si="5"/>
        <v>30.3</v>
      </c>
      <c r="K74" s="18">
        <f>IFERROR(Ohj.lask.[[#This Row],[Painotetut opiskelija-vuodet]]/Ohj.lask.[[#Totals],[Painotetut opiskelija-vuodet]],0)</f>
        <v>1.51493788754661E-4</v>
      </c>
      <c r="L74" s="19">
        <f>ROUND(IFERROR('1.1 Jakotaulu'!L$10*Ohj.lask.[[#This Row],[%-osuus 1]],0),0)</f>
        <v>176637</v>
      </c>
      <c r="M74" s="211">
        <f>IFERROR(ROUND(VLOOKUP($A74,'2.2 Tutk. ja osien pain. pist.'!$A:$Q,COLUMN('2.2 Tutk. ja osien pain. pist.'!P:P),FALSE),1),0)</f>
        <v>0</v>
      </c>
      <c r="N74" s="18">
        <f>IFERROR(Ohj.lask.[[#This Row],[Painotetut pisteet 2]]/Ohj.lask.[[#Totals],[Painotetut pisteet 2]],0)</f>
        <v>0</v>
      </c>
      <c r="O74" s="25">
        <f>ROUND(IFERROR('1.1 Jakotaulu'!K$11*Ohj.lask.[[#This Row],[%-osuus 2]],0),0)</f>
        <v>0</v>
      </c>
      <c r="P74" s="233">
        <f>IFERROR(ROUND(VLOOKUP($A74,'2.3 Työll. ja jatko-opisk.'!$A:$K,COLUMN('2.3 Työll. ja jatko-opisk.'!I:I),FALSE),1),0)</f>
        <v>34.4</v>
      </c>
      <c r="Q74" s="18">
        <f>IFERROR(Ohj.lask.[[#This Row],[Painotetut pisteet 3]]/Ohj.lask.[[#Totals],[Painotetut pisteet 3]],0)</f>
        <v>1.8159857424003109E-4</v>
      </c>
      <c r="R74" s="19">
        <f>ROUND(IFERROR('1.1 Jakotaulu'!L$13*Ohj.lask.[[#This Row],[%-osuus 3]],0),0)</f>
        <v>25216</v>
      </c>
      <c r="S74" s="211">
        <f>IFERROR(ROUND(VLOOKUP($A74,'2.4 Aloittaneet palaute'!$A:$K,COLUMN('2.4 Aloittaneet palaute'!J:J),FALSE),1),0)</f>
        <v>0</v>
      </c>
      <c r="T74" s="22">
        <f>IFERROR(Ohj.lask.[[#This Row],[Painotetut pisteet 4]]/Ohj.lask.[[#Totals],[Painotetut pisteet 4]],0)</f>
        <v>0</v>
      </c>
      <c r="U74" s="25">
        <f>ROUND(IFERROR('1.1 Jakotaulu'!M$16*Ohj.lask.[[#This Row],[%-osuus 4]],0),0)</f>
        <v>0</v>
      </c>
      <c r="V74" s="235">
        <f>IFERROR(ROUND(VLOOKUP($A74,'2.5 Päättäneet palaute'!$A:$AC,COLUMN('2.5 Päättäneet palaute'!AB:AB),FALSE),1),0)</f>
        <v>0</v>
      </c>
      <c r="W74" s="22">
        <f>IFERROR(Ohj.lask.[[#This Row],[Painotetut pisteet 5]]/Ohj.lask.[[#Totals],[Painotetut pisteet 5]],0)</f>
        <v>0</v>
      </c>
      <c r="X74" s="19">
        <f>ROUND(IFERROR('1.1 Jakotaulu'!M$17*Ohj.lask.[[#This Row],[%-osuus 5]],0),0)</f>
        <v>0</v>
      </c>
      <c r="Y74" s="21">
        <f>IFERROR(Ohj.lask.[[#This Row],[Jaettava € 6]]/Ohj.lask.[[#Totals],[Jaettava € 6]],"")</f>
        <v>1.1726197259972164E-4</v>
      </c>
      <c r="Z74" s="25">
        <f>IFERROR(Ohj.lask.[[#This Row],[Jaettava € 1]]+Ohj.lask.[[#This Row],[Jaettava € 2]]+Ohj.lask.[[#This Row],[Jaettava € 3]]+Ohj.lask.[[#This Row],[Jaettava € 4]]+Ohj.lask.[[#This Row],[Jaettava € 5]],"")</f>
        <v>201853</v>
      </c>
      <c r="AA74" s="123">
        <f>0</f>
        <v>0</v>
      </c>
      <c r="AB74" s="19">
        <f>Ohj.lask.[[#This Row],[Jaettava € 1]]+Ohj.lask.[[#This Row],[Jaettava €]]</f>
        <v>176637</v>
      </c>
      <c r="AC74" s="107">
        <f>Ohj.lask.[[#This Row],[Jaettava € 2]]</f>
        <v>0</v>
      </c>
      <c r="AD74" s="19">
        <f>Ohj.lask.[[#This Row],[Jaettava € 3]]+Ohj.lask.[[#This Row],[Jaettava € 4]]+Ohj.lask.[[#This Row],[Jaettava € 5]]</f>
        <v>25216</v>
      </c>
      <c r="AE74" s="36">
        <f>Ohj.lask.[[#This Row],[Jaettava € 6]]+Ohj.lask.[[#This Row],[Jaettava €]]</f>
        <v>201853</v>
      </c>
      <c r="AF74" s="36">
        <f>IFERROR(VLOOKUP(Ohj.lask.[[#This Row],[Y-tunnus]],'3.1 Alv vahvistettu'!A:Y,COLUMN(C:C),FALSE),0)</f>
        <v>0</v>
      </c>
      <c r="AG74" s="25">
        <f>Ohj.lask.[[#This Row],[Perus-, suoritus- ja vaikuttavuusrahoitus yhteensä, €]]+Ohj.lask.[[#This Row],[Alv-korvaus, €]]</f>
        <v>201853</v>
      </c>
    </row>
    <row r="75" spans="1:33" x14ac:dyDescent="0.2">
      <c r="A75" s="131" t="s">
        <v>381</v>
      </c>
      <c r="B75" s="16" t="s">
        <v>83</v>
      </c>
      <c r="C75" s="16" t="s">
        <v>236</v>
      </c>
      <c r="D75" s="16" t="s">
        <v>412</v>
      </c>
      <c r="E75" s="16" t="s">
        <v>474</v>
      </c>
      <c r="F75" s="114">
        <v>37</v>
      </c>
      <c r="G75" s="122">
        <f>0</f>
        <v>0</v>
      </c>
      <c r="H75" s="35">
        <f t="shared" si="4"/>
        <v>37</v>
      </c>
      <c r="I75" s="17">
        <f>IFERROR(VLOOKUP($A75,'2.1 Toteut. op.vuodet'!$A:$Q,COLUMN('2.1 Toteut. op.vuodet'!Q:Q),FALSE),0)</f>
        <v>0.7623000000000002</v>
      </c>
      <c r="J75" s="11">
        <f t="shared" si="5"/>
        <v>28.2</v>
      </c>
      <c r="K75" s="18">
        <f>IFERROR(Ohj.lask.[[#This Row],[Painotetut opiskelija-vuodet]]/Ohj.lask.[[#Totals],[Painotetut opiskelija-vuodet]],0)</f>
        <v>1.4099421923701122E-4</v>
      </c>
      <c r="L75" s="19">
        <f>ROUND(IFERROR('1.1 Jakotaulu'!L$10*Ohj.lask.[[#This Row],[%-osuus 1]],0),0)</f>
        <v>164395</v>
      </c>
      <c r="M75" s="211">
        <f>IFERROR(ROUND(VLOOKUP($A75,'2.2 Tutk. ja osien pain. pist.'!$A:$Q,COLUMN('2.2 Tutk. ja osien pain. pist.'!P:P),FALSE),1),0)</f>
        <v>3120.2</v>
      </c>
      <c r="N75" s="18">
        <f>IFERROR(Ohj.lask.[[#This Row],[Painotetut pisteet 2]]/Ohj.lask.[[#Totals],[Painotetut pisteet 2]],0)</f>
        <v>1.9939406494063147E-4</v>
      </c>
      <c r="O75" s="25">
        <f>ROUND(IFERROR('1.1 Jakotaulu'!K$11*Ohj.lask.[[#This Row],[%-osuus 2]],0),0)</f>
        <v>73831</v>
      </c>
      <c r="P75" s="233">
        <f>IFERROR(ROUND(VLOOKUP($A75,'2.3 Työll. ja jatko-opisk.'!$A:$K,COLUMN('2.3 Työll. ja jatko-opisk.'!I:I),FALSE),1),0)</f>
        <v>92.8</v>
      </c>
      <c r="Q75" s="18">
        <f>IFERROR(Ohj.lask.[[#This Row],[Painotetut pisteet 3]]/Ohj.lask.[[#Totals],[Painotetut pisteet 3]],0)</f>
        <v>4.898938281824094E-4</v>
      </c>
      <c r="R75" s="19">
        <f>ROUND(IFERROR('1.1 Jakotaulu'!L$13*Ohj.lask.[[#This Row],[%-osuus 3]],0),0)</f>
        <v>68024</v>
      </c>
      <c r="S75" s="211">
        <f>IFERROR(ROUND(VLOOKUP($A75,'2.4 Aloittaneet palaute'!$A:$K,COLUMN('2.4 Aloittaneet palaute'!J:J),FALSE),1),0)</f>
        <v>0</v>
      </c>
      <c r="T75" s="22">
        <f>IFERROR(Ohj.lask.[[#This Row],[Painotetut pisteet 4]]/Ohj.lask.[[#Totals],[Painotetut pisteet 4]],0)</f>
        <v>0</v>
      </c>
      <c r="U75" s="25">
        <f>ROUND(IFERROR('1.1 Jakotaulu'!M$16*Ohj.lask.[[#This Row],[%-osuus 4]],0),0)</f>
        <v>0</v>
      </c>
      <c r="V75" s="235">
        <f>IFERROR(ROUND(VLOOKUP($A75,'2.5 Päättäneet palaute'!$A:$AC,COLUMN('2.5 Päättäneet palaute'!AB:AB),FALSE),1),0)</f>
        <v>4018.7</v>
      </c>
      <c r="W75" s="22">
        <f>IFERROR(Ohj.lask.[[#This Row],[Painotetut pisteet 5]]/Ohj.lask.[[#Totals],[Painotetut pisteet 5]],0)</f>
        <v>6.0686234815001436E-4</v>
      </c>
      <c r="X75" s="19">
        <f>ROUND(IFERROR('1.1 Jakotaulu'!M$17*Ohj.lask.[[#This Row],[%-osuus 5]],0),0)</f>
        <v>21066</v>
      </c>
      <c r="Y75" s="21">
        <f>IFERROR(Ohj.lask.[[#This Row],[Jaettava € 6]]/Ohj.lask.[[#Totals],[Jaettava € 6]],"")</f>
        <v>1.9014688819809708E-4</v>
      </c>
      <c r="Z75" s="25">
        <f>IFERROR(Ohj.lask.[[#This Row],[Jaettava € 1]]+Ohj.lask.[[#This Row],[Jaettava € 2]]+Ohj.lask.[[#This Row],[Jaettava € 3]]+Ohj.lask.[[#This Row],[Jaettava € 4]]+Ohj.lask.[[#This Row],[Jaettava € 5]],"")</f>
        <v>327316</v>
      </c>
      <c r="AA75" s="123">
        <f>0</f>
        <v>0</v>
      </c>
      <c r="AB75" s="19">
        <f>Ohj.lask.[[#This Row],[Jaettava € 1]]+Ohj.lask.[[#This Row],[Jaettava €]]</f>
        <v>164395</v>
      </c>
      <c r="AC75" s="107">
        <f>Ohj.lask.[[#This Row],[Jaettava € 2]]</f>
        <v>73831</v>
      </c>
      <c r="AD75" s="19">
        <f>Ohj.lask.[[#This Row],[Jaettava € 3]]+Ohj.lask.[[#This Row],[Jaettava € 4]]+Ohj.lask.[[#This Row],[Jaettava € 5]]</f>
        <v>89090</v>
      </c>
      <c r="AE75" s="36">
        <f>Ohj.lask.[[#This Row],[Jaettava € 6]]+Ohj.lask.[[#This Row],[Jaettava €]]</f>
        <v>327316</v>
      </c>
      <c r="AF75" s="36">
        <f>IFERROR(VLOOKUP(Ohj.lask.[[#This Row],[Y-tunnus]],'3.1 Alv vahvistettu'!A:Y,COLUMN(C:C),FALSE),0)</f>
        <v>0</v>
      </c>
      <c r="AG75" s="25">
        <f>Ohj.lask.[[#This Row],[Perus-, suoritus- ja vaikuttavuusrahoitus yhteensä, €]]+Ohj.lask.[[#This Row],[Alv-korvaus, €]]</f>
        <v>327316</v>
      </c>
    </row>
    <row r="76" spans="1:33" x14ac:dyDescent="0.2">
      <c r="A76" s="131" t="s">
        <v>336</v>
      </c>
      <c r="B76" s="16" t="s">
        <v>84</v>
      </c>
      <c r="C76" s="16" t="s">
        <v>250</v>
      </c>
      <c r="D76" s="16" t="s">
        <v>412</v>
      </c>
      <c r="E76" s="16" t="s">
        <v>474</v>
      </c>
      <c r="F76" s="114">
        <v>27</v>
      </c>
      <c r="G76" s="122">
        <f>0</f>
        <v>0</v>
      </c>
      <c r="H76" s="35">
        <f t="shared" si="4"/>
        <v>27</v>
      </c>
      <c r="I76" s="17">
        <f>IFERROR(VLOOKUP($A76,'2.1 Toteut. op.vuodet'!$A:$Q,COLUMN('2.1 Toteut. op.vuodet'!Q:Q),FALSE),0)</f>
        <v>0.76230000000000031</v>
      </c>
      <c r="J76" s="11">
        <f t="shared" si="5"/>
        <v>20.6</v>
      </c>
      <c r="K76" s="18">
        <f>IFERROR(Ohj.lask.[[#This Row],[Painotetut opiskelija-vuodet]]/Ohj.lask.[[#Totals],[Painotetut opiskelija-vuodet]],0)</f>
        <v>1.0299577717313586E-4</v>
      </c>
      <c r="L76" s="19">
        <f>ROUND(IFERROR('1.1 Jakotaulu'!L$10*Ohj.lask.[[#This Row],[%-osuus 1]],0),0)</f>
        <v>120090</v>
      </c>
      <c r="M76" s="211">
        <f>IFERROR(ROUND(VLOOKUP($A76,'2.2 Tutk. ja osien pain. pist.'!$A:$Q,COLUMN('2.2 Tutk. ja osien pain. pist.'!P:P),FALSE),1),0)</f>
        <v>2335.1</v>
      </c>
      <c r="N76" s="18">
        <f>IFERROR(Ohj.lask.[[#This Row],[Painotetut pisteet 2]]/Ohj.lask.[[#Totals],[Painotetut pisteet 2]],0)</f>
        <v>1.4922283220398326E-4</v>
      </c>
      <c r="O76" s="25">
        <f>ROUND(IFERROR('1.1 Jakotaulu'!K$11*Ohj.lask.[[#This Row],[%-osuus 2]],0),0)</f>
        <v>55254</v>
      </c>
      <c r="P76" s="233">
        <f>IFERROR(ROUND(VLOOKUP($A76,'2.3 Työll. ja jatko-opisk.'!$A:$K,COLUMN('2.3 Työll. ja jatko-opisk.'!I:I),FALSE),1),0)</f>
        <v>89.5</v>
      </c>
      <c r="Q76" s="18">
        <f>IFERROR(Ohj.lask.[[#This Row],[Painotetut pisteet 3]]/Ohj.lask.[[#Totals],[Painotetut pisteet 3]],0)</f>
        <v>4.7247303472333673E-4</v>
      </c>
      <c r="R76" s="19">
        <f>ROUND(IFERROR('1.1 Jakotaulu'!L$13*Ohj.lask.[[#This Row],[%-osuus 3]],0),0)</f>
        <v>65605</v>
      </c>
      <c r="S76" s="211">
        <f>IFERROR(ROUND(VLOOKUP($A76,'2.4 Aloittaneet palaute'!$A:$K,COLUMN('2.4 Aloittaneet palaute'!J:J),FALSE),1),0)</f>
        <v>418.5</v>
      </c>
      <c r="T76" s="22">
        <f>IFERROR(Ohj.lask.[[#This Row],[Painotetut pisteet 4]]/Ohj.lask.[[#Totals],[Painotetut pisteet 4]],0)</f>
        <v>3.3613464276718559E-4</v>
      </c>
      <c r="U76" s="25">
        <f>ROUND(IFERROR('1.1 Jakotaulu'!M$16*Ohj.lask.[[#This Row],[%-osuus 4]],0),0)</f>
        <v>3889</v>
      </c>
      <c r="V76" s="235">
        <f>IFERROR(ROUND(VLOOKUP($A76,'2.5 Päättäneet palaute'!$A:$AC,COLUMN('2.5 Päättäneet palaute'!AB:AB),FALSE),1),0)</f>
        <v>2295</v>
      </c>
      <c r="W76" s="22">
        <f>IFERROR(Ohj.lask.[[#This Row],[Painotetut pisteet 5]]/Ohj.lask.[[#Totals],[Painotetut pisteet 5]],0)</f>
        <v>3.4656707119324232E-4</v>
      </c>
      <c r="X76" s="19">
        <f>ROUND(IFERROR('1.1 Jakotaulu'!M$17*Ohj.lask.[[#This Row],[%-osuus 5]],0),0)</f>
        <v>12031</v>
      </c>
      <c r="Y76" s="21">
        <f>IFERROR(Ohj.lask.[[#This Row],[Jaettava € 6]]/Ohj.lask.[[#Totals],[Jaettava € 6]],"")</f>
        <v>1.4922228373974078E-4</v>
      </c>
      <c r="Z76" s="25">
        <f>IFERROR(Ohj.lask.[[#This Row],[Jaettava € 1]]+Ohj.lask.[[#This Row],[Jaettava € 2]]+Ohj.lask.[[#This Row],[Jaettava € 3]]+Ohj.lask.[[#This Row],[Jaettava € 4]]+Ohj.lask.[[#This Row],[Jaettava € 5]],"")</f>
        <v>256869</v>
      </c>
      <c r="AA76" s="123">
        <f>0</f>
        <v>0</v>
      </c>
      <c r="AB76" s="19">
        <f>Ohj.lask.[[#This Row],[Jaettava € 1]]+Ohj.lask.[[#This Row],[Jaettava €]]</f>
        <v>120090</v>
      </c>
      <c r="AC76" s="107">
        <f>Ohj.lask.[[#This Row],[Jaettava € 2]]</f>
        <v>55254</v>
      </c>
      <c r="AD76" s="19">
        <f>Ohj.lask.[[#This Row],[Jaettava € 3]]+Ohj.lask.[[#This Row],[Jaettava € 4]]+Ohj.lask.[[#This Row],[Jaettava € 5]]</f>
        <v>81525</v>
      </c>
      <c r="AE76" s="36">
        <f>Ohj.lask.[[#This Row],[Jaettava € 6]]+Ohj.lask.[[#This Row],[Jaettava €]]</f>
        <v>256869</v>
      </c>
      <c r="AF76" s="36">
        <f>IFERROR(VLOOKUP(Ohj.lask.[[#This Row],[Y-tunnus]],'3.1 Alv vahvistettu'!A:Y,COLUMN(C:C),FALSE),0)</f>
        <v>1295.8699999999999</v>
      </c>
      <c r="AG76" s="25">
        <f>Ohj.lask.[[#This Row],[Perus-, suoritus- ja vaikuttavuusrahoitus yhteensä, €]]+Ohj.lask.[[#This Row],[Alv-korvaus, €]]</f>
        <v>258164.87</v>
      </c>
    </row>
    <row r="77" spans="1:33" x14ac:dyDescent="0.2">
      <c r="A77" s="131" t="s">
        <v>335</v>
      </c>
      <c r="B77" s="16" t="s">
        <v>85</v>
      </c>
      <c r="C77" s="16" t="s">
        <v>250</v>
      </c>
      <c r="D77" s="16" t="s">
        <v>412</v>
      </c>
      <c r="E77" s="16" t="s">
        <v>474</v>
      </c>
      <c r="F77" s="114">
        <v>43</v>
      </c>
      <c r="G77" s="122">
        <f>0</f>
        <v>0</v>
      </c>
      <c r="H77" s="35">
        <f t="shared" si="4"/>
        <v>43</v>
      </c>
      <c r="I77" s="17">
        <f>IFERROR(VLOOKUP($A77,'2.1 Toteut. op.vuodet'!$A:$Q,COLUMN('2.1 Toteut. op.vuodet'!Q:Q),FALSE),0)</f>
        <v>1.4554610502737675</v>
      </c>
      <c r="J77" s="11">
        <f t="shared" si="5"/>
        <v>62.6</v>
      </c>
      <c r="K77" s="18">
        <f>IFERROR(Ohj.lask.[[#This Row],[Painotetut opiskelija-vuodet]]/Ohj.lask.[[#Totals],[Painotetut opiskelija-vuodet]],0)</f>
        <v>3.1298716752613129E-4</v>
      </c>
      <c r="L77" s="19">
        <f>ROUND(IFERROR('1.1 Jakotaulu'!L$10*Ohj.lask.[[#This Row],[%-osuus 1]],0),0)</f>
        <v>364933</v>
      </c>
      <c r="M77" s="211">
        <f>IFERROR(ROUND(VLOOKUP($A77,'2.2 Tutk. ja osien pain. pist.'!$A:$Q,COLUMN('2.2 Tutk. ja osien pain. pist.'!P:P),FALSE),1),0)</f>
        <v>6579.9</v>
      </c>
      <c r="N77" s="18">
        <f>IFERROR(Ohj.lask.[[#This Row],[Painotetut pisteet 2]]/Ohj.lask.[[#Totals],[Painotetut pisteet 2]],0)</f>
        <v>4.2048362537749537E-4</v>
      </c>
      <c r="O77" s="25">
        <f>ROUND(IFERROR('1.1 Jakotaulu'!K$11*Ohj.lask.[[#This Row],[%-osuus 2]],0),0)</f>
        <v>155695</v>
      </c>
      <c r="P77" s="233">
        <f>IFERROR(ROUND(VLOOKUP($A77,'2.3 Työll. ja jatko-opisk.'!$A:$K,COLUMN('2.3 Työll. ja jatko-opisk.'!I:I),FALSE),1),0)</f>
        <v>71.099999999999994</v>
      </c>
      <c r="Q77" s="18">
        <f>IFERROR(Ohj.lask.[[#This Row],[Painotetut pisteet 3]]/Ohj.lask.[[#Totals],[Painotetut pisteet 3]],0)</f>
        <v>3.7533891361820379E-4</v>
      </c>
      <c r="R77" s="19">
        <f>ROUND(IFERROR('1.1 Jakotaulu'!L$13*Ohj.lask.[[#This Row],[%-osuus 3]],0),0)</f>
        <v>52117</v>
      </c>
      <c r="S77" s="211">
        <f>IFERROR(ROUND(VLOOKUP($A77,'2.4 Aloittaneet palaute'!$A:$K,COLUMN('2.4 Aloittaneet palaute'!J:J),FALSE),1),0)</f>
        <v>307.89999999999998</v>
      </c>
      <c r="T77" s="22">
        <f>IFERROR(Ohj.lask.[[#This Row],[Painotetut pisteet 4]]/Ohj.lask.[[#Totals],[Painotetut pisteet 4]],0)</f>
        <v>2.4730192713982423E-4</v>
      </c>
      <c r="U77" s="25">
        <f>ROUND(IFERROR('1.1 Jakotaulu'!M$16*Ohj.lask.[[#This Row],[%-osuus 4]],0),0)</f>
        <v>2862</v>
      </c>
      <c r="V77" s="235">
        <f>IFERROR(ROUND(VLOOKUP($A77,'2.5 Päättäneet palaute'!$A:$AC,COLUMN('2.5 Päättäneet palaute'!AB:AB),FALSE),1),0)</f>
        <v>2024.9</v>
      </c>
      <c r="W77" s="22">
        <f>IFERROR(Ohj.lask.[[#This Row],[Painotetut pisteet 5]]/Ohj.lask.[[#Totals],[Painotetut pisteet 5]],0)</f>
        <v>3.0577937362056488E-4</v>
      </c>
      <c r="X77" s="19">
        <f>ROUND(IFERROR('1.1 Jakotaulu'!M$17*Ohj.lask.[[#This Row],[%-osuus 5]],0),0)</f>
        <v>10615</v>
      </c>
      <c r="Y77" s="21">
        <f>IFERROR(Ohj.lask.[[#This Row],[Jaettava € 6]]/Ohj.lask.[[#Totals],[Jaettava € 6]],"")</f>
        <v>3.4055252139603582E-4</v>
      </c>
      <c r="Z77" s="25">
        <f>IFERROR(Ohj.lask.[[#This Row],[Jaettava € 1]]+Ohj.lask.[[#This Row],[Jaettava € 2]]+Ohj.lask.[[#This Row],[Jaettava € 3]]+Ohj.lask.[[#This Row],[Jaettava € 4]]+Ohj.lask.[[#This Row],[Jaettava € 5]],"")</f>
        <v>586222</v>
      </c>
      <c r="AA77" s="123">
        <f>0</f>
        <v>0</v>
      </c>
      <c r="AB77" s="19">
        <f>Ohj.lask.[[#This Row],[Jaettava € 1]]+Ohj.lask.[[#This Row],[Jaettava €]]</f>
        <v>364933</v>
      </c>
      <c r="AC77" s="107">
        <f>Ohj.lask.[[#This Row],[Jaettava € 2]]</f>
        <v>155695</v>
      </c>
      <c r="AD77" s="19">
        <f>Ohj.lask.[[#This Row],[Jaettava € 3]]+Ohj.lask.[[#This Row],[Jaettava € 4]]+Ohj.lask.[[#This Row],[Jaettava € 5]]</f>
        <v>65594</v>
      </c>
      <c r="AE77" s="36">
        <f>Ohj.lask.[[#This Row],[Jaettava € 6]]+Ohj.lask.[[#This Row],[Jaettava €]]</f>
        <v>586222</v>
      </c>
      <c r="AF77" s="36">
        <f>IFERROR(VLOOKUP(Ohj.lask.[[#This Row],[Y-tunnus]],'3.1 Alv vahvistettu'!A:Y,COLUMN(C:C),FALSE),0)</f>
        <v>11248.59</v>
      </c>
      <c r="AG77" s="25">
        <f>Ohj.lask.[[#This Row],[Perus-, suoritus- ja vaikuttavuusrahoitus yhteensä, €]]+Ohj.lask.[[#This Row],[Alv-korvaus, €]]</f>
        <v>597470.59</v>
      </c>
    </row>
    <row r="78" spans="1:33" x14ac:dyDescent="0.2">
      <c r="A78" s="131" t="s">
        <v>333</v>
      </c>
      <c r="B78" s="16" t="s">
        <v>86</v>
      </c>
      <c r="C78" s="16" t="s">
        <v>332</v>
      </c>
      <c r="D78" s="16" t="s">
        <v>411</v>
      </c>
      <c r="E78" s="16" t="s">
        <v>474</v>
      </c>
      <c r="F78" s="114">
        <v>1130</v>
      </c>
      <c r="G78" s="122">
        <f>0</f>
        <v>0</v>
      </c>
      <c r="H78" s="35">
        <f t="shared" si="4"/>
        <v>1130</v>
      </c>
      <c r="I78" s="17">
        <f>IFERROR(VLOOKUP($A78,'2.1 Toteut. op.vuodet'!$A:$Q,COLUMN('2.1 Toteut. op.vuodet'!Q:Q),FALSE),0)</f>
        <v>0.97143258818271572</v>
      </c>
      <c r="J78" s="11">
        <f t="shared" si="5"/>
        <v>1097.7</v>
      </c>
      <c r="K78" s="18">
        <f>IFERROR(Ohj.lask.[[#This Row],[Painotetut opiskelija-vuodet]]/Ohj.lask.[[#Totals],[Painotetut opiskelija-vuodet]],0)</f>
        <v>5.4882749807257875E-3</v>
      </c>
      <c r="L78" s="19">
        <f>ROUND(IFERROR('1.1 Jakotaulu'!L$10*Ohj.lask.[[#This Row],[%-osuus 1]],0),0)</f>
        <v>6399161</v>
      </c>
      <c r="M78" s="211">
        <f>IFERROR(ROUND(VLOOKUP($A78,'2.2 Tutk. ja osien pain. pist.'!$A:$Q,COLUMN('2.2 Tutk. ja osien pain. pist.'!P:P),FALSE),1),0)</f>
        <v>92642.4</v>
      </c>
      <c r="N78" s="18">
        <f>IFERROR(Ohj.lask.[[#This Row],[Painotetut pisteet 2]]/Ohj.lask.[[#Totals],[Painotetut pisteet 2]],0)</f>
        <v>5.9202438054791221E-3</v>
      </c>
      <c r="O78" s="25">
        <f>ROUND(IFERROR('1.1 Jakotaulu'!K$11*Ohj.lask.[[#This Row],[%-osuus 2]],0),0)</f>
        <v>2192130</v>
      </c>
      <c r="P78" s="233">
        <f>IFERROR(ROUND(VLOOKUP($A78,'2.3 Työll. ja jatko-opisk.'!$A:$K,COLUMN('2.3 Työll. ja jatko-opisk.'!I:I),FALSE),1),0)</f>
        <v>1437.6</v>
      </c>
      <c r="Q78" s="18">
        <f>IFERROR(Ohj.lask.[[#This Row],[Painotetut pisteet 3]]/Ohj.lask.[[#Totals],[Painotetut pisteet 3]],0)</f>
        <v>7.5891311141706016E-3</v>
      </c>
      <c r="R78" s="19">
        <f>ROUND(IFERROR('1.1 Jakotaulu'!L$13*Ohj.lask.[[#This Row],[%-osuus 3]],0),0)</f>
        <v>1053780</v>
      </c>
      <c r="S78" s="211">
        <f>IFERROR(ROUND(VLOOKUP($A78,'2.4 Aloittaneet palaute'!$A:$K,COLUMN('2.4 Aloittaneet palaute'!J:J),FALSE),1),0)</f>
        <v>9804.4</v>
      </c>
      <c r="T78" s="22">
        <f>IFERROR(Ohj.lask.[[#This Row],[Painotetut pisteet 4]]/Ohj.lask.[[#Totals],[Painotetut pisteet 4]],0)</f>
        <v>7.8747873155235234E-3</v>
      </c>
      <c r="U78" s="25">
        <f>ROUND(IFERROR('1.1 Jakotaulu'!M$16*Ohj.lask.[[#This Row],[%-osuus 4]],0),0)</f>
        <v>91120</v>
      </c>
      <c r="V78" s="235">
        <f>IFERROR(ROUND(VLOOKUP($A78,'2.5 Päättäneet palaute'!$A:$AC,COLUMN('2.5 Päättäneet palaute'!AB:AB),FALSE),1),0)</f>
        <v>64915.8</v>
      </c>
      <c r="W78" s="22">
        <f>IFERROR(Ohj.lask.[[#This Row],[Painotetut pisteet 5]]/Ohj.lask.[[#Totals],[Painotetut pisteet 5]],0)</f>
        <v>9.8029101002903192E-3</v>
      </c>
      <c r="X78" s="19">
        <f>ROUND(IFERROR('1.1 Jakotaulu'!M$17*Ohj.lask.[[#This Row],[%-osuus 5]],0),0)</f>
        <v>340293</v>
      </c>
      <c r="Y78" s="21">
        <f>IFERROR(Ohj.lask.[[#This Row],[Jaettava € 6]]/Ohj.lask.[[#Totals],[Jaettava € 6]],"")</f>
        <v>5.8537073549044779E-3</v>
      </c>
      <c r="Z78" s="25">
        <f>IFERROR(Ohj.lask.[[#This Row],[Jaettava € 1]]+Ohj.lask.[[#This Row],[Jaettava € 2]]+Ohj.lask.[[#This Row],[Jaettava € 3]]+Ohj.lask.[[#This Row],[Jaettava € 4]]+Ohj.lask.[[#This Row],[Jaettava € 5]],"")</f>
        <v>10076484</v>
      </c>
      <c r="AA78" s="123">
        <f>0</f>
        <v>0</v>
      </c>
      <c r="AB78" s="19">
        <f>Ohj.lask.[[#This Row],[Jaettava € 1]]+Ohj.lask.[[#This Row],[Jaettava €]]</f>
        <v>6399161</v>
      </c>
      <c r="AC78" s="107">
        <f>Ohj.lask.[[#This Row],[Jaettava € 2]]</f>
        <v>2192130</v>
      </c>
      <c r="AD78" s="19">
        <f>Ohj.lask.[[#This Row],[Jaettava € 3]]+Ohj.lask.[[#This Row],[Jaettava € 4]]+Ohj.lask.[[#This Row],[Jaettava € 5]]</f>
        <v>1485193</v>
      </c>
      <c r="AE78" s="36">
        <f>Ohj.lask.[[#This Row],[Jaettava € 6]]+Ohj.lask.[[#This Row],[Jaettava €]]</f>
        <v>10076484</v>
      </c>
      <c r="AF78" s="36">
        <f>IFERROR(VLOOKUP(Ohj.lask.[[#This Row],[Y-tunnus]],'3.1 Alv vahvistettu'!A:Y,COLUMN(C:C),FALSE),0)</f>
        <v>0</v>
      </c>
      <c r="AG78" s="25">
        <f>Ohj.lask.[[#This Row],[Perus-, suoritus- ja vaikuttavuusrahoitus yhteensä, €]]+Ohj.lask.[[#This Row],[Alv-korvaus, €]]</f>
        <v>10076484</v>
      </c>
    </row>
    <row r="79" spans="1:33" x14ac:dyDescent="0.2">
      <c r="A79" s="131" t="s">
        <v>331</v>
      </c>
      <c r="B79" s="16" t="s">
        <v>87</v>
      </c>
      <c r="C79" s="16" t="s">
        <v>252</v>
      </c>
      <c r="D79" s="16" t="s">
        <v>411</v>
      </c>
      <c r="E79" s="16" t="s">
        <v>474</v>
      </c>
      <c r="F79" s="114">
        <v>1604</v>
      </c>
      <c r="G79" s="122">
        <f>0</f>
        <v>0</v>
      </c>
      <c r="H79" s="35">
        <f t="shared" si="4"/>
        <v>1604</v>
      </c>
      <c r="I79" s="17">
        <f>IFERROR(VLOOKUP($A79,'2.1 Toteut. op.vuodet'!$A:$Q,COLUMN('2.1 Toteut. op.vuodet'!Q:Q),FALSE),0)</f>
        <v>1.095744466439003</v>
      </c>
      <c r="J79" s="11">
        <f t="shared" si="5"/>
        <v>1757.6</v>
      </c>
      <c r="K79" s="18">
        <f>IFERROR(Ohj.lask.[[#This Row],[Painotetut opiskelija-vuodet]]/Ohj.lask.[[#Totals],[Painotetut opiskelija-vuodet]],0)</f>
        <v>8.7876397067720175E-3</v>
      </c>
      <c r="L79" s="19">
        <f>ROUND(IFERROR('1.1 Jakotaulu'!L$10*Ohj.lask.[[#This Row],[%-osuus 1]],0),0)</f>
        <v>10246120</v>
      </c>
      <c r="M79" s="211">
        <f>IFERROR(ROUND(VLOOKUP($A79,'2.2 Tutk. ja osien pain. pist.'!$A:$Q,COLUMN('2.2 Tutk. ja osien pain. pist.'!P:P),FALSE),1),0)</f>
        <v>160486.20000000001</v>
      </c>
      <c r="N79" s="18">
        <f>IFERROR(Ohj.lask.[[#This Row],[Painotetut pisteet 2]]/Ohj.lask.[[#Totals],[Painotetut pisteet 2]],0)</f>
        <v>1.0255751485441694E-2</v>
      </c>
      <c r="O79" s="25">
        <f>ROUND(IFERROR('1.1 Jakotaulu'!K$11*Ohj.lask.[[#This Row],[%-osuus 2]],0),0)</f>
        <v>3797469</v>
      </c>
      <c r="P79" s="233">
        <f>IFERROR(ROUND(VLOOKUP($A79,'2.3 Työll. ja jatko-opisk.'!$A:$K,COLUMN('2.3 Työll. ja jatko-opisk.'!I:I),FALSE),1),0)</f>
        <v>1965.4</v>
      </c>
      <c r="Q79" s="18">
        <f>IFERROR(Ohj.lask.[[#This Row],[Painotetut pisteet 3]]/Ohj.lask.[[#Totals],[Painotetut pisteet 3]],0)</f>
        <v>1.0375402261958057E-2</v>
      </c>
      <c r="R79" s="19">
        <f>ROUND(IFERROR('1.1 Jakotaulu'!L$13*Ohj.lask.[[#This Row],[%-osuus 3]],0),0)</f>
        <v>1440665</v>
      </c>
      <c r="S79" s="211">
        <f>IFERROR(ROUND(VLOOKUP($A79,'2.4 Aloittaneet palaute'!$A:$K,COLUMN('2.4 Aloittaneet palaute'!J:J),FALSE),1),0)</f>
        <v>15214.7</v>
      </c>
      <c r="T79" s="22">
        <f>IFERROR(Ohj.lask.[[#This Row],[Painotetut pisteet 4]]/Ohj.lask.[[#Totals],[Painotetut pisteet 4]],0)</f>
        <v>1.2220281360358182E-2</v>
      </c>
      <c r="U79" s="25">
        <f>ROUND(IFERROR('1.1 Jakotaulu'!M$16*Ohj.lask.[[#This Row],[%-osuus 4]],0),0)</f>
        <v>141403</v>
      </c>
      <c r="V79" s="235">
        <f>IFERROR(ROUND(VLOOKUP($A79,'2.5 Päättäneet palaute'!$A:$AC,COLUMN('2.5 Päättäneet palaute'!AB:AB),FALSE),1),0)</f>
        <v>79017.7</v>
      </c>
      <c r="W79" s="22">
        <f>IFERROR(Ohj.lask.[[#This Row],[Painotetut pisteet 5]]/Ohj.lask.[[#Totals],[Painotetut pisteet 5]],0)</f>
        <v>1.1932432619357848E-2</v>
      </c>
      <c r="X79" s="19">
        <f>ROUND(IFERROR('1.1 Jakotaulu'!M$17*Ohj.lask.[[#This Row],[%-osuus 5]],0),0)</f>
        <v>414216</v>
      </c>
      <c r="Y79" s="21">
        <f>IFERROR(Ohj.lask.[[#This Row],[Jaettava € 6]]/Ohj.lask.[[#Totals],[Jaettava € 6]],"")</f>
        <v>9.3180044301001963E-3</v>
      </c>
      <c r="Z79" s="25">
        <f>IFERROR(Ohj.lask.[[#This Row],[Jaettava € 1]]+Ohj.lask.[[#This Row],[Jaettava € 2]]+Ohj.lask.[[#This Row],[Jaettava € 3]]+Ohj.lask.[[#This Row],[Jaettava € 4]]+Ohj.lask.[[#This Row],[Jaettava € 5]],"")</f>
        <v>16039873</v>
      </c>
      <c r="AA79" s="123">
        <f>0</f>
        <v>0</v>
      </c>
      <c r="AB79" s="19">
        <f>Ohj.lask.[[#This Row],[Jaettava € 1]]+Ohj.lask.[[#This Row],[Jaettava €]]</f>
        <v>10246120</v>
      </c>
      <c r="AC79" s="107">
        <f>Ohj.lask.[[#This Row],[Jaettava € 2]]</f>
        <v>3797469</v>
      </c>
      <c r="AD79" s="19">
        <f>Ohj.lask.[[#This Row],[Jaettava € 3]]+Ohj.lask.[[#This Row],[Jaettava € 4]]+Ohj.lask.[[#This Row],[Jaettava € 5]]</f>
        <v>1996284</v>
      </c>
      <c r="AE79" s="36">
        <f>Ohj.lask.[[#This Row],[Jaettava € 6]]+Ohj.lask.[[#This Row],[Jaettava €]]</f>
        <v>16039873</v>
      </c>
      <c r="AF79" s="36">
        <f>IFERROR(VLOOKUP(Ohj.lask.[[#This Row],[Y-tunnus]],'3.1 Alv vahvistettu'!A:Y,COLUMN(C:C),FALSE),0)</f>
        <v>0</v>
      </c>
      <c r="AG79" s="25">
        <f>Ohj.lask.[[#This Row],[Perus-, suoritus- ja vaikuttavuusrahoitus yhteensä, €]]+Ohj.lask.[[#This Row],[Alv-korvaus, €]]</f>
        <v>16039873</v>
      </c>
    </row>
    <row r="80" spans="1:33" x14ac:dyDescent="0.2">
      <c r="A80" s="131" t="s">
        <v>330</v>
      </c>
      <c r="B80" s="16" t="s">
        <v>88</v>
      </c>
      <c r="C80" s="16" t="s">
        <v>236</v>
      </c>
      <c r="D80" s="16" t="s">
        <v>411</v>
      </c>
      <c r="E80" s="16" t="s">
        <v>474</v>
      </c>
      <c r="F80" s="114">
        <v>2470</v>
      </c>
      <c r="G80" s="122">
        <f>0</f>
        <v>0</v>
      </c>
      <c r="H80" s="35">
        <f t="shared" si="4"/>
        <v>2470</v>
      </c>
      <c r="I80" s="17">
        <f>IFERROR(VLOOKUP($A80,'2.1 Toteut. op.vuodet'!$A:$Q,COLUMN('2.1 Toteut. op.vuodet'!Q:Q),FALSE),0)</f>
        <v>1.0632182610548193</v>
      </c>
      <c r="J80" s="11">
        <f t="shared" si="5"/>
        <v>2626.1</v>
      </c>
      <c r="K80" s="18">
        <f>IFERROR(Ohj.lask.[[#This Row],[Painotetut opiskelija-vuodet]]/Ohj.lask.[[#Totals],[Painotetut opiskelija-vuodet]],0)</f>
        <v>1.3129961671571459E-2</v>
      </c>
      <c r="L80" s="19">
        <f>ROUND(IFERROR('1.1 Jakotaulu'!L$10*Ohj.lask.[[#This Row],[%-osuus 1]],0),0)</f>
        <v>15309135</v>
      </c>
      <c r="M80" s="211">
        <f>IFERROR(ROUND(VLOOKUP($A80,'2.2 Tutk. ja osien pain. pist.'!$A:$Q,COLUMN('2.2 Tutk. ja osien pain. pist.'!P:P),FALSE),1),0)</f>
        <v>223193.8</v>
      </c>
      <c r="N80" s="18">
        <f>IFERROR(Ohj.lask.[[#This Row],[Painotetut pisteet 2]]/Ohj.lask.[[#Totals],[Painotetut pisteet 2]],0)</f>
        <v>1.4263034116898375E-2</v>
      </c>
      <c r="O80" s="25">
        <f>ROUND(IFERROR('1.1 Jakotaulu'!K$11*Ohj.lask.[[#This Row],[%-osuus 2]],0),0)</f>
        <v>5281273</v>
      </c>
      <c r="P80" s="233">
        <f>IFERROR(ROUND(VLOOKUP($A80,'2.3 Työll. ja jatko-opisk.'!$A:$K,COLUMN('2.3 Työll. ja jatko-opisk.'!I:I),FALSE),1),0)</f>
        <v>2254.8000000000002</v>
      </c>
      <c r="Q80" s="18">
        <f>IFERROR(Ohj.lask.[[#This Row],[Painotetut pisteet 3]]/Ohj.lask.[[#Totals],[Painotetut pisteet 3]],0)</f>
        <v>1.1903153058035527E-2</v>
      </c>
      <c r="R80" s="19">
        <f>ROUND(IFERROR('1.1 Jakotaulu'!L$13*Ohj.lask.[[#This Row],[%-osuus 3]],0),0)</f>
        <v>1652799</v>
      </c>
      <c r="S80" s="211">
        <f>IFERROR(ROUND(VLOOKUP($A80,'2.4 Aloittaneet palaute'!$A:$K,COLUMN('2.4 Aloittaneet palaute'!J:J),FALSE),1),0)</f>
        <v>12438.3</v>
      </c>
      <c r="T80" s="22">
        <f>IFERROR(Ohj.lask.[[#This Row],[Painotetut pisteet 4]]/Ohj.lask.[[#Totals],[Painotetut pisteet 4]],0)</f>
        <v>9.9903071138138216E-3</v>
      </c>
      <c r="U80" s="25">
        <f>ROUND(IFERROR('1.1 Jakotaulu'!M$16*Ohj.lask.[[#This Row],[%-osuus 4]],0),0)</f>
        <v>115599</v>
      </c>
      <c r="V80" s="235">
        <f>IFERROR(ROUND(VLOOKUP($A80,'2.5 Päättäneet palaute'!$A:$AC,COLUMN('2.5 Päättäneet palaute'!AB:AB),FALSE),1),0)</f>
        <v>77515.7</v>
      </c>
      <c r="W80" s="22">
        <f>IFERROR(Ohj.lask.[[#This Row],[Painotetut pisteet 5]]/Ohj.lask.[[#Totals],[Painotetut pisteet 5]],0)</f>
        <v>1.1705616174507195E-2</v>
      </c>
      <c r="X80" s="19">
        <f>ROUND(IFERROR('1.1 Jakotaulu'!M$17*Ohj.lask.[[#This Row],[%-osuus 5]],0),0)</f>
        <v>406343</v>
      </c>
      <c r="Y80" s="21">
        <f>IFERROR(Ohj.lask.[[#This Row],[Jaettava € 6]]/Ohj.lask.[[#Totals],[Jaettava € 6]],"")</f>
        <v>1.3224902668112838E-2</v>
      </c>
      <c r="Z80" s="25">
        <f>IFERROR(Ohj.lask.[[#This Row],[Jaettava € 1]]+Ohj.lask.[[#This Row],[Jaettava € 2]]+Ohj.lask.[[#This Row],[Jaettava € 3]]+Ohj.lask.[[#This Row],[Jaettava € 4]]+Ohj.lask.[[#This Row],[Jaettava € 5]],"")</f>
        <v>22765149</v>
      </c>
      <c r="AA80" s="123">
        <f>0</f>
        <v>0</v>
      </c>
      <c r="AB80" s="19">
        <f>Ohj.lask.[[#This Row],[Jaettava € 1]]+Ohj.lask.[[#This Row],[Jaettava €]]</f>
        <v>15309135</v>
      </c>
      <c r="AC80" s="107">
        <f>Ohj.lask.[[#This Row],[Jaettava € 2]]</f>
        <v>5281273</v>
      </c>
      <c r="AD80" s="19">
        <f>Ohj.lask.[[#This Row],[Jaettava € 3]]+Ohj.lask.[[#This Row],[Jaettava € 4]]+Ohj.lask.[[#This Row],[Jaettava € 5]]</f>
        <v>2174741</v>
      </c>
      <c r="AE80" s="36">
        <f>Ohj.lask.[[#This Row],[Jaettava € 6]]+Ohj.lask.[[#This Row],[Jaettava €]]</f>
        <v>22765149</v>
      </c>
      <c r="AF80" s="36">
        <f>IFERROR(VLOOKUP(Ohj.lask.[[#This Row],[Y-tunnus]],'3.1 Alv vahvistettu'!A:Y,COLUMN(C:C),FALSE),0)</f>
        <v>0</v>
      </c>
      <c r="AG80" s="25">
        <f>Ohj.lask.[[#This Row],[Perus-, suoritus- ja vaikuttavuusrahoitus yhteensä, €]]+Ohj.lask.[[#This Row],[Alv-korvaus, €]]</f>
        <v>22765149</v>
      </c>
    </row>
    <row r="81" spans="1:33" x14ac:dyDescent="0.2">
      <c r="A81" s="131" t="s">
        <v>329</v>
      </c>
      <c r="B81" s="16" t="s">
        <v>89</v>
      </c>
      <c r="C81" s="16" t="s">
        <v>285</v>
      </c>
      <c r="D81" s="16" t="s">
        <v>412</v>
      </c>
      <c r="E81" s="16" t="s">
        <v>474</v>
      </c>
      <c r="F81" s="114">
        <v>4312</v>
      </c>
      <c r="G81" s="122">
        <f>0</f>
        <v>0</v>
      </c>
      <c r="H81" s="35">
        <f t="shared" si="4"/>
        <v>4312</v>
      </c>
      <c r="I81" s="17">
        <f>IFERROR(VLOOKUP($A81,'2.1 Toteut. op.vuodet'!$A:$Q,COLUMN('2.1 Toteut. op.vuodet'!Q:Q),FALSE),0)</f>
        <v>1.0403404127433953</v>
      </c>
      <c r="J81" s="11">
        <f t="shared" si="5"/>
        <v>4485.8999999999996</v>
      </c>
      <c r="K81" s="18">
        <f>IFERROR(Ohj.lask.[[#This Row],[Painotetut opiskelija-vuodet]]/Ohj.lask.[[#Totals],[Painotetut opiskelija-vuodet]],0)</f>
        <v>2.2428580428202432E-2</v>
      </c>
      <c r="L81" s="19">
        <f>ROUND(IFERROR('1.1 Jakotaulu'!L$10*Ohj.lask.[[#This Row],[%-osuus 1]],0),0)</f>
        <v>26151041</v>
      </c>
      <c r="M81" s="211">
        <f>IFERROR(ROUND(VLOOKUP($A81,'2.2 Tutk. ja osien pain. pist.'!$A:$Q,COLUMN('2.2 Tutk. ja osien pain. pist.'!P:P),FALSE),1),0)</f>
        <v>353352.3</v>
      </c>
      <c r="N81" s="18">
        <f>IFERROR(Ohj.lask.[[#This Row],[Painotetut pisteet 2]]/Ohj.lask.[[#Totals],[Painotetut pisteet 2]],0)</f>
        <v>2.2580716445459104E-2</v>
      </c>
      <c r="O81" s="25">
        <f>ROUND(IFERROR('1.1 Jakotaulu'!K$11*Ohj.lask.[[#This Row],[%-osuus 2]],0),0)</f>
        <v>8361120</v>
      </c>
      <c r="P81" s="233">
        <f>IFERROR(ROUND(VLOOKUP($A81,'2.3 Työll. ja jatko-opisk.'!$A:$K,COLUMN('2.3 Työll. ja jatko-opisk.'!I:I),FALSE),1),0)</f>
        <v>5398</v>
      </c>
      <c r="Q81" s="18">
        <f>IFERROR(Ohj.lask.[[#This Row],[Painotetut pisteet 3]]/Ohj.lask.[[#Totals],[Painotetut pisteet 3]],0)</f>
        <v>2.8496194876386275E-2</v>
      </c>
      <c r="R81" s="19">
        <f>ROUND(IFERROR('1.1 Jakotaulu'!L$13*Ohj.lask.[[#This Row],[%-osuus 3]],0),0)</f>
        <v>3956807</v>
      </c>
      <c r="S81" s="211">
        <f>IFERROR(ROUND(VLOOKUP($A81,'2.4 Aloittaneet palaute'!$A:$K,COLUMN('2.4 Aloittaneet palaute'!J:J),FALSE),1),0)</f>
        <v>28516.799999999999</v>
      </c>
      <c r="T81" s="22">
        <f>IFERROR(Ohj.lask.[[#This Row],[Painotetut pisteet 4]]/Ohj.lask.[[#Totals],[Painotetut pisteet 4]],0)</f>
        <v>2.2904383227869241E-2</v>
      </c>
      <c r="U81" s="25">
        <f>ROUND(IFERROR('1.1 Jakotaulu'!M$16*Ohj.lask.[[#This Row],[%-osuus 4]],0),0)</f>
        <v>265030</v>
      </c>
      <c r="V81" s="235">
        <f>IFERROR(ROUND(VLOOKUP($A81,'2.5 Päättäneet palaute'!$A:$AC,COLUMN('2.5 Päättäneet palaute'!AB:AB),FALSE),1),0)</f>
        <v>188835.1</v>
      </c>
      <c r="W81" s="22">
        <f>IFERROR(Ohj.lask.[[#This Row],[Painotetut pisteet 5]]/Ohj.lask.[[#Totals],[Painotetut pisteet 5]],0)</f>
        <v>2.8515916141822674E-2</v>
      </c>
      <c r="X81" s="19">
        <f>ROUND(IFERROR('1.1 Jakotaulu'!M$17*Ohj.lask.[[#This Row],[%-osuus 5]],0),0)</f>
        <v>989886</v>
      </c>
      <c r="Y81" s="21">
        <f>IFERROR(Ohj.lask.[[#This Row],[Jaettava € 6]]/Ohj.lask.[[#Totals],[Jaettava € 6]],"")</f>
        <v>2.3076699366184901E-2</v>
      </c>
      <c r="Z81" s="25">
        <f>IFERROR(Ohj.lask.[[#This Row],[Jaettava € 1]]+Ohj.lask.[[#This Row],[Jaettava € 2]]+Ohj.lask.[[#This Row],[Jaettava € 3]]+Ohj.lask.[[#This Row],[Jaettava € 4]]+Ohj.lask.[[#This Row],[Jaettava € 5]],"")</f>
        <v>39723884</v>
      </c>
      <c r="AA81" s="123">
        <f>0</f>
        <v>0</v>
      </c>
      <c r="AB81" s="19">
        <f>Ohj.lask.[[#This Row],[Jaettava € 1]]+Ohj.lask.[[#This Row],[Jaettava €]]</f>
        <v>26151041</v>
      </c>
      <c r="AC81" s="107">
        <f>Ohj.lask.[[#This Row],[Jaettava € 2]]</f>
        <v>8361120</v>
      </c>
      <c r="AD81" s="19">
        <f>Ohj.lask.[[#This Row],[Jaettava € 3]]+Ohj.lask.[[#This Row],[Jaettava € 4]]+Ohj.lask.[[#This Row],[Jaettava € 5]]</f>
        <v>5211723</v>
      </c>
      <c r="AE81" s="36">
        <f>Ohj.lask.[[#This Row],[Jaettava € 6]]+Ohj.lask.[[#This Row],[Jaettava €]]</f>
        <v>39723884</v>
      </c>
      <c r="AF81" s="36">
        <f>IFERROR(VLOOKUP(Ohj.lask.[[#This Row],[Y-tunnus]],'3.1 Alv vahvistettu'!A:Y,COLUMN(C:C),FALSE),0)</f>
        <v>3092462.53</v>
      </c>
      <c r="AG81" s="25">
        <f>Ohj.lask.[[#This Row],[Perus-, suoritus- ja vaikuttavuusrahoitus yhteensä, €]]+Ohj.lask.[[#This Row],[Alv-korvaus, €]]</f>
        <v>42816346.530000001</v>
      </c>
    </row>
    <row r="82" spans="1:33" x14ac:dyDescent="0.2">
      <c r="A82" s="131" t="s">
        <v>327</v>
      </c>
      <c r="B82" s="16" t="s">
        <v>90</v>
      </c>
      <c r="C82" s="98" t="s">
        <v>236</v>
      </c>
      <c r="D82" s="98" t="s">
        <v>412</v>
      </c>
      <c r="E82" s="98" t="s">
        <v>474</v>
      </c>
      <c r="F82" s="113">
        <v>199</v>
      </c>
      <c r="G82" s="122">
        <f>0</f>
        <v>0</v>
      </c>
      <c r="H82" s="35">
        <f t="shared" si="4"/>
        <v>199</v>
      </c>
      <c r="I82" s="17">
        <f>IFERROR(VLOOKUP($A82,'2.1 Toteut. op.vuodet'!$A:$Q,COLUMN('2.1 Toteut. op.vuodet'!Q:Q),FALSE),0)</f>
        <v>1.0140919311502961</v>
      </c>
      <c r="J82" s="11">
        <f t="shared" si="5"/>
        <v>201.8</v>
      </c>
      <c r="K82" s="18">
        <f>IFERROR(Ohj.lask.[[#This Row],[Painotetut opiskelija-vuodet]]/Ohj.lask.[[#Totals],[Painotetut opiskelija-vuodet]],0)</f>
        <v>1.0089586326960591E-3</v>
      </c>
      <c r="L82" s="19">
        <f>ROUND(IFERROR('1.1 Jakotaulu'!L$10*Ohj.lask.[[#This Row],[%-osuus 1]],0),0)</f>
        <v>1176415</v>
      </c>
      <c r="M82" s="211">
        <f>IFERROR(ROUND(VLOOKUP($A82,'2.2 Tutk. ja osien pain. pist.'!$A:$Q,COLUMN('2.2 Tutk. ja osien pain. pist.'!P:P),FALSE),1),0)</f>
        <v>17161.5</v>
      </c>
      <c r="N82" s="18">
        <f>IFERROR(Ohj.lask.[[#This Row],[Painotetut pisteet 2]]/Ohj.lask.[[#Totals],[Painotetut pisteet 2]],0)</f>
        <v>1.0966929188765615E-3</v>
      </c>
      <c r="O82" s="25">
        <f>ROUND(IFERROR('1.1 Jakotaulu'!K$11*Ohj.lask.[[#This Row],[%-osuus 2]],0),0)</f>
        <v>406080</v>
      </c>
      <c r="P82" s="233">
        <f>IFERROR(ROUND(VLOOKUP($A82,'2.3 Työll. ja jatko-opisk.'!$A:$K,COLUMN('2.3 Työll. ja jatko-opisk.'!I:I),FALSE),1),0)</f>
        <v>200.1</v>
      </c>
      <c r="Q82" s="22">
        <f>IFERROR(Ohj.lask.[[#This Row],[Painotetut pisteet 3]]/Ohj.lask.[[#Totals],[Painotetut pisteet 3]],0)</f>
        <v>1.0563335670183203E-3</v>
      </c>
      <c r="R82" s="19">
        <f>ROUND(IFERROR('1.1 Jakotaulu'!L$13*Ohj.lask.[[#This Row],[%-osuus 3]],0),0)</f>
        <v>146676</v>
      </c>
      <c r="S82" s="211">
        <f>IFERROR(ROUND(VLOOKUP($A82,'2.4 Aloittaneet palaute'!$A:$K,COLUMN('2.4 Aloittaneet palaute'!J:J),FALSE),1),0)</f>
        <v>1505.3</v>
      </c>
      <c r="T82" s="22">
        <f>IFERROR(Ohj.lask.[[#This Row],[Painotetut pisteet 4]]/Ohj.lask.[[#Totals],[Painotetut pisteet 4]],0)</f>
        <v>1.2090405681181469E-3</v>
      </c>
      <c r="U82" s="25">
        <f>ROUND(IFERROR('1.1 Jakotaulu'!M$16*Ohj.lask.[[#This Row],[%-osuus 4]],0),0)</f>
        <v>13990</v>
      </c>
      <c r="V82" s="235">
        <f>IFERROR(ROUND(VLOOKUP($A82,'2.5 Päättäneet palaute'!$A:$AC,COLUMN('2.5 Päättäneet palaute'!AB:AB),FALSE),1),0)</f>
        <v>11640</v>
      </c>
      <c r="W82" s="22">
        <f>IFERROR(Ohj.lask.[[#This Row],[Painotetut pisteet 5]]/Ohj.lask.[[#Totals],[Painotetut pisteet 5]],0)</f>
        <v>1.7577519427840263E-3</v>
      </c>
      <c r="X82" s="19">
        <f>ROUND(IFERROR('1.1 Jakotaulu'!M$17*Ohj.lask.[[#This Row],[%-osuus 5]],0),0)</f>
        <v>61018</v>
      </c>
      <c r="Y82" s="21">
        <f>IFERROR(Ohj.lask.[[#This Row],[Jaettava € 6]]/Ohj.lask.[[#Totals],[Jaettava € 6]],"")</f>
        <v>1.0480973206392435E-3</v>
      </c>
      <c r="Z82" s="25">
        <f>IFERROR(Ohj.lask.[[#This Row],[Jaettava € 1]]+Ohj.lask.[[#This Row],[Jaettava € 2]]+Ohj.lask.[[#This Row],[Jaettava € 3]]+Ohj.lask.[[#This Row],[Jaettava € 4]]+Ohj.lask.[[#This Row],[Jaettava € 5]],"")</f>
        <v>1804179</v>
      </c>
      <c r="AA82" s="123">
        <f>0</f>
        <v>0</v>
      </c>
      <c r="AB82" s="19">
        <f>Ohj.lask.[[#This Row],[Jaettava € 1]]+Ohj.lask.[[#This Row],[Jaettava €]]</f>
        <v>1176415</v>
      </c>
      <c r="AC82" s="107">
        <f>Ohj.lask.[[#This Row],[Jaettava € 2]]</f>
        <v>406080</v>
      </c>
      <c r="AD82" s="19">
        <f>Ohj.lask.[[#This Row],[Jaettava € 3]]+Ohj.lask.[[#This Row],[Jaettava € 4]]+Ohj.lask.[[#This Row],[Jaettava € 5]]</f>
        <v>221684</v>
      </c>
      <c r="AE82" s="36">
        <f>Ohj.lask.[[#This Row],[Jaettava € 6]]+Ohj.lask.[[#This Row],[Jaettava €]]</f>
        <v>1804179</v>
      </c>
      <c r="AF82" s="36">
        <f>IFERROR(VLOOKUP(Ohj.lask.[[#This Row],[Y-tunnus]],'3.1 Alv vahvistettu'!A:Y,COLUMN(C:C),FALSE),0)</f>
        <v>80404.460000000006</v>
      </c>
      <c r="AG82" s="25">
        <f>Ohj.lask.[[#This Row],[Perus-, suoritus- ja vaikuttavuusrahoitus yhteensä, €]]+Ohj.lask.[[#This Row],[Alv-korvaus, €]]</f>
        <v>1884583.46</v>
      </c>
    </row>
    <row r="83" spans="1:33" x14ac:dyDescent="0.2">
      <c r="A83" s="131" t="s">
        <v>323</v>
      </c>
      <c r="B83" s="16" t="s">
        <v>91</v>
      </c>
      <c r="C83" s="16" t="s">
        <v>236</v>
      </c>
      <c r="D83" s="16" t="s">
        <v>412</v>
      </c>
      <c r="E83" s="16" t="s">
        <v>474</v>
      </c>
      <c r="F83" s="114">
        <v>73</v>
      </c>
      <c r="G83" s="122">
        <f>0</f>
        <v>0</v>
      </c>
      <c r="H83" s="35">
        <f t="shared" si="4"/>
        <v>73</v>
      </c>
      <c r="I83" s="17">
        <f>IFERROR(VLOOKUP($A83,'2.1 Toteut. op.vuodet'!$A:$Q,COLUMN('2.1 Toteut. op.vuodet'!Q:Q),FALSE),0)</f>
        <v>0.60735050165349558</v>
      </c>
      <c r="J83" s="11">
        <f t="shared" si="5"/>
        <v>44.3</v>
      </c>
      <c r="K83" s="18">
        <f>IFERROR(Ohj.lask.[[#This Row],[Painotetut opiskelija-vuodet]]/Ohj.lask.[[#Totals],[Painotetut opiskelija-vuodet]],0)</f>
        <v>2.2149091887232612E-4</v>
      </c>
      <c r="L83" s="19">
        <f>ROUND(IFERROR('1.1 Jakotaulu'!L$10*Ohj.lask.[[#This Row],[%-osuus 1]],0),0)</f>
        <v>258252</v>
      </c>
      <c r="M83" s="211">
        <f>IFERROR(ROUND(VLOOKUP($A83,'2.2 Tutk. ja osien pain. pist.'!$A:$Q,COLUMN('2.2 Tutk. ja osien pain. pist.'!P:P),FALSE),1),0)</f>
        <v>4594.7</v>
      </c>
      <c r="N83" s="18">
        <f>IFERROR(Ohj.lask.[[#This Row],[Painotetut pisteet 2]]/Ohj.lask.[[#Totals],[Painotetut pisteet 2]],0)</f>
        <v>2.9362089295004152E-4</v>
      </c>
      <c r="O83" s="25">
        <f>ROUND(IFERROR('1.1 Jakotaulu'!K$11*Ohj.lask.[[#This Row],[%-osuus 2]],0),0)</f>
        <v>108721</v>
      </c>
      <c r="P83" s="233">
        <f>IFERROR(ROUND(VLOOKUP($A83,'2.3 Työll. ja jatko-opisk.'!$A:$K,COLUMN('2.3 Työll. ja jatko-opisk.'!I:I),FALSE),1),0)</f>
        <v>175</v>
      </c>
      <c r="Q83" s="18">
        <f>IFERROR(Ohj.lask.[[#This Row],[Painotetut pisteet 3]]/Ohj.lask.[[#Totals],[Painotetut pisteet 3]],0)</f>
        <v>9.2382995616294887E-4</v>
      </c>
      <c r="R83" s="19">
        <f>ROUND(IFERROR('1.1 Jakotaulu'!L$13*Ohj.lask.[[#This Row],[%-osuus 3]],0),0)</f>
        <v>128277</v>
      </c>
      <c r="S83" s="211">
        <f>IFERROR(ROUND(VLOOKUP($A83,'2.4 Aloittaneet palaute'!$A:$K,COLUMN('2.4 Aloittaneet palaute'!J:J),FALSE),1),0)</f>
        <v>2026.4</v>
      </c>
      <c r="T83" s="22">
        <f>IFERROR(Ohj.lask.[[#This Row],[Painotetut pisteet 4]]/Ohj.lask.[[#Totals],[Painotetut pisteet 4]],0)</f>
        <v>1.6275824136282556E-3</v>
      </c>
      <c r="U83" s="25">
        <f>ROUND(IFERROR('1.1 Jakotaulu'!M$16*Ohj.lask.[[#This Row],[%-osuus 4]],0),0)</f>
        <v>18833</v>
      </c>
      <c r="V83" s="235">
        <f>IFERROR(ROUND(VLOOKUP($A83,'2.5 Päättäneet palaute'!$A:$AC,COLUMN('2.5 Päättäneet palaute'!AB:AB),FALSE),1),0)</f>
        <v>10784.2</v>
      </c>
      <c r="W83" s="22">
        <f>IFERROR(Ohj.lask.[[#This Row],[Painotetut pisteet 5]]/Ohj.lask.[[#Totals],[Painotetut pisteet 5]],0)</f>
        <v>1.6285179124889604E-3</v>
      </c>
      <c r="X83" s="19">
        <f>ROUND(IFERROR('1.1 Jakotaulu'!M$17*Ohj.lask.[[#This Row],[%-osuus 5]],0),0)</f>
        <v>56532</v>
      </c>
      <c r="Y83" s="21">
        <f>IFERROR(Ohj.lask.[[#This Row],[Jaettava € 6]]/Ohj.lask.[[#Totals],[Jaettava € 6]],"")</f>
        <v>3.3148598482554215E-4</v>
      </c>
      <c r="Z83" s="25">
        <f>IFERROR(Ohj.lask.[[#This Row],[Jaettava € 1]]+Ohj.lask.[[#This Row],[Jaettava € 2]]+Ohj.lask.[[#This Row],[Jaettava € 3]]+Ohj.lask.[[#This Row],[Jaettava € 4]]+Ohj.lask.[[#This Row],[Jaettava € 5]],"")</f>
        <v>570615</v>
      </c>
      <c r="AA83" s="123">
        <f>0</f>
        <v>0</v>
      </c>
      <c r="AB83" s="19">
        <f>Ohj.lask.[[#This Row],[Jaettava € 1]]+Ohj.lask.[[#This Row],[Jaettava €]]</f>
        <v>258252</v>
      </c>
      <c r="AC83" s="107">
        <f>Ohj.lask.[[#This Row],[Jaettava € 2]]</f>
        <v>108721</v>
      </c>
      <c r="AD83" s="19">
        <f>Ohj.lask.[[#This Row],[Jaettava € 3]]+Ohj.lask.[[#This Row],[Jaettava € 4]]+Ohj.lask.[[#This Row],[Jaettava € 5]]</f>
        <v>203642</v>
      </c>
      <c r="AE83" s="36">
        <f>Ohj.lask.[[#This Row],[Jaettava € 6]]+Ohj.lask.[[#This Row],[Jaettava €]]</f>
        <v>570615</v>
      </c>
      <c r="AF83" s="36">
        <f>IFERROR(VLOOKUP(Ohj.lask.[[#This Row],[Y-tunnus]],'3.1 Alv vahvistettu'!A:Y,COLUMN(C:C),FALSE),0)</f>
        <v>173884</v>
      </c>
      <c r="AG83" s="25">
        <f>Ohj.lask.[[#This Row],[Perus-, suoritus- ja vaikuttavuusrahoitus yhteensä, €]]+Ohj.lask.[[#This Row],[Alv-korvaus, €]]</f>
        <v>744499</v>
      </c>
    </row>
    <row r="84" spans="1:33" x14ac:dyDescent="0.2">
      <c r="A84" s="131" t="s">
        <v>326</v>
      </c>
      <c r="B84" s="16" t="s">
        <v>92</v>
      </c>
      <c r="C84" s="16" t="s">
        <v>236</v>
      </c>
      <c r="D84" s="16" t="s">
        <v>412</v>
      </c>
      <c r="E84" s="16" t="s">
        <v>474</v>
      </c>
      <c r="F84" s="114">
        <v>1430</v>
      </c>
      <c r="G84" s="122">
        <f>0</f>
        <v>0</v>
      </c>
      <c r="H84" s="35">
        <f t="shared" si="4"/>
        <v>1430</v>
      </c>
      <c r="I84" s="17">
        <f>IFERROR(VLOOKUP($A84,'2.1 Toteut. op.vuodet'!$A:$Q,COLUMN('2.1 Toteut. op.vuodet'!Q:Q),FALSE),0)</f>
        <v>0.63492729292062466</v>
      </c>
      <c r="J84" s="11">
        <f t="shared" si="5"/>
        <v>907.9</v>
      </c>
      <c r="K84" s="18">
        <f>IFERROR(Ohj.lask.[[#This Row],[Painotetut opiskelija-vuodet]]/Ohj.lask.[[#Totals],[Painotetut opiskelija-vuodet]],0)</f>
        <v>4.5393138881305844E-3</v>
      </c>
      <c r="L84" s="19">
        <f>ROUND(IFERROR('1.1 Jakotaulu'!L$10*Ohj.lask.[[#This Row],[%-osuus 1]],0),0)</f>
        <v>5292702</v>
      </c>
      <c r="M84" s="211">
        <f>IFERROR(ROUND(VLOOKUP($A84,'2.2 Tutk. ja osien pain. pist.'!$A:$Q,COLUMN('2.2 Tutk. ja osien pain. pist.'!P:P),FALSE),1),0)</f>
        <v>88545.5</v>
      </c>
      <c r="N84" s="18">
        <f>IFERROR(Ohj.lask.[[#This Row],[Painotetut pisteet 2]]/Ohj.lask.[[#Totals],[Painotetut pisteet 2]],0)</f>
        <v>5.6584344520225257E-3</v>
      </c>
      <c r="O84" s="25">
        <f>ROUND(IFERROR('1.1 Jakotaulu'!K$11*Ohj.lask.[[#This Row],[%-osuus 2]],0),0)</f>
        <v>2095188</v>
      </c>
      <c r="P84" s="233">
        <f>IFERROR(ROUND(VLOOKUP($A84,'2.3 Työll. ja jatko-opisk.'!$A:$K,COLUMN('2.3 Työll. ja jatko-opisk.'!I:I),FALSE),1),0)</f>
        <v>1846.3</v>
      </c>
      <c r="Q84" s="18">
        <f>IFERROR(Ohj.lask.[[#This Row],[Painotetut pisteet 3]]/Ohj.lask.[[#Totals],[Painotetut pisteet 3]],0)</f>
        <v>9.7466699889351572E-3</v>
      </c>
      <c r="R84" s="19">
        <f>ROUND(IFERROR('1.1 Jakotaulu'!L$13*Ohj.lask.[[#This Row],[%-osuus 3]],0),0)</f>
        <v>1353363</v>
      </c>
      <c r="S84" s="211">
        <f>IFERROR(ROUND(VLOOKUP($A84,'2.4 Aloittaneet palaute'!$A:$K,COLUMN('2.4 Aloittaneet palaute'!J:J),FALSE),1),0)</f>
        <v>10992.4</v>
      </c>
      <c r="T84" s="22">
        <f>IFERROR(Ohj.lask.[[#This Row],[Painotetut pisteet 4]]/Ohj.lask.[[#Totals],[Painotetut pisteet 4]],0)</f>
        <v>8.8289759788626309E-3</v>
      </c>
      <c r="U84" s="25">
        <f>ROUND(IFERROR('1.1 Jakotaulu'!M$16*Ohj.lask.[[#This Row],[%-osuus 4]],0),0)</f>
        <v>102161</v>
      </c>
      <c r="V84" s="235">
        <f>IFERROR(ROUND(VLOOKUP($A84,'2.5 Päättäneet palaute'!$A:$AC,COLUMN('2.5 Päättäneet palaute'!AB:AB),FALSE),1),0)</f>
        <v>86532.800000000003</v>
      </c>
      <c r="W84" s="22">
        <f>IFERROR(Ohj.lask.[[#This Row],[Painotetut pisteet 5]]/Ohj.lask.[[#Totals],[Painotetut pisteet 5]],0)</f>
        <v>1.3067284992658213E-2</v>
      </c>
      <c r="X84" s="19">
        <f>ROUND(IFERROR('1.1 Jakotaulu'!M$17*Ohj.lask.[[#This Row],[%-osuus 5]],0),0)</f>
        <v>453611</v>
      </c>
      <c r="Y84" s="21">
        <f>IFERROR(Ohj.lask.[[#This Row],[Jaettava € 6]]/Ohj.lask.[[#Totals],[Jaettava € 6]],"")</f>
        <v>5.400898132843837E-3</v>
      </c>
      <c r="Z84" s="25">
        <f>IFERROR(Ohj.lask.[[#This Row],[Jaettava € 1]]+Ohj.lask.[[#This Row],[Jaettava € 2]]+Ohj.lask.[[#This Row],[Jaettava € 3]]+Ohj.lask.[[#This Row],[Jaettava € 4]]+Ohj.lask.[[#This Row],[Jaettava € 5]],"")</f>
        <v>9297025</v>
      </c>
      <c r="AA84" s="123">
        <f>0</f>
        <v>0</v>
      </c>
      <c r="AB84" s="19">
        <f>Ohj.lask.[[#This Row],[Jaettava € 1]]+Ohj.lask.[[#This Row],[Jaettava €]]</f>
        <v>5292702</v>
      </c>
      <c r="AC84" s="107">
        <f>Ohj.lask.[[#This Row],[Jaettava € 2]]</f>
        <v>2095188</v>
      </c>
      <c r="AD84" s="19">
        <f>Ohj.lask.[[#This Row],[Jaettava € 3]]+Ohj.lask.[[#This Row],[Jaettava € 4]]+Ohj.lask.[[#This Row],[Jaettava € 5]]</f>
        <v>1909135</v>
      </c>
      <c r="AE84" s="36">
        <f>Ohj.lask.[[#This Row],[Jaettava € 6]]+Ohj.lask.[[#This Row],[Jaettava €]]</f>
        <v>9297025</v>
      </c>
      <c r="AF84" s="36">
        <f>IFERROR(VLOOKUP(Ohj.lask.[[#This Row],[Y-tunnus]],'3.1 Alv vahvistettu'!A:Y,COLUMN(C:C),FALSE),0)</f>
        <v>1171032</v>
      </c>
      <c r="AG84" s="25">
        <f>Ohj.lask.[[#This Row],[Perus-, suoritus- ja vaikuttavuusrahoitus yhteensä, €]]+Ohj.lask.[[#This Row],[Alv-korvaus, €]]</f>
        <v>10468057</v>
      </c>
    </row>
    <row r="85" spans="1:33" x14ac:dyDescent="0.2">
      <c r="A85" s="131" t="s">
        <v>325</v>
      </c>
      <c r="B85" s="16" t="s">
        <v>93</v>
      </c>
      <c r="C85" s="98" t="s">
        <v>244</v>
      </c>
      <c r="D85" s="98" t="s">
        <v>412</v>
      </c>
      <c r="E85" s="98" t="s">
        <v>474</v>
      </c>
      <c r="F85" s="113">
        <v>153</v>
      </c>
      <c r="G85" s="122">
        <f>0</f>
        <v>0</v>
      </c>
      <c r="H85" s="35">
        <f t="shared" si="4"/>
        <v>153</v>
      </c>
      <c r="I85" s="17">
        <f>IFERROR(VLOOKUP($A85,'2.1 Toteut. op.vuodet'!$A:$Q,COLUMN('2.1 Toteut. op.vuodet'!Q:Q),FALSE),0)</f>
        <v>0.99465592819677384</v>
      </c>
      <c r="J85" s="11">
        <f t="shared" si="5"/>
        <v>152.19999999999999</v>
      </c>
      <c r="K85" s="18">
        <f>IFERROR(Ohj.lask.[[#This Row],[Painotetut opiskelija-vuodet]]/Ohj.lask.[[#Totals],[Painotetut opiskelija-vuodet]],0)</f>
        <v>7.6096880027918807E-4</v>
      </c>
      <c r="L85" s="19">
        <f>ROUND(IFERROR('1.1 Jakotaulu'!L$10*Ohj.lask.[[#This Row],[%-osuus 1]],0),0)</f>
        <v>887266</v>
      </c>
      <c r="M85" s="211">
        <f>IFERROR(ROUND(VLOOKUP($A85,'2.2 Tutk. ja osien pain. pist.'!$A:$Q,COLUMN('2.2 Tutk. ja osien pain. pist.'!P:P),FALSE),1),0)</f>
        <v>16233</v>
      </c>
      <c r="N85" s="18">
        <f>IFERROR(Ohj.lask.[[#This Row],[Painotetut pisteet 2]]/Ohj.lask.[[#Totals],[Painotetut pisteet 2]],0)</f>
        <v>1.0373578155827418E-3</v>
      </c>
      <c r="O85" s="25">
        <f>ROUND(IFERROR('1.1 Jakotaulu'!K$11*Ohj.lask.[[#This Row],[%-osuus 2]],0),0)</f>
        <v>384110</v>
      </c>
      <c r="P85" s="233">
        <f>IFERROR(ROUND(VLOOKUP($A85,'2.3 Työll. ja jatko-opisk.'!$A:$K,COLUMN('2.3 Työll. ja jatko-opisk.'!I:I),FALSE),1),0)</f>
        <v>238.6</v>
      </c>
      <c r="Q85" s="22">
        <f>IFERROR(Ohj.lask.[[#This Row],[Painotetut pisteet 3]]/Ohj.lask.[[#Totals],[Painotetut pisteet 3]],0)</f>
        <v>1.2595761573741691E-3</v>
      </c>
      <c r="R85" s="19">
        <f>ROUND(IFERROR('1.1 Jakotaulu'!L$13*Ohj.lask.[[#This Row],[%-osuus 3]],0),0)</f>
        <v>174897</v>
      </c>
      <c r="S85" s="211">
        <f>IFERROR(ROUND(VLOOKUP($A85,'2.4 Aloittaneet palaute'!$A:$K,COLUMN('2.4 Aloittaneet palaute'!J:J),FALSE),1),0)</f>
        <v>2668.8</v>
      </c>
      <c r="T85" s="22">
        <f>IFERROR(Ohj.lask.[[#This Row],[Painotetut pisteet 4]]/Ohj.lask.[[#Totals],[Painotetut pisteet 4]],0)</f>
        <v>2.1435510982486619E-3</v>
      </c>
      <c r="U85" s="25">
        <f>ROUND(IFERROR('1.1 Jakotaulu'!M$16*Ohj.lask.[[#This Row],[%-osuus 4]],0),0)</f>
        <v>24803</v>
      </c>
      <c r="V85" s="235">
        <f>IFERROR(ROUND(VLOOKUP($A85,'2.5 Päättäneet palaute'!$A:$AC,COLUMN('2.5 Päättäneet palaute'!AB:AB),FALSE),1),0)</f>
        <v>9080.1</v>
      </c>
      <c r="W85" s="22">
        <f>IFERROR(Ohj.lask.[[#This Row],[Painotetut pisteet 5]]/Ohj.lask.[[#Totals],[Painotetut pisteet 5]],0)</f>
        <v>1.3711824240269105E-3</v>
      </c>
      <c r="X85" s="19">
        <f>ROUND(IFERROR('1.1 Jakotaulu'!M$17*Ohj.lask.[[#This Row],[%-osuus 5]],0),0)</f>
        <v>47598</v>
      </c>
      <c r="Y85" s="21">
        <f>IFERROR(Ohj.lask.[[#This Row],[Jaettava € 6]]/Ohj.lask.[[#Totals],[Jaettava € 6]],"")</f>
        <v>8.822395950315807E-4</v>
      </c>
      <c r="Z85" s="25">
        <f>IFERROR(Ohj.lask.[[#This Row],[Jaettava € 1]]+Ohj.lask.[[#This Row],[Jaettava € 2]]+Ohj.lask.[[#This Row],[Jaettava € 3]]+Ohj.lask.[[#This Row],[Jaettava € 4]]+Ohj.lask.[[#This Row],[Jaettava € 5]],"")</f>
        <v>1518674</v>
      </c>
      <c r="AA85" s="123">
        <f>0</f>
        <v>0</v>
      </c>
      <c r="AB85" s="19">
        <f>Ohj.lask.[[#This Row],[Jaettava € 1]]+Ohj.lask.[[#This Row],[Jaettava €]]</f>
        <v>887266</v>
      </c>
      <c r="AC85" s="107">
        <f>Ohj.lask.[[#This Row],[Jaettava € 2]]</f>
        <v>384110</v>
      </c>
      <c r="AD85" s="19">
        <f>Ohj.lask.[[#This Row],[Jaettava € 3]]+Ohj.lask.[[#This Row],[Jaettava € 4]]+Ohj.lask.[[#This Row],[Jaettava € 5]]</f>
        <v>247298</v>
      </c>
      <c r="AE85" s="36">
        <f>Ohj.lask.[[#This Row],[Jaettava € 6]]+Ohj.lask.[[#This Row],[Jaettava €]]</f>
        <v>1518674</v>
      </c>
      <c r="AF85" s="36">
        <f>IFERROR(VLOOKUP(Ohj.lask.[[#This Row],[Y-tunnus]],'3.1 Alv vahvistettu'!A:Y,COLUMN(C:C),FALSE),0)</f>
        <v>102812.53</v>
      </c>
      <c r="AG85" s="25">
        <f>Ohj.lask.[[#This Row],[Perus-, suoritus- ja vaikuttavuusrahoitus yhteensä, €]]+Ohj.lask.[[#This Row],[Alv-korvaus, €]]</f>
        <v>1621486.53</v>
      </c>
    </row>
    <row r="86" spans="1:33" x14ac:dyDescent="0.2">
      <c r="A86" s="131" t="s">
        <v>324</v>
      </c>
      <c r="B86" s="16" t="s">
        <v>173</v>
      </c>
      <c r="C86" s="16" t="s">
        <v>252</v>
      </c>
      <c r="D86" s="16" t="s">
        <v>412</v>
      </c>
      <c r="E86" s="16" t="s">
        <v>474</v>
      </c>
      <c r="F86" s="114">
        <v>0</v>
      </c>
      <c r="G86" s="122">
        <f>0</f>
        <v>0</v>
      </c>
      <c r="H86" s="35">
        <f t="shared" si="4"/>
        <v>0</v>
      </c>
      <c r="I86" s="17">
        <f>IFERROR(VLOOKUP($A86,'2.1 Toteut. op.vuodet'!$A:$Q,COLUMN('2.1 Toteut. op.vuodet'!Q:Q),FALSE),0)</f>
        <v>0.45127704141743613</v>
      </c>
      <c r="J86" s="11">
        <f t="shared" si="5"/>
        <v>0</v>
      </c>
      <c r="K86" s="18">
        <f>IFERROR(Ohj.lask.[[#This Row],[Painotetut opiskelija-vuodet]]/Ohj.lask.[[#Totals],[Painotetut opiskelija-vuodet]],0)</f>
        <v>0</v>
      </c>
      <c r="L86" s="19">
        <f>ROUND(IFERROR('1.1 Jakotaulu'!L$10*Ohj.lask.[[#This Row],[%-osuus 1]],0),0)</f>
        <v>0</v>
      </c>
      <c r="M86" s="211">
        <f>IFERROR(ROUND(VLOOKUP($A86,'2.2 Tutk. ja osien pain. pist.'!$A:$Q,COLUMN('2.2 Tutk. ja osien pain. pist.'!P:P),FALSE),1),0)</f>
        <v>0</v>
      </c>
      <c r="N86" s="18">
        <f>IFERROR(Ohj.lask.[[#This Row],[Painotetut pisteet 2]]/Ohj.lask.[[#Totals],[Painotetut pisteet 2]],0)</f>
        <v>0</v>
      </c>
      <c r="O86" s="25">
        <f>ROUND(IFERROR('1.1 Jakotaulu'!K$11*Ohj.lask.[[#This Row],[%-osuus 2]],0),0)</f>
        <v>0</v>
      </c>
      <c r="P86" s="233">
        <f>IFERROR(ROUND(VLOOKUP($A86,'2.3 Työll. ja jatko-opisk.'!$A:$K,COLUMN('2.3 Työll. ja jatko-opisk.'!I:I),FALSE),1),0)</f>
        <v>0</v>
      </c>
      <c r="Q86" s="18">
        <f>IFERROR(Ohj.lask.[[#This Row],[Painotetut pisteet 3]]/Ohj.lask.[[#Totals],[Painotetut pisteet 3]],0)</f>
        <v>0</v>
      </c>
      <c r="R86" s="19">
        <f>ROUND(IFERROR('1.1 Jakotaulu'!L$13*Ohj.lask.[[#This Row],[%-osuus 3]],0),0)</f>
        <v>0</v>
      </c>
      <c r="S86" s="211">
        <f>IFERROR(ROUND(VLOOKUP($A86,'2.4 Aloittaneet palaute'!$A:$K,COLUMN('2.4 Aloittaneet palaute'!J:J),FALSE),1),0)</f>
        <v>0</v>
      </c>
      <c r="T86" s="22">
        <f>IFERROR(Ohj.lask.[[#This Row],[Painotetut pisteet 4]]/Ohj.lask.[[#Totals],[Painotetut pisteet 4]],0)</f>
        <v>0</v>
      </c>
      <c r="U86" s="25">
        <f>ROUND(IFERROR('1.1 Jakotaulu'!M$16*Ohj.lask.[[#This Row],[%-osuus 4]],0),0)</f>
        <v>0</v>
      </c>
      <c r="V86" s="235">
        <f>IFERROR(ROUND(VLOOKUP($A86,'2.5 Päättäneet palaute'!$A:$AC,COLUMN('2.5 Päättäneet palaute'!AB:AB),FALSE),1),0)</f>
        <v>0</v>
      </c>
      <c r="W86" s="22">
        <f>IFERROR(Ohj.lask.[[#This Row],[Painotetut pisteet 5]]/Ohj.lask.[[#Totals],[Painotetut pisteet 5]],0)</f>
        <v>0</v>
      </c>
      <c r="X86" s="19">
        <f>ROUND(IFERROR('1.1 Jakotaulu'!M$17*Ohj.lask.[[#This Row],[%-osuus 5]],0),0)</f>
        <v>0</v>
      </c>
      <c r="Y86" s="21">
        <f>IFERROR(Ohj.lask.[[#This Row],[Jaettava € 6]]/Ohj.lask.[[#Totals],[Jaettava € 6]],"")</f>
        <v>0</v>
      </c>
      <c r="Z86" s="25">
        <f>IFERROR(Ohj.lask.[[#This Row],[Jaettava € 1]]+Ohj.lask.[[#This Row],[Jaettava € 2]]+Ohj.lask.[[#This Row],[Jaettava € 3]]+Ohj.lask.[[#This Row],[Jaettava € 4]]+Ohj.lask.[[#This Row],[Jaettava € 5]],"")</f>
        <v>0</v>
      </c>
      <c r="AA86" s="123">
        <f>0</f>
        <v>0</v>
      </c>
      <c r="AB86" s="19">
        <f>Ohj.lask.[[#This Row],[Jaettava € 1]]+Ohj.lask.[[#This Row],[Jaettava €]]</f>
        <v>0</v>
      </c>
      <c r="AC86" s="107">
        <f>Ohj.lask.[[#This Row],[Jaettava € 2]]</f>
        <v>0</v>
      </c>
      <c r="AD86" s="19">
        <f>Ohj.lask.[[#This Row],[Jaettava € 3]]+Ohj.lask.[[#This Row],[Jaettava € 4]]+Ohj.lask.[[#This Row],[Jaettava € 5]]</f>
        <v>0</v>
      </c>
      <c r="AE86" s="36">
        <f>Ohj.lask.[[#This Row],[Jaettava € 6]]+Ohj.lask.[[#This Row],[Jaettava €]]</f>
        <v>0</v>
      </c>
      <c r="AF86" s="36">
        <f>IFERROR(VLOOKUP(Ohj.lask.[[#This Row],[Y-tunnus]],'3.1 Alv vahvistettu'!A:Y,COLUMN(C:C),FALSE),0)</f>
        <v>0</v>
      </c>
      <c r="AG86" s="25">
        <f>Ohj.lask.[[#This Row],[Perus-, suoritus- ja vaikuttavuusrahoitus yhteensä, €]]+Ohj.lask.[[#This Row],[Alv-korvaus, €]]</f>
        <v>0</v>
      </c>
    </row>
    <row r="87" spans="1:33" x14ac:dyDescent="0.2">
      <c r="A87" s="131" t="s">
        <v>322</v>
      </c>
      <c r="B87" s="16" t="s">
        <v>182</v>
      </c>
      <c r="C87" s="16" t="s">
        <v>247</v>
      </c>
      <c r="D87" s="16" t="s">
        <v>412</v>
      </c>
      <c r="E87" s="16" t="s">
        <v>474</v>
      </c>
      <c r="F87" s="114">
        <v>0</v>
      </c>
      <c r="G87" s="122">
        <f>0</f>
        <v>0</v>
      </c>
      <c r="H87" s="35">
        <f t="shared" si="4"/>
        <v>0</v>
      </c>
      <c r="I87" s="17">
        <f>IFERROR(VLOOKUP($A87,'2.1 Toteut. op.vuodet'!$A:$Q,COLUMN('2.1 Toteut. op.vuodet'!Q:Q),FALSE),0)</f>
        <v>0</v>
      </c>
      <c r="J87" s="11">
        <f t="shared" si="5"/>
        <v>0</v>
      </c>
      <c r="K87" s="18">
        <f>IFERROR(Ohj.lask.[[#This Row],[Painotetut opiskelija-vuodet]]/Ohj.lask.[[#Totals],[Painotetut opiskelija-vuodet]],0)</f>
        <v>0</v>
      </c>
      <c r="L87" s="19">
        <f>ROUND(IFERROR('1.1 Jakotaulu'!L$10*Ohj.lask.[[#This Row],[%-osuus 1]],0),0)</f>
        <v>0</v>
      </c>
      <c r="M87" s="211">
        <f>IFERROR(ROUND(VLOOKUP($A87,'2.2 Tutk. ja osien pain. pist.'!$A:$Q,COLUMN('2.2 Tutk. ja osien pain. pist.'!P:P),FALSE),1),0)</f>
        <v>0</v>
      </c>
      <c r="N87" s="18">
        <f>IFERROR(Ohj.lask.[[#This Row],[Painotetut pisteet 2]]/Ohj.lask.[[#Totals],[Painotetut pisteet 2]],0)</f>
        <v>0</v>
      </c>
      <c r="O87" s="25">
        <f>ROUND(IFERROR('1.1 Jakotaulu'!K$11*Ohj.lask.[[#This Row],[%-osuus 2]],0),0)</f>
        <v>0</v>
      </c>
      <c r="P87" s="233">
        <f>IFERROR(ROUND(VLOOKUP($A87,'2.3 Työll. ja jatko-opisk.'!$A:$K,COLUMN('2.3 Työll. ja jatko-opisk.'!I:I),FALSE),1),0)</f>
        <v>0</v>
      </c>
      <c r="Q87" s="18">
        <f>IFERROR(Ohj.lask.[[#This Row],[Painotetut pisteet 3]]/Ohj.lask.[[#Totals],[Painotetut pisteet 3]],0)</f>
        <v>0</v>
      </c>
      <c r="R87" s="19">
        <f>ROUND(IFERROR('1.1 Jakotaulu'!L$13*Ohj.lask.[[#This Row],[%-osuus 3]],0),0)</f>
        <v>0</v>
      </c>
      <c r="S87" s="211">
        <f>IFERROR(ROUND(VLOOKUP($A87,'2.4 Aloittaneet palaute'!$A:$K,COLUMN('2.4 Aloittaneet palaute'!J:J),FALSE),1),0)</f>
        <v>0</v>
      </c>
      <c r="T87" s="22">
        <f>IFERROR(Ohj.lask.[[#This Row],[Painotetut pisteet 4]]/Ohj.lask.[[#Totals],[Painotetut pisteet 4]],0)</f>
        <v>0</v>
      </c>
      <c r="U87" s="25">
        <f>ROUND(IFERROR('1.1 Jakotaulu'!M$16*Ohj.lask.[[#This Row],[%-osuus 4]],0),0)</f>
        <v>0</v>
      </c>
      <c r="V87" s="235">
        <f>IFERROR(ROUND(VLOOKUP($A87,'2.5 Päättäneet palaute'!$A:$AC,COLUMN('2.5 Päättäneet palaute'!AB:AB),FALSE),1),0)</f>
        <v>0</v>
      </c>
      <c r="W87" s="22">
        <f>IFERROR(Ohj.lask.[[#This Row],[Painotetut pisteet 5]]/Ohj.lask.[[#Totals],[Painotetut pisteet 5]],0)</f>
        <v>0</v>
      </c>
      <c r="X87" s="19">
        <f>ROUND(IFERROR('1.1 Jakotaulu'!M$17*Ohj.lask.[[#This Row],[%-osuus 5]],0),0)</f>
        <v>0</v>
      </c>
      <c r="Y87" s="21">
        <f>IFERROR(Ohj.lask.[[#This Row],[Jaettava € 6]]/Ohj.lask.[[#Totals],[Jaettava € 6]],"")</f>
        <v>0</v>
      </c>
      <c r="Z87" s="25">
        <f>IFERROR(Ohj.lask.[[#This Row],[Jaettava € 1]]+Ohj.lask.[[#This Row],[Jaettava € 2]]+Ohj.lask.[[#This Row],[Jaettava € 3]]+Ohj.lask.[[#This Row],[Jaettava € 4]]+Ohj.lask.[[#This Row],[Jaettava € 5]],"")</f>
        <v>0</v>
      </c>
      <c r="AA87" s="123">
        <f>0</f>
        <v>0</v>
      </c>
      <c r="AB87" s="19">
        <f>Ohj.lask.[[#This Row],[Jaettava € 1]]+Ohj.lask.[[#This Row],[Jaettava €]]</f>
        <v>0</v>
      </c>
      <c r="AC87" s="107">
        <f>Ohj.lask.[[#This Row],[Jaettava € 2]]</f>
        <v>0</v>
      </c>
      <c r="AD87" s="19">
        <f>Ohj.lask.[[#This Row],[Jaettava € 3]]+Ohj.lask.[[#This Row],[Jaettava € 4]]+Ohj.lask.[[#This Row],[Jaettava € 5]]</f>
        <v>0</v>
      </c>
      <c r="AE87" s="36">
        <f>Ohj.lask.[[#This Row],[Jaettava € 6]]+Ohj.lask.[[#This Row],[Jaettava €]]</f>
        <v>0</v>
      </c>
      <c r="AF87" s="36">
        <f>IFERROR(VLOOKUP(Ohj.lask.[[#This Row],[Y-tunnus]],'3.1 Alv vahvistettu'!A:Y,COLUMN(C:C),FALSE),0)</f>
        <v>0</v>
      </c>
      <c r="AG87" s="25">
        <f>Ohj.lask.[[#This Row],[Perus-, suoritus- ja vaikuttavuusrahoitus yhteensä, €]]+Ohj.lask.[[#This Row],[Alv-korvaus, €]]</f>
        <v>0</v>
      </c>
    </row>
    <row r="88" spans="1:33" x14ac:dyDescent="0.2">
      <c r="A88" s="131" t="s">
        <v>321</v>
      </c>
      <c r="B88" s="16" t="s">
        <v>192</v>
      </c>
      <c r="C88" s="16" t="s">
        <v>236</v>
      </c>
      <c r="D88" s="16" t="s">
        <v>412</v>
      </c>
      <c r="E88" s="16" t="s">
        <v>474</v>
      </c>
      <c r="F88" s="114">
        <v>0</v>
      </c>
      <c r="G88" s="122">
        <f>0</f>
        <v>0</v>
      </c>
      <c r="H88" s="35">
        <f t="shared" si="4"/>
        <v>0</v>
      </c>
      <c r="I88" s="17">
        <f>IFERROR(VLOOKUP($A88,'2.1 Toteut. op.vuodet'!$A:$Q,COLUMN('2.1 Toteut. op.vuodet'!Q:Q),FALSE),0)</f>
        <v>0.43000000000000005</v>
      </c>
      <c r="J88" s="11">
        <f t="shared" si="5"/>
        <v>0</v>
      </c>
      <c r="K88" s="18">
        <f>IFERROR(Ohj.lask.[[#This Row],[Painotetut opiskelija-vuodet]]/Ohj.lask.[[#Totals],[Painotetut opiskelija-vuodet]],0)</f>
        <v>0</v>
      </c>
      <c r="L88" s="19">
        <f>ROUND(IFERROR('1.1 Jakotaulu'!L$10*Ohj.lask.[[#This Row],[%-osuus 1]],0),0)</f>
        <v>0</v>
      </c>
      <c r="M88" s="211">
        <f>IFERROR(ROUND(VLOOKUP($A88,'2.2 Tutk. ja osien pain. pist.'!$A:$Q,COLUMN('2.2 Tutk. ja osien pain. pist.'!P:P),FALSE),1),0)</f>
        <v>0</v>
      </c>
      <c r="N88" s="18">
        <f>IFERROR(Ohj.lask.[[#This Row],[Painotetut pisteet 2]]/Ohj.lask.[[#Totals],[Painotetut pisteet 2]],0)</f>
        <v>0</v>
      </c>
      <c r="O88" s="25">
        <f>ROUND(IFERROR('1.1 Jakotaulu'!K$11*Ohj.lask.[[#This Row],[%-osuus 2]],0),0)</f>
        <v>0</v>
      </c>
      <c r="P88" s="233">
        <f>IFERROR(ROUND(VLOOKUP($A88,'2.3 Työll. ja jatko-opisk.'!$A:$K,COLUMN('2.3 Työll. ja jatko-opisk.'!I:I),FALSE),1),0)</f>
        <v>0</v>
      </c>
      <c r="Q88" s="18">
        <f>IFERROR(Ohj.lask.[[#This Row],[Painotetut pisteet 3]]/Ohj.lask.[[#Totals],[Painotetut pisteet 3]],0)</f>
        <v>0</v>
      </c>
      <c r="R88" s="19">
        <f>ROUND(IFERROR('1.1 Jakotaulu'!L$13*Ohj.lask.[[#This Row],[%-osuus 3]],0),0)</f>
        <v>0</v>
      </c>
      <c r="S88" s="211">
        <f>IFERROR(ROUND(VLOOKUP($A88,'2.4 Aloittaneet palaute'!$A:$K,COLUMN('2.4 Aloittaneet palaute'!J:J),FALSE),1),0)</f>
        <v>0</v>
      </c>
      <c r="T88" s="22">
        <f>IFERROR(Ohj.lask.[[#This Row],[Painotetut pisteet 4]]/Ohj.lask.[[#Totals],[Painotetut pisteet 4]],0)</f>
        <v>0</v>
      </c>
      <c r="U88" s="25">
        <f>ROUND(IFERROR('1.1 Jakotaulu'!M$16*Ohj.lask.[[#This Row],[%-osuus 4]],0),0)</f>
        <v>0</v>
      </c>
      <c r="V88" s="235">
        <f>IFERROR(ROUND(VLOOKUP($A88,'2.5 Päättäneet palaute'!$A:$AC,COLUMN('2.5 Päättäneet palaute'!AB:AB),FALSE),1),0)</f>
        <v>0</v>
      </c>
      <c r="W88" s="22">
        <f>IFERROR(Ohj.lask.[[#This Row],[Painotetut pisteet 5]]/Ohj.lask.[[#Totals],[Painotetut pisteet 5]],0)</f>
        <v>0</v>
      </c>
      <c r="X88" s="19">
        <f>ROUND(IFERROR('1.1 Jakotaulu'!M$17*Ohj.lask.[[#This Row],[%-osuus 5]],0),0)</f>
        <v>0</v>
      </c>
      <c r="Y88" s="21">
        <f>IFERROR(Ohj.lask.[[#This Row],[Jaettava € 6]]/Ohj.lask.[[#Totals],[Jaettava € 6]],"")</f>
        <v>0</v>
      </c>
      <c r="Z88" s="25">
        <f>IFERROR(Ohj.lask.[[#This Row],[Jaettava € 1]]+Ohj.lask.[[#This Row],[Jaettava € 2]]+Ohj.lask.[[#This Row],[Jaettava € 3]]+Ohj.lask.[[#This Row],[Jaettava € 4]]+Ohj.lask.[[#This Row],[Jaettava € 5]],"")</f>
        <v>0</v>
      </c>
      <c r="AA88" s="123">
        <f>0</f>
        <v>0</v>
      </c>
      <c r="AB88" s="19">
        <f>Ohj.lask.[[#This Row],[Jaettava € 1]]+Ohj.lask.[[#This Row],[Jaettava €]]</f>
        <v>0</v>
      </c>
      <c r="AC88" s="107">
        <f>Ohj.lask.[[#This Row],[Jaettava € 2]]</f>
        <v>0</v>
      </c>
      <c r="AD88" s="19">
        <f>Ohj.lask.[[#This Row],[Jaettava € 3]]+Ohj.lask.[[#This Row],[Jaettava € 4]]+Ohj.lask.[[#This Row],[Jaettava € 5]]</f>
        <v>0</v>
      </c>
      <c r="AE88" s="36">
        <f>Ohj.lask.[[#This Row],[Jaettava € 6]]+Ohj.lask.[[#This Row],[Jaettava €]]</f>
        <v>0</v>
      </c>
      <c r="AF88" s="36">
        <f>IFERROR(VLOOKUP(Ohj.lask.[[#This Row],[Y-tunnus]],'3.1 Alv vahvistettu'!A:Y,COLUMN(C:C),FALSE),0)</f>
        <v>0</v>
      </c>
      <c r="AG88" s="25">
        <f>Ohj.lask.[[#This Row],[Perus-, suoritus- ja vaikuttavuusrahoitus yhteensä, €]]+Ohj.lask.[[#This Row],[Alv-korvaus, €]]</f>
        <v>0</v>
      </c>
    </row>
    <row r="89" spans="1:33" x14ac:dyDescent="0.2">
      <c r="A89" s="131" t="s">
        <v>320</v>
      </c>
      <c r="B89" s="16" t="s">
        <v>212</v>
      </c>
      <c r="C89" s="16" t="s">
        <v>236</v>
      </c>
      <c r="D89" s="16" t="s">
        <v>412</v>
      </c>
      <c r="E89" s="16" t="s">
        <v>474</v>
      </c>
      <c r="F89" s="114">
        <v>0</v>
      </c>
      <c r="G89" s="122">
        <f>0</f>
        <v>0</v>
      </c>
      <c r="H89" s="35">
        <f t="shared" si="4"/>
        <v>0</v>
      </c>
      <c r="I89" s="17">
        <f>IFERROR(VLOOKUP($A89,'2.1 Toteut. op.vuodet'!$A:$Q,COLUMN('2.1 Toteut. op.vuodet'!Q:Q),FALSE),0)</f>
        <v>0.72913043478260864</v>
      </c>
      <c r="J89" s="11">
        <f t="shared" si="5"/>
        <v>0</v>
      </c>
      <c r="K89" s="18">
        <f>IFERROR(Ohj.lask.[[#This Row],[Painotetut opiskelija-vuodet]]/Ohj.lask.[[#Totals],[Painotetut opiskelija-vuodet]],0)</f>
        <v>0</v>
      </c>
      <c r="L89" s="19">
        <f>ROUND(IFERROR('1.1 Jakotaulu'!L$10*Ohj.lask.[[#This Row],[%-osuus 1]],0),0)</f>
        <v>0</v>
      </c>
      <c r="M89" s="211">
        <f>IFERROR(ROUND(VLOOKUP($A89,'2.2 Tutk. ja osien pain. pist.'!$A:$Q,COLUMN('2.2 Tutk. ja osien pain. pist.'!P:P),FALSE),1),0)</f>
        <v>0</v>
      </c>
      <c r="N89" s="18">
        <f>IFERROR(Ohj.lask.[[#This Row],[Painotetut pisteet 2]]/Ohj.lask.[[#Totals],[Painotetut pisteet 2]],0)</f>
        <v>0</v>
      </c>
      <c r="O89" s="25">
        <f>ROUND(IFERROR('1.1 Jakotaulu'!K$11*Ohj.lask.[[#This Row],[%-osuus 2]],0),0)</f>
        <v>0</v>
      </c>
      <c r="P89" s="233">
        <f>IFERROR(ROUND(VLOOKUP($A89,'2.3 Työll. ja jatko-opisk.'!$A:$K,COLUMN('2.3 Työll. ja jatko-opisk.'!I:I),FALSE),1),0)</f>
        <v>0</v>
      </c>
      <c r="Q89" s="18">
        <f>IFERROR(Ohj.lask.[[#This Row],[Painotetut pisteet 3]]/Ohj.lask.[[#Totals],[Painotetut pisteet 3]],0)</f>
        <v>0</v>
      </c>
      <c r="R89" s="19">
        <f>ROUND(IFERROR('1.1 Jakotaulu'!L$13*Ohj.lask.[[#This Row],[%-osuus 3]],0),0)</f>
        <v>0</v>
      </c>
      <c r="S89" s="211">
        <f>IFERROR(ROUND(VLOOKUP($A89,'2.4 Aloittaneet palaute'!$A:$K,COLUMN('2.4 Aloittaneet palaute'!J:J),FALSE),1),0)</f>
        <v>0</v>
      </c>
      <c r="T89" s="22">
        <f>IFERROR(Ohj.lask.[[#This Row],[Painotetut pisteet 4]]/Ohj.lask.[[#Totals],[Painotetut pisteet 4]],0)</f>
        <v>0</v>
      </c>
      <c r="U89" s="25">
        <f>ROUND(IFERROR('1.1 Jakotaulu'!M$16*Ohj.lask.[[#This Row],[%-osuus 4]],0),0)</f>
        <v>0</v>
      </c>
      <c r="V89" s="235">
        <f>IFERROR(ROUND(VLOOKUP($A89,'2.5 Päättäneet palaute'!$A:$AC,COLUMN('2.5 Päättäneet palaute'!AB:AB),FALSE),1),0)</f>
        <v>0</v>
      </c>
      <c r="W89" s="22">
        <f>IFERROR(Ohj.lask.[[#This Row],[Painotetut pisteet 5]]/Ohj.lask.[[#Totals],[Painotetut pisteet 5]],0)</f>
        <v>0</v>
      </c>
      <c r="X89" s="19">
        <f>ROUND(IFERROR('1.1 Jakotaulu'!M$17*Ohj.lask.[[#This Row],[%-osuus 5]],0),0)</f>
        <v>0</v>
      </c>
      <c r="Y89" s="21">
        <f>IFERROR(Ohj.lask.[[#This Row],[Jaettava € 6]]/Ohj.lask.[[#Totals],[Jaettava € 6]],"")</f>
        <v>0</v>
      </c>
      <c r="Z89" s="25">
        <f>IFERROR(Ohj.lask.[[#This Row],[Jaettava € 1]]+Ohj.lask.[[#This Row],[Jaettava € 2]]+Ohj.lask.[[#This Row],[Jaettava € 3]]+Ohj.lask.[[#This Row],[Jaettava € 4]]+Ohj.lask.[[#This Row],[Jaettava € 5]],"")</f>
        <v>0</v>
      </c>
      <c r="AA89" s="123">
        <f>0</f>
        <v>0</v>
      </c>
      <c r="AB89" s="19">
        <f>Ohj.lask.[[#This Row],[Jaettava € 1]]+Ohj.lask.[[#This Row],[Jaettava €]]</f>
        <v>0</v>
      </c>
      <c r="AC89" s="107">
        <f>Ohj.lask.[[#This Row],[Jaettava € 2]]</f>
        <v>0</v>
      </c>
      <c r="AD89" s="19">
        <f>Ohj.lask.[[#This Row],[Jaettava € 3]]+Ohj.lask.[[#This Row],[Jaettava € 4]]+Ohj.lask.[[#This Row],[Jaettava € 5]]</f>
        <v>0</v>
      </c>
      <c r="AE89" s="36">
        <f>Ohj.lask.[[#This Row],[Jaettava € 6]]+Ohj.lask.[[#This Row],[Jaettava €]]</f>
        <v>0</v>
      </c>
      <c r="AF89" s="36">
        <f>IFERROR(VLOOKUP(Ohj.lask.[[#This Row],[Y-tunnus]],'3.1 Alv vahvistettu'!A:Y,COLUMN(C:C),FALSE),0)</f>
        <v>15918</v>
      </c>
      <c r="AG89" s="25">
        <f>Ohj.lask.[[#This Row],[Perus-, suoritus- ja vaikuttavuusrahoitus yhteensä, €]]+Ohj.lask.[[#This Row],[Alv-korvaus, €]]</f>
        <v>15918</v>
      </c>
    </row>
    <row r="90" spans="1:33" x14ac:dyDescent="0.2">
      <c r="A90" s="131" t="s">
        <v>319</v>
      </c>
      <c r="B90" s="16" t="s">
        <v>94</v>
      </c>
      <c r="C90" s="16" t="s">
        <v>242</v>
      </c>
      <c r="D90" s="16" t="s">
        <v>411</v>
      </c>
      <c r="E90" s="16" t="s">
        <v>475</v>
      </c>
      <c r="F90" s="114">
        <v>1198</v>
      </c>
      <c r="G90" s="122">
        <f>0</f>
        <v>0</v>
      </c>
      <c r="H90" s="35">
        <f t="shared" si="4"/>
        <v>1198</v>
      </c>
      <c r="I90" s="17">
        <f>IFERROR(VLOOKUP($A90,'2.1 Toteut. op.vuodet'!$A:$Q,COLUMN('2.1 Toteut. op.vuodet'!Q:Q),FALSE),0)</f>
        <v>1.4297234730666259</v>
      </c>
      <c r="J90" s="11">
        <f t="shared" si="5"/>
        <v>1712.8</v>
      </c>
      <c r="K90" s="18">
        <f>IFERROR(Ohj.lask.[[#This Row],[Painotetut opiskelija-vuodet]]/Ohj.lask.[[#Totals],[Painotetut opiskelija-vuodet]],0)</f>
        <v>8.5636488903954901E-3</v>
      </c>
      <c r="L90" s="19">
        <f>ROUND(IFERROR('1.1 Jakotaulu'!L$10*Ohj.lask.[[#This Row],[%-osuus 1]],0),0)</f>
        <v>9984953</v>
      </c>
      <c r="M90" s="211">
        <f>IFERROR(ROUND(VLOOKUP($A90,'2.2 Tutk. ja osien pain. pist.'!$A:$Q,COLUMN('2.2 Tutk. ja osien pain. pist.'!P:P),FALSE),1),0)</f>
        <v>122360.4</v>
      </c>
      <c r="N90" s="18">
        <f>IFERROR(Ohj.lask.[[#This Row],[Painotetut pisteet 2]]/Ohj.lask.[[#Totals],[Painotetut pisteet 2]],0)</f>
        <v>7.8193505364276793E-3</v>
      </c>
      <c r="O90" s="25">
        <f>ROUND(IFERROR('1.1 Jakotaulu'!K$11*Ohj.lask.[[#This Row],[%-osuus 2]],0),0)</f>
        <v>2895326</v>
      </c>
      <c r="P90" s="233">
        <f>IFERROR(ROUND(VLOOKUP($A90,'2.3 Työll. ja jatko-opisk.'!$A:$K,COLUMN('2.3 Työll. ja jatko-opisk.'!I:I),FALSE),1),0)</f>
        <v>1446.9</v>
      </c>
      <c r="Q90" s="18">
        <f>IFERROR(Ohj.lask.[[#This Row],[Painotetut pisteet 3]]/Ohj.lask.[[#Totals],[Painotetut pisteet 3]],0)</f>
        <v>7.6382260775552614E-3</v>
      </c>
      <c r="R90" s="19">
        <f>ROUND(IFERROR('1.1 Jakotaulu'!L$13*Ohj.lask.[[#This Row],[%-osuus 3]],0),0)</f>
        <v>1060597</v>
      </c>
      <c r="S90" s="211">
        <f>IFERROR(ROUND(VLOOKUP($A90,'2.4 Aloittaneet palaute'!$A:$K,COLUMN('2.4 Aloittaneet palaute'!J:J),FALSE),1),0)</f>
        <v>8124</v>
      </c>
      <c r="T90" s="22">
        <f>IFERROR(Ohj.lask.[[#This Row],[Painotetut pisteet 4]]/Ohj.lask.[[#Totals],[Painotetut pisteet 4]],0)</f>
        <v>6.5251083341472298E-3</v>
      </c>
      <c r="U90" s="25">
        <f>ROUND(IFERROR('1.1 Jakotaulu'!M$16*Ohj.lask.[[#This Row],[%-osuus 4]],0),0)</f>
        <v>75503</v>
      </c>
      <c r="V90" s="235">
        <f>IFERROR(ROUND(VLOOKUP($A90,'2.5 Päättäneet palaute'!$A:$AC,COLUMN('2.5 Päättäneet palaute'!AB:AB),FALSE),1),0)</f>
        <v>76145.5</v>
      </c>
      <c r="W90" s="22">
        <f>IFERROR(Ohj.lask.[[#This Row],[Painotetut pisteet 5]]/Ohj.lask.[[#Totals],[Painotetut pisteet 5]],0)</f>
        <v>1.1498702797187378E-2</v>
      </c>
      <c r="X90" s="19">
        <f>ROUND(IFERROR('1.1 Jakotaulu'!M$17*Ohj.lask.[[#This Row],[%-osuus 5]],0),0)</f>
        <v>399160</v>
      </c>
      <c r="Y90" s="21">
        <f>IFERROR(Ohj.lask.[[#This Row],[Jaettava € 6]]/Ohj.lask.[[#Totals],[Jaettava € 6]],"")</f>
        <v>8.3743840281205566E-3</v>
      </c>
      <c r="Z90" s="25">
        <f>IFERROR(Ohj.lask.[[#This Row],[Jaettava € 1]]+Ohj.lask.[[#This Row],[Jaettava € 2]]+Ohj.lask.[[#This Row],[Jaettava € 3]]+Ohj.lask.[[#This Row],[Jaettava € 4]]+Ohj.lask.[[#This Row],[Jaettava € 5]],"")</f>
        <v>14415539</v>
      </c>
      <c r="AA90" s="123">
        <f>0</f>
        <v>0</v>
      </c>
      <c r="AB90" s="19">
        <f>Ohj.lask.[[#This Row],[Jaettava € 1]]+Ohj.lask.[[#This Row],[Jaettava €]]</f>
        <v>9984953</v>
      </c>
      <c r="AC90" s="107">
        <f>Ohj.lask.[[#This Row],[Jaettava € 2]]</f>
        <v>2895326</v>
      </c>
      <c r="AD90" s="19">
        <f>Ohj.lask.[[#This Row],[Jaettava € 3]]+Ohj.lask.[[#This Row],[Jaettava € 4]]+Ohj.lask.[[#This Row],[Jaettava € 5]]</f>
        <v>1535260</v>
      </c>
      <c r="AE90" s="36">
        <f>Ohj.lask.[[#This Row],[Jaettava € 6]]+Ohj.lask.[[#This Row],[Jaettava €]]</f>
        <v>14415539</v>
      </c>
      <c r="AF90" s="36">
        <f>IFERROR(VLOOKUP(Ohj.lask.[[#This Row],[Y-tunnus]],'3.1 Alv vahvistettu'!A:Y,COLUMN(C:C),FALSE),0)</f>
        <v>0</v>
      </c>
      <c r="AG90" s="25">
        <f>Ohj.lask.[[#This Row],[Perus-, suoritus- ja vaikuttavuusrahoitus yhteensä, €]]+Ohj.lask.[[#This Row],[Alv-korvaus, €]]</f>
        <v>14415539</v>
      </c>
    </row>
    <row r="91" spans="1:33" x14ac:dyDescent="0.2">
      <c r="A91" s="131" t="s">
        <v>318</v>
      </c>
      <c r="B91" s="16" t="s">
        <v>95</v>
      </c>
      <c r="C91" s="16" t="s">
        <v>244</v>
      </c>
      <c r="D91" s="16" t="s">
        <v>413</v>
      </c>
      <c r="E91" s="16" t="s">
        <v>474</v>
      </c>
      <c r="F91" s="114">
        <v>43</v>
      </c>
      <c r="G91" s="122">
        <f>0</f>
        <v>0</v>
      </c>
      <c r="H91" s="35">
        <f t="shared" si="4"/>
        <v>43</v>
      </c>
      <c r="I91" s="17">
        <f>IFERROR(VLOOKUP($A91,'2.1 Toteut. op.vuodet'!$A:$Q,COLUMN('2.1 Toteut. op.vuodet'!Q:Q),FALSE),0)</f>
        <v>1.4901144350926299</v>
      </c>
      <c r="J91" s="11">
        <f t="shared" si="5"/>
        <v>64.099999999999994</v>
      </c>
      <c r="K91" s="18">
        <f>IFERROR(Ohj.lask.[[#This Row],[Painotetut opiskelija-vuodet]]/Ohj.lask.[[#Totals],[Painotetut opiskelija-vuodet]],0)</f>
        <v>3.2048686003873823E-4</v>
      </c>
      <c r="L91" s="19">
        <f>ROUND(IFERROR('1.1 Jakotaulu'!L$10*Ohj.lask.[[#This Row],[%-osuus 1]],0),0)</f>
        <v>373678</v>
      </c>
      <c r="M91" s="211">
        <f>IFERROR(ROUND(VLOOKUP($A91,'2.2 Tutk. ja osien pain. pist.'!$A:$Q,COLUMN('2.2 Tutk. ja osien pain. pist.'!P:P),FALSE),1),0)</f>
        <v>8926.7999999999993</v>
      </c>
      <c r="N91" s="18">
        <f>IFERROR(Ohj.lask.[[#This Row],[Painotetut pisteet 2]]/Ohj.lask.[[#Totals],[Painotetut pisteet 2]],0)</f>
        <v>5.7046052782258475E-4</v>
      </c>
      <c r="O91" s="25">
        <f>ROUND(IFERROR('1.1 Jakotaulu'!K$11*Ohj.lask.[[#This Row],[%-osuus 2]],0),0)</f>
        <v>211228</v>
      </c>
      <c r="P91" s="233">
        <f>IFERROR(ROUND(VLOOKUP($A91,'2.3 Työll. ja jatko-opisk.'!$A:$K,COLUMN('2.3 Työll. ja jatko-opisk.'!I:I),FALSE),1),0)</f>
        <v>30.4</v>
      </c>
      <c r="Q91" s="18">
        <f>IFERROR(Ohj.lask.[[#This Row],[Painotetut pisteet 3]]/Ohj.lask.[[#Totals],[Painotetut pisteet 3]],0)</f>
        <v>1.6048246095630653E-4</v>
      </c>
      <c r="R91" s="19">
        <f>ROUND(IFERROR('1.1 Jakotaulu'!L$13*Ohj.lask.[[#This Row],[%-osuus 3]],0),0)</f>
        <v>22284</v>
      </c>
      <c r="S91" s="211">
        <f>IFERROR(ROUND(VLOOKUP($A91,'2.4 Aloittaneet palaute'!$A:$K,COLUMN('2.4 Aloittaneet palaute'!J:J),FALSE),1),0)</f>
        <v>423</v>
      </c>
      <c r="T91" s="22">
        <f>IFERROR(Ohj.lask.[[#This Row],[Painotetut pisteet 4]]/Ohj.lask.[[#Totals],[Painotetut pisteet 4]],0)</f>
        <v>3.3974899376468221E-4</v>
      </c>
      <c r="U91" s="25">
        <f>ROUND(IFERROR('1.1 Jakotaulu'!M$16*Ohj.lask.[[#This Row],[%-osuus 4]],0),0)</f>
        <v>3931</v>
      </c>
      <c r="V91" s="235">
        <f>IFERROR(ROUND(VLOOKUP($A91,'2.5 Päättäneet palaute'!$A:$AC,COLUMN('2.5 Päättäneet palaute'!AB:AB),FALSE),1),0)</f>
        <v>0</v>
      </c>
      <c r="W91" s="22">
        <f>IFERROR(Ohj.lask.[[#This Row],[Painotetut pisteet 5]]/Ohj.lask.[[#Totals],[Painotetut pisteet 5]],0)</f>
        <v>0</v>
      </c>
      <c r="X91" s="19">
        <f>ROUND(IFERROR('1.1 Jakotaulu'!M$17*Ohj.lask.[[#This Row],[%-osuus 5]],0),0)</f>
        <v>0</v>
      </c>
      <c r="Y91" s="21">
        <f>IFERROR(Ohj.lask.[[#This Row],[Jaettava € 6]]/Ohj.lask.[[#Totals],[Jaettava € 6]],"")</f>
        <v>3.5501703693833873E-4</v>
      </c>
      <c r="Z91" s="25">
        <f>IFERROR(Ohj.lask.[[#This Row],[Jaettava € 1]]+Ohj.lask.[[#This Row],[Jaettava € 2]]+Ohj.lask.[[#This Row],[Jaettava € 3]]+Ohj.lask.[[#This Row],[Jaettava € 4]]+Ohj.lask.[[#This Row],[Jaettava € 5]],"")</f>
        <v>611121</v>
      </c>
      <c r="AA91" s="123">
        <f>0</f>
        <v>0</v>
      </c>
      <c r="AB91" s="19">
        <f>Ohj.lask.[[#This Row],[Jaettava € 1]]+Ohj.lask.[[#This Row],[Jaettava €]]</f>
        <v>373678</v>
      </c>
      <c r="AC91" s="107">
        <f>Ohj.lask.[[#This Row],[Jaettava € 2]]</f>
        <v>211228</v>
      </c>
      <c r="AD91" s="19">
        <f>Ohj.lask.[[#This Row],[Jaettava € 3]]+Ohj.lask.[[#This Row],[Jaettava € 4]]+Ohj.lask.[[#This Row],[Jaettava € 5]]</f>
        <v>26215</v>
      </c>
      <c r="AE91" s="36">
        <f>Ohj.lask.[[#This Row],[Jaettava € 6]]+Ohj.lask.[[#This Row],[Jaettava €]]</f>
        <v>611121</v>
      </c>
      <c r="AF91" s="36">
        <f>IFERROR(VLOOKUP(Ohj.lask.[[#This Row],[Y-tunnus]],'3.1 Alv vahvistettu'!A:Y,COLUMN(C:C),FALSE),0)</f>
        <v>0</v>
      </c>
      <c r="AG91" s="25">
        <f>Ohj.lask.[[#This Row],[Perus-, suoritus- ja vaikuttavuusrahoitus yhteensä, €]]+Ohj.lask.[[#This Row],[Alv-korvaus, €]]</f>
        <v>611121</v>
      </c>
    </row>
    <row r="92" spans="1:33" x14ac:dyDescent="0.2">
      <c r="A92" s="131" t="s">
        <v>317</v>
      </c>
      <c r="B92" s="16" t="s">
        <v>96</v>
      </c>
      <c r="C92" s="16" t="s">
        <v>244</v>
      </c>
      <c r="D92" s="16" t="s">
        <v>411</v>
      </c>
      <c r="E92" s="16" t="s">
        <v>474</v>
      </c>
      <c r="F92" s="114">
        <v>6829</v>
      </c>
      <c r="G92" s="122">
        <f>0</f>
        <v>0</v>
      </c>
      <c r="H92" s="35">
        <f t="shared" si="4"/>
        <v>6829</v>
      </c>
      <c r="I92" s="17">
        <f>IFERROR(VLOOKUP($A92,'2.1 Toteut. op.vuodet'!$A:$Q,COLUMN('2.1 Toteut. op.vuodet'!Q:Q),FALSE),0)</f>
        <v>1.0986703842680368</v>
      </c>
      <c r="J92" s="11">
        <f t="shared" si="5"/>
        <v>7502.8</v>
      </c>
      <c r="K92" s="18">
        <f>IFERROR(Ohj.lask.[[#This Row],[Painotetut opiskelija-vuodet]]/Ohj.lask.[[#Totals],[Painotetut opiskelija-vuodet]],0)</f>
        <v>3.7512461989058429E-2</v>
      </c>
      <c r="L92" s="19">
        <f>ROUND(IFERROR('1.1 Jakotaulu'!L$10*Ohj.lask.[[#This Row],[%-osuus 1]],0),0)</f>
        <v>43738387</v>
      </c>
      <c r="M92" s="211">
        <f>IFERROR(ROUND(VLOOKUP($A92,'2.2 Tutk. ja osien pain. pist.'!$A:$Q,COLUMN('2.2 Tutk. ja osien pain. pist.'!P:P),FALSE),1),0)</f>
        <v>614365</v>
      </c>
      <c r="N92" s="18">
        <f>IFERROR(Ohj.lask.[[#This Row],[Painotetut pisteet 2]]/Ohj.lask.[[#Totals],[Painotetut pisteet 2]],0)</f>
        <v>3.9260539294676967E-2</v>
      </c>
      <c r="O92" s="25">
        <f>ROUND(IFERROR('1.1 Jakotaulu'!K$11*Ohj.lask.[[#This Row],[%-osuus 2]],0),0)</f>
        <v>14537275</v>
      </c>
      <c r="P92" s="233">
        <f>IFERROR(ROUND(VLOOKUP($A92,'2.3 Työll. ja jatko-opisk.'!$A:$K,COLUMN('2.3 Työll. ja jatko-opisk.'!I:I),FALSE),1),0)</f>
        <v>8651.9</v>
      </c>
      <c r="Q92" s="18">
        <f>IFERROR(Ohj.lask.[[#This Row],[Painotetut pisteet 3]]/Ohj.lask.[[#Totals],[Painotetut pisteet 3]],0)</f>
        <v>4.5673625129864094E-2</v>
      </c>
      <c r="R92" s="19">
        <f>ROUND(IFERROR('1.1 Jakotaulu'!L$13*Ohj.lask.[[#This Row],[%-osuus 3]],0),0)</f>
        <v>6341960</v>
      </c>
      <c r="S92" s="211">
        <f>IFERROR(ROUND(VLOOKUP($A92,'2.4 Aloittaneet palaute'!$A:$K,COLUMN('2.4 Aloittaneet palaute'!J:J),FALSE),1),0)</f>
        <v>69642.2</v>
      </c>
      <c r="T92" s="22">
        <f>IFERROR(Ohj.lask.[[#This Row],[Painotetut pisteet 4]]/Ohj.lask.[[#Totals],[Painotetut pisteet 4]],0)</f>
        <v>5.593585667507979E-2</v>
      </c>
      <c r="U92" s="25">
        <f>ROUND(IFERROR('1.1 Jakotaulu'!M$16*Ohj.lask.[[#This Row],[%-osuus 4]],0),0)</f>
        <v>647243</v>
      </c>
      <c r="V92" s="235">
        <f>IFERROR(ROUND(VLOOKUP($A92,'2.5 Päättäneet palaute'!$A:$AC,COLUMN('2.5 Päättäneet palaute'!AB:AB),FALSE),1),0)</f>
        <v>382097.7</v>
      </c>
      <c r="W92" s="22">
        <f>IFERROR(Ohj.lask.[[#This Row],[Painotetut pisteet 5]]/Ohj.lask.[[#Totals],[Painotetut pisteet 5]],0)</f>
        <v>5.7700427363256708E-2</v>
      </c>
      <c r="X92" s="19">
        <f>ROUND(IFERROR('1.1 Jakotaulu'!M$17*Ohj.lask.[[#This Row],[%-osuus 5]],0),0)</f>
        <v>2002982</v>
      </c>
      <c r="Y92" s="21">
        <f>IFERROR(Ohj.lask.[[#This Row],[Jaettava € 6]]/Ohj.lask.[[#Totals],[Jaettava € 6]],"")</f>
        <v>3.9077746834360987E-2</v>
      </c>
      <c r="Z92" s="25">
        <f>IFERROR(Ohj.lask.[[#This Row],[Jaettava € 1]]+Ohj.lask.[[#This Row],[Jaettava € 2]]+Ohj.lask.[[#This Row],[Jaettava € 3]]+Ohj.lask.[[#This Row],[Jaettava € 4]]+Ohj.lask.[[#This Row],[Jaettava € 5]],"")</f>
        <v>67267847</v>
      </c>
      <c r="AA92" s="123">
        <f>0</f>
        <v>0</v>
      </c>
      <c r="AB92" s="19">
        <f>Ohj.lask.[[#This Row],[Jaettava € 1]]+Ohj.lask.[[#This Row],[Jaettava €]]</f>
        <v>43738387</v>
      </c>
      <c r="AC92" s="107">
        <f>Ohj.lask.[[#This Row],[Jaettava € 2]]</f>
        <v>14537275</v>
      </c>
      <c r="AD92" s="19">
        <f>Ohj.lask.[[#This Row],[Jaettava € 3]]+Ohj.lask.[[#This Row],[Jaettava € 4]]+Ohj.lask.[[#This Row],[Jaettava € 5]]</f>
        <v>8992185</v>
      </c>
      <c r="AE92" s="36">
        <f>Ohj.lask.[[#This Row],[Jaettava € 6]]+Ohj.lask.[[#This Row],[Jaettava €]]</f>
        <v>67267847</v>
      </c>
      <c r="AF92" s="36">
        <f>IFERROR(VLOOKUP(Ohj.lask.[[#This Row],[Y-tunnus]],'3.1 Alv vahvistettu'!A:Y,COLUMN(C:C),FALSE),0)</f>
        <v>0</v>
      </c>
      <c r="AG92" s="25">
        <f>Ohj.lask.[[#This Row],[Perus-, suoritus- ja vaikuttavuusrahoitus yhteensä, €]]+Ohj.lask.[[#This Row],[Alv-korvaus, €]]</f>
        <v>67267847</v>
      </c>
    </row>
    <row r="93" spans="1:33" x14ac:dyDescent="0.2">
      <c r="A93" s="131" t="s">
        <v>314</v>
      </c>
      <c r="B93" s="16" t="s">
        <v>97</v>
      </c>
      <c r="C93" s="16" t="s">
        <v>236</v>
      </c>
      <c r="D93" s="16" t="s">
        <v>412</v>
      </c>
      <c r="E93" s="16" t="s">
        <v>474</v>
      </c>
      <c r="F93" s="114">
        <v>45</v>
      </c>
      <c r="G93" s="122">
        <f>0</f>
        <v>0</v>
      </c>
      <c r="H93" s="35">
        <f t="shared" si="4"/>
        <v>45</v>
      </c>
      <c r="I93" s="17">
        <f>IFERROR(VLOOKUP($A93,'2.1 Toteut. op.vuodet'!$A:$Q,COLUMN('2.1 Toteut. op.vuodet'!Q:Q),FALSE),0)</f>
        <v>1.4224469717006045</v>
      </c>
      <c r="J93" s="11">
        <f t="shared" si="5"/>
        <v>64</v>
      </c>
      <c r="K93" s="18">
        <f>IFERROR(Ohj.lask.[[#This Row],[Painotetut opiskelija-vuodet]]/Ohj.lask.[[#Totals],[Painotetut opiskelija-vuodet]],0)</f>
        <v>3.1998688053789777E-4</v>
      </c>
      <c r="L93" s="19">
        <f>ROUND(IFERROR('1.1 Jakotaulu'!L$10*Ohj.lask.[[#This Row],[%-osuus 1]],0),0)</f>
        <v>373095</v>
      </c>
      <c r="M93" s="211">
        <f>IFERROR(ROUND(VLOOKUP($A93,'2.2 Tutk. ja osien pain. pist.'!$A:$Q,COLUMN('2.2 Tutk. ja osien pain. pist.'!P:P),FALSE),1),0)</f>
        <v>4783.8</v>
      </c>
      <c r="N93" s="18">
        <f>IFERROR(Ohj.lask.[[#This Row],[Painotetut pisteet 2]]/Ohj.lask.[[#Totals],[Painotetut pisteet 2]],0)</f>
        <v>3.057051880850564E-4</v>
      </c>
      <c r="O93" s="25">
        <f>ROUND(IFERROR('1.1 Jakotaulu'!K$11*Ohj.lask.[[#This Row],[%-osuus 2]],0),0)</f>
        <v>113196</v>
      </c>
      <c r="P93" s="233">
        <f>IFERROR(ROUND(VLOOKUP($A93,'2.3 Työll. ja jatko-opisk.'!$A:$K,COLUMN('2.3 Työll. ja jatko-opisk.'!I:I),FALSE),1),0)</f>
        <v>36.6</v>
      </c>
      <c r="Q93" s="18">
        <f>IFERROR(Ohj.lask.[[#This Row],[Painotetut pisteet 3]]/Ohj.lask.[[#Totals],[Painotetut pisteet 3]],0)</f>
        <v>1.9321243654607959E-4</v>
      </c>
      <c r="R93" s="19">
        <f>ROUND(IFERROR('1.1 Jakotaulu'!L$13*Ohj.lask.[[#This Row],[%-osuus 3]],0),0)</f>
        <v>26828</v>
      </c>
      <c r="S93" s="211">
        <f>IFERROR(ROUND(VLOOKUP($A93,'2.4 Aloittaneet palaute'!$A:$K,COLUMN('2.4 Aloittaneet palaute'!J:J),FALSE),1),0)</f>
        <v>836.5</v>
      </c>
      <c r="T93" s="22">
        <f>IFERROR(Ohj.lask.[[#This Row],[Painotetut pisteet 4]]/Ohj.lask.[[#Totals],[Painotetut pisteet 4]],0)</f>
        <v>6.7186769097909375E-4</v>
      </c>
      <c r="U93" s="25">
        <f>ROUND(IFERROR('1.1 Jakotaulu'!M$16*Ohj.lask.[[#This Row],[%-osuus 4]],0),0)</f>
        <v>7774</v>
      </c>
      <c r="V93" s="235">
        <f>IFERROR(ROUND(VLOOKUP($A93,'2.5 Päättäneet palaute'!$A:$AC,COLUMN('2.5 Päättäneet palaute'!AB:AB),FALSE),1),0)</f>
        <v>2031.5</v>
      </c>
      <c r="W93" s="22">
        <f>IFERROR(Ohj.lask.[[#This Row],[Painotetut pisteet 5]]/Ohj.lask.[[#Totals],[Painotetut pisteet 5]],0)</f>
        <v>3.0677603709327748E-4</v>
      </c>
      <c r="X93" s="19">
        <f>ROUND(IFERROR('1.1 Jakotaulu'!M$17*Ohj.lask.[[#This Row],[%-osuus 5]],0),0)</f>
        <v>10649</v>
      </c>
      <c r="Y93" s="21">
        <f>IFERROR(Ohj.lask.[[#This Row],[Jaettava € 6]]/Ohj.lask.[[#Totals],[Jaettava € 6]],"")</f>
        <v>3.0878740191922461E-4</v>
      </c>
      <c r="Z93" s="25">
        <f>IFERROR(Ohj.lask.[[#This Row],[Jaettava € 1]]+Ohj.lask.[[#This Row],[Jaettava € 2]]+Ohj.lask.[[#This Row],[Jaettava € 3]]+Ohj.lask.[[#This Row],[Jaettava € 4]]+Ohj.lask.[[#This Row],[Jaettava € 5]],"")</f>
        <v>531542</v>
      </c>
      <c r="AA93" s="123">
        <f>0</f>
        <v>0</v>
      </c>
      <c r="AB93" s="19">
        <f>Ohj.lask.[[#This Row],[Jaettava € 1]]+Ohj.lask.[[#This Row],[Jaettava €]]</f>
        <v>373095</v>
      </c>
      <c r="AC93" s="107">
        <f>Ohj.lask.[[#This Row],[Jaettava € 2]]</f>
        <v>113196</v>
      </c>
      <c r="AD93" s="19">
        <f>Ohj.lask.[[#This Row],[Jaettava € 3]]+Ohj.lask.[[#This Row],[Jaettava € 4]]+Ohj.lask.[[#This Row],[Jaettava € 5]]</f>
        <v>45251</v>
      </c>
      <c r="AE93" s="36">
        <f>Ohj.lask.[[#This Row],[Jaettava € 6]]+Ohj.lask.[[#This Row],[Jaettava €]]</f>
        <v>531542</v>
      </c>
      <c r="AF93" s="36">
        <f>IFERROR(VLOOKUP(Ohj.lask.[[#This Row],[Y-tunnus]],'3.1 Alv vahvistettu'!A:Y,COLUMN(C:C),FALSE),0)</f>
        <v>43902</v>
      </c>
      <c r="AG93" s="25">
        <f>Ohj.lask.[[#This Row],[Perus-, suoritus- ja vaikuttavuusrahoitus yhteensä, €]]+Ohj.lask.[[#This Row],[Alv-korvaus, €]]</f>
        <v>575444</v>
      </c>
    </row>
    <row r="94" spans="1:33" x14ac:dyDescent="0.2">
      <c r="A94" s="131" t="s">
        <v>313</v>
      </c>
      <c r="B94" s="16" t="s">
        <v>98</v>
      </c>
      <c r="C94" s="16" t="s">
        <v>236</v>
      </c>
      <c r="D94" s="16" t="s">
        <v>412</v>
      </c>
      <c r="E94" s="16" t="s">
        <v>474</v>
      </c>
      <c r="F94" s="114">
        <v>81</v>
      </c>
      <c r="G94" s="122">
        <f>0</f>
        <v>0</v>
      </c>
      <c r="H94" s="35">
        <f t="shared" si="4"/>
        <v>81</v>
      </c>
      <c r="I94" s="17">
        <f>IFERROR(VLOOKUP($A94,'2.1 Toteut. op.vuodet'!$A:$Q,COLUMN('2.1 Toteut. op.vuodet'!Q:Q),FALSE),0)</f>
        <v>0.8628134725952854</v>
      </c>
      <c r="J94" s="11">
        <f t="shared" si="5"/>
        <v>69.900000000000006</v>
      </c>
      <c r="K94" s="18">
        <f>IFERROR(Ohj.lask.[[#This Row],[Painotetut opiskelija-vuodet]]/Ohj.lask.[[#Totals],[Painotetut opiskelija-vuodet]],0)</f>
        <v>3.4948567108748524E-4</v>
      </c>
      <c r="L94" s="19">
        <f>ROUND(IFERROR('1.1 Jakotaulu'!L$10*Ohj.lask.[[#This Row],[%-osuus 1]],0),0)</f>
        <v>407490</v>
      </c>
      <c r="M94" s="211">
        <f>IFERROR(ROUND(VLOOKUP($A94,'2.2 Tutk. ja osien pain. pist.'!$A:$Q,COLUMN('2.2 Tutk. ja osien pain. pist.'!P:P),FALSE),1),0)</f>
        <v>7517.5</v>
      </c>
      <c r="N94" s="18">
        <f>IFERROR(Ohj.lask.[[#This Row],[Painotetut pisteet 2]]/Ohj.lask.[[#Totals],[Painotetut pisteet 2]],0)</f>
        <v>4.8040025741657495E-4</v>
      </c>
      <c r="O94" s="25">
        <f>ROUND(IFERROR('1.1 Jakotaulu'!K$11*Ohj.lask.[[#This Row],[%-osuus 2]],0),0)</f>
        <v>177881</v>
      </c>
      <c r="P94" s="233">
        <f>IFERROR(ROUND(VLOOKUP($A94,'2.3 Työll. ja jatko-opisk.'!$A:$K,COLUMN('2.3 Työll. ja jatko-opisk.'!I:I),FALSE),1),0)</f>
        <v>159.5</v>
      </c>
      <c r="Q94" s="18">
        <f>IFERROR(Ohj.lask.[[#This Row],[Painotetut pisteet 3]]/Ohj.lask.[[#Totals],[Painotetut pisteet 3]],0)</f>
        <v>8.4200501718851629E-4</v>
      </c>
      <c r="R94" s="19">
        <f>ROUND(IFERROR('1.1 Jakotaulu'!L$13*Ohj.lask.[[#This Row],[%-osuus 3]],0),0)</f>
        <v>116916</v>
      </c>
      <c r="S94" s="211">
        <f>IFERROR(ROUND(VLOOKUP($A94,'2.4 Aloittaneet palaute'!$A:$K,COLUMN('2.4 Aloittaneet palaute'!J:J),FALSE),1),0)</f>
        <v>1303.4000000000001</v>
      </c>
      <c r="T94" s="22">
        <f>IFERROR(Ohj.lask.[[#This Row],[Painotetut pisteet 4]]/Ohj.lask.[[#Totals],[Painotetut pisteet 4]],0)</f>
        <v>1.0468766866971321E-3</v>
      </c>
      <c r="U94" s="25">
        <f>ROUND(IFERROR('1.1 Jakotaulu'!M$16*Ohj.lask.[[#This Row],[%-osuus 4]],0),0)</f>
        <v>12114</v>
      </c>
      <c r="V94" s="235">
        <f>IFERROR(ROUND(VLOOKUP($A94,'2.5 Päättäneet palaute'!$A:$AC,COLUMN('2.5 Päättäneet palaute'!AB:AB),FALSE),1),0)</f>
        <v>3101.5</v>
      </c>
      <c r="W94" s="22">
        <f>IFERROR(Ohj.lask.[[#This Row],[Painotetut pisteet 5]]/Ohj.lask.[[#Totals],[Painotetut pisteet 5]],0)</f>
        <v>4.6835632736637951E-4</v>
      </c>
      <c r="X94" s="19">
        <f>ROUND(IFERROR('1.1 Jakotaulu'!M$17*Ohj.lask.[[#This Row],[%-osuus 5]],0),0)</f>
        <v>16258</v>
      </c>
      <c r="Y94" s="21">
        <f>IFERROR(Ohj.lask.[[#This Row],[Jaettava € 6]]/Ohj.lask.[[#Totals],[Jaettava € 6]],"")</f>
        <v>4.244599566899675E-4</v>
      </c>
      <c r="Z94" s="25">
        <f>IFERROR(Ohj.lask.[[#This Row],[Jaettava € 1]]+Ohj.lask.[[#This Row],[Jaettava € 2]]+Ohj.lask.[[#This Row],[Jaettava € 3]]+Ohj.lask.[[#This Row],[Jaettava € 4]]+Ohj.lask.[[#This Row],[Jaettava € 5]],"")</f>
        <v>730659</v>
      </c>
      <c r="AA94" s="123">
        <f>0</f>
        <v>0</v>
      </c>
      <c r="AB94" s="19">
        <f>Ohj.lask.[[#This Row],[Jaettava € 1]]+Ohj.lask.[[#This Row],[Jaettava €]]</f>
        <v>407490</v>
      </c>
      <c r="AC94" s="107">
        <f>Ohj.lask.[[#This Row],[Jaettava € 2]]</f>
        <v>177881</v>
      </c>
      <c r="AD94" s="19">
        <f>Ohj.lask.[[#This Row],[Jaettava € 3]]+Ohj.lask.[[#This Row],[Jaettava € 4]]+Ohj.lask.[[#This Row],[Jaettava € 5]]</f>
        <v>145288</v>
      </c>
      <c r="AE94" s="36">
        <f>Ohj.lask.[[#This Row],[Jaettava € 6]]+Ohj.lask.[[#This Row],[Jaettava €]]</f>
        <v>730659</v>
      </c>
      <c r="AF94" s="36">
        <f>IFERROR(VLOOKUP(Ohj.lask.[[#This Row],[Y-tunnus]],'3.1 Alv vahvistettu'!A:Y,COLUMN(C:C),FALSE),0)</f>
        <v>36565.769999999997</v>
      </c>
      <c r="AG94" s="25">
        <f>Ohj.lask.[[#This Row],[Perus-, suoritus- ja vaikuttavuusrahoitus yhteensä, €]]+Ohj.lask.[[#This Row],[Alv-korvaus, €]]</f>
        <v>767224.77</v>
      </c>
    </row>
    <row r="95" spans="1:33" x14ac:dyDescent="0.2">
      <c r="A95" s="131" t="s">
        <v>312</v>
      </c>
      <c r="B95" s="16" t="s">
        <v>99</v>
      </c>
      <c r="C95" s="16" t="s">
        <v>332</v>
      </c>
      <c r="D95" s="16" t="s">
        <v>412</v>
      </c>
      <c r="E95" s="16" t="s">
        <v>474</v>
      </c>
      <c r="F95" s="114">
        <v>47</v>
      </c>
      <c r="G95" s="122">
        <f>0</f>
        <v>0</v>
      </c>
      <c r="H95" s="35">
        <f t="shared" si="4"/>
        <v>47</v>
      </c>
      <c r="I95" s="17">
        <f>IFERROR(VLOOKUP($A95,'2.1 Toteut. op.vuodet'!$A:$Q,COLUMN('2.1 Toteut. op.vuodet'!Q:Q),FALSE),0)</f>
        <v>0.82606925621201321</v>
      </c>
      <c r="J95" s="11">
        <f t="shared" si="5"/>
        <v>38.799999999999997</v>
      </c>
      <c r="K95" s="18">
        <f>IFERROR(Ohj.lask.[[#This Row],[Painotetut opiskelija-vuodet]]/Ohj.lask.[[#Totals],[Painotetut opiskelija-vuodet]],0)</f>
        <v>1.9399204632610052E-4</v>
      </c>
      <c r="L95" s="19">
        <f>ROUND(IFERROR('1.1 Jakotaulu'!L$10*Ohj.lask.[[#This Row],[%-osuus 1]],0),0)</f>
        <v>226189</v>
      </c>
      <c r="M95" s="211">
        <f>IFERROR(ROUND(VLOOKUP($A95,'2.2 Tutk. ja osien pain. pist.'!$A:$Q,COLUMN('2.2 Tutk. ja osien pain. pist.'!P:P),FALSE),1),0)</f>
        <v>5545.2</v>
      </c>
      <c r="N95" s="18">
        <f>IFERROR(Ohj.lask.[[#This Row],[Painotetut pisteet 2]]/Ohj.lask.[[#Totals],[Painotetut pisteet 2]],0)</f>
        <v>3.5436188991372017E-4</v>
      </c>
      <c r="O95" s="25">
        <f>ROUND(IFERROR('1.1 Jakotaulu'!K$11*Ohj.lask.[[#This Row],[%-osuus 2]],0),0)</f>
        <v>131212</v>
      </c>
      <c r="P95" s="233">
        <f>IFERROR(ROUND(VLOOKUP($A95,'2.3 Työll. ja jatko-opisk.'!$A:$K,COLUMN('2.3 Työll. ja jatko-opisk.'!I:I),FALSE),1),0)</f>
        <v>206.4</v>
      </c>
      <c r="Q95" s="18">
        <f>IFERROR(Ohj.lask.[[#This Row],[Painotetut pisteet 3]]/Ohj.lask.[[#Totals],[Painotetut pisteet 3]],0)</f>
        <v>1.0895914454401867E-3</v>
      </c>
      <c r="R95" s="19">
        <f>ROUND(IFERROR('1.1 Jakotaulu'!L$13*Ohj.lask.[[#This Row],[%-osuus 3]],0),0)</f>
        <v>151294</v>
      </c>
      <c r="S95" s="211">
        <f>IFERROR(ROUND(VLOOKUP($A95,'2.4 Aloittaneet palaute'!$A:$K,COLUMN('2.4 Aloittaneet palaute'!J:J),FALSE),1),0)</f>
        <v>1542.8</v>
      </c>
      <c r="T95" s="22">
        <f>IFERROR(Ohj.lask.[[#This Row],[Painotetut pisteet 4]]/Ohj.lask.[[#Totals],[Painotetut pisteet 4]],0)</f>
        <v>1.2391601597639521E-3</v>
      </c>
      <c r="U95" s="25">
        <f>ROUND(IFERROR('1.1 Jakotaulu'!M$16*Ohj.lask.[[#This Row],[%-osuus 4]],0),0)</f>
        <v>14339</v>
      </c>
      <c r="V95" s="235">
        <f>IFERROR(ROUND(VLOOKUP($A95,'2.5 Päättäneet palaute'!$A:$AC,COLUMN('2.5 Päättäneet palaute'!AB:AB),FALSE),1),0)</f>
        <v>9188.4</v>
      </c>
      <c r="W95" s="22">
        <f>IFERROR(Ohj.lask.[[#This Row],[Painotetut pisteet 5]]/Ohj.lask.[[#Totals],[Painotetut pisteet 5]],0)</f>
        <v>1.3875367655564216E-3</v>
      </c>
      <c r="X95" s="19">
        <f>ROUND(IFERROR('1.1 Jakotaulu'!M$17*Ohj.lask.[[#This Row],[%-osuus 5]],0),0)</f>
        <v>48166</v>
      </c>
      <c r="Y95" s="21">
        <f>IFERROR(Ohj.lask.[[#This Row],[Jaettava € 6]]/Ohj.lask.[[#Totals],[Jaettava € 6]],"")</f>
        <v>3.3182582745344881E-4</v>
      </c>
      <c r="Z95" s="25">
        <f>IFERROR(Ohj.lask.[[#This Row],[Jaettava € 1]]+Ohj.lask.[[#This Row],[Jaettava € 2]]+Ohj.lask.[[#This Row],[Jaettava € 3]]+Ohj.lask.[[#This Row],[Jaettava € 4]]+Ohj.lask.[[#This Row],[Jaettava € 5]],"")</f>
        <v>571200</v>
      </c>
      <c r="AA95" s="123">
        <f>0</f>
        <v>0</v>
      </c>
      <c r="AB95" s="19">
        <f>Ohj.lask.[[#This Row],[Jaettava € 1]]+Ohj.lask.[[#This Row],[Jaettava €]]</f>
        <v>226189</v>
      </c>
      <c r="AC95" s="107">
        <f>Ohj.lask.[[#This Row],[Jaettava € 2]]</f>
        <v>131212</v>
      </c>
      <c r="AD95" s="19">
        <f>Ohj.lask.[[#This Row],[Jaettava € 3]]+Ohj.lask.[[#This Row],[Jaettava € 4]]+Ohj.lask.[[#This Row],[Jaettava € 5]]</f>
        <v>213799</v>
      </c>
      <c r="AE95" s="36">
        <f>Ohj.lask.[[#This Row],[Jaettava € 6]]+Ohj.lask.[[#This Row],[Jaettava €]]</f>
        <v>571200</v>
      </c>
      <c r="AF95" s="36">
        <f>IFERROR(VLOOKUP(Ohj.lask.[[#This Row],[Y-tunnus]],'3.1 Alv vahvistettu'!A:Y,COLUMN(C:C),FALSE),0)</f>
        <v>22452.6</v>
      </c>
      <c r="AG95" s="25">
        <f>Ohj.lask.[[#This Row],[Perus-, suoritus- ja vaikuttavuusrahoitus yhteensä, €]]+Ohj.lask.[[#This Row],[Alv-korvaus, €]]</f>
        <v>593652.6</v>
      </c>
    </row>
    <row r="96" spans="1:33" x14ac:dyDescent="0.2">
      <c r="A96" s="131" t="s">
        <v>311</v>
      </c>
      <c r="B96" s="16" t="s">
        <v>100</v>
      </c>
      <c r="C96" s="16" t="s">
        <v>252</v>
      </c>
      <c r="D96" s="16" t="s">
        <v>411</v>
      </c>
      <c r="E96" s="16" t="s">
        <v>474</v>
      </c>
      <c r="F96" s="114">
        <v>945</v>
      </c>
      <c r="G96" s="122">
        <f>0</f>
        <v>0</v>
      </c>
      <c r="H96" s="35">
        <f t="shared" si="4"/>
        <v>945</v>
      </c>
      <c r="I96" s="17">
        <f>IFERROR(VLOOKUP($A96,'2.1 Toteut. op.vuodet'!$A:$Q,COLUMN('2.1 Toteut. op.vuodet'!Q:Q),FALSE),0)</f>
        <v>1.2494573366780208</v>
      </c>
      <c r="J96" s="11">
        <f t="shared" si="5"/>
        <v>1180.7</v>
      </c>
      <c r="K96" s="18">
        <f>IFERROR(Ohj.lask.[[#This Row],[Painotetut opiskelija-vuodet]]/Ohj.lask.[[#Totals],[Painotetut opiskelija-vuodet]],0)</f>
        <v>5.9032579664233739E-3</v>
      </c>
      <c r="L96" s="19">
        <f>ROUND(IFERROR('1.1 Jakotaulu'!L$10*Ohj.lask.[[#This Row],[%-osuus 1]],0),0)</f>
        <v>6883019</v>
      </c>
      <c r="M96" s="211">
        <f>IFERROR(ROUND(VLOOKUP($A96,'2.2 Tutk. ja osien pain. pist.'!$A:$Q,COLUMN('2.2 Tutk. ja osien pain. pist.'!P:P),FALSE),1),0)</f>
        <v>100938.2</v>
      </c>
      <c r="N96" s="18">
        <f>IFERROR(Ohj.lask.[[#This Row],[Painotetut pisteet 2]]/Ohj.lask.[[#Totals],[Painotetut pisteet 2]],0)</f>
        <v>6.4503807466798442E-3</v>
      </c>
      <c r="O96" s="25">
        <f>ROUND(IFERROR('1.1 Jakotaulu'!K$11*Ohj.lask.[[#This Row],[%-osuus 2]],0),0)</f>
        <v>2388428</v>
      </c>
      <c r="P96" s="233">
        <f>IFERROR(ROUND(VLOOKUP($A96,'2.3 Työll. ja jatko-opisk.'!$A:$K,COLUMN('2.3 Työll. ja jatko-opisk.'!I:I),FALSE),1),0)</f>
        <v>748.7</v>
      </c>
      <c r="Q96" s="18">
        <f>IFERROR(Ohj.lask.[[#This Row],[Painotetut pisteet 3]]/Ohj.lask.[[#Totals],[Painotetut pisteet 3]],0)</f>
        <v>3.9524085038811418E-3</v>
      </c>
      <c r="R96" s="19">
        <f>ROUND(IFERROR('1.1 Jakotaulu'!L$13*Ohj.lask.[[#This Row],[%-osuus 3]],0),0)</f>
        <v>548807</v>
      </c>
      <c r="S96" s="211">
        <f>IFERROR(ROUND(VLOOKUP($A96,'2.4 Aloittaneet palaute'!$A:$K,COLUMN('2.4 Aloittaneet palaute'!J:J),FALSE),1),0)</f>
        <v>6804</v>
      </c>
      <c r="T96" s="22">
        <f>IFERROR(Ohj.lask.[[#This Row],[Painotetut pisteet 4]]/Ohj.lask.[[#Totals],[Painotetut pisteet 4]],0)</f>
        <v>5.4648987082148888E-3</v>
      </c>
      <c r="U96" s="25">
        <f>ROUND(IFERROR('1.1 Jakotaulu'!M$16*Ohj.lask.[[#This Row],[%-osuus 4]],0),0)</f>
        <v>63235</v>
      </c>
      <c r="V96" s="235">
        <f>IFERROR(ROUND(VLOOKUP($A96,'2.5 Päättäneet palaute'!$A:$AC,COLUMN('2.5 Päättäneet palaute'!AB:AB),FALSE),1),0)</f>
        <v>24319.1</v>
      </c>
      <c r="W96" s="22">
        <f>IFERROR(Ohj.lask.[[#This Row],[Painotetut pisteet 5]]/Ohj.lask.[[#Totals],[Painotetut pisteet 5]],0)</f>
        <v>3.6724179786734546E-3</v>
      </c>
      <c r="X96" s="19">
        <f>ROUND(IFERROR('1.1 Jakotaulu'!M$17*Ohj.lask.[[#This Row],[%-osuus 5]],0),0)</f>
        <v>127482</v>
      </c>
      <c r="Y96" s="21">
        <f>IFERROR(Ohj.lask.[[#This Row],[Jaettava € 6]]/Ohj.lask.[[#Totals],[Jaettava € 6]],"")</f>
        <v>5.8156490470719184E-3</v>
      </c>
      <c r="Z96" s="25">
        <f>IFERROR(Ohj.lask.[[#This Row],[Jaettava € 1]]+Ohj.lask.[[#This Row],[Jaettava € 2]]+Ohj.lask.[[#This Row],[Jaettava € 3]]+Ohj.lask.[[#This Row],[Jaettava € 4]]+Ohj.lask.[[#This Row],[Jaettava € 5]],"")</f>
        <v>10010971</v>
      </c>
      <c r="AA96" s="123">
        <f>0</f>
        <v>0</v>
      </c>
      <c r="AB96" s="19">
        <f>Ohj.lask.[[#This Row],[Jaettava € 1]]+Ohj.lask.[[#This Row],[Jaettava €]]</f>
        <v>6883019</v>
      </c>
      <c r="AC96" s="107">
        <f>Ohj.lask.[[#This Row],[Jaettava € 2]]</f>
        <v>2388428</v>
      </c>
      <c r="AD96" s="19">
        <f>Ohj.lask.[[#This Row],[Jaettava € 3]]+Ohj.lask.[[#This Row],[Jaettava € 4]]+Ohj.lask.[[#This Row],[Jaettava € 5]]</f>
        <v>739524</v>
      </c>
      <c r="AE96" s="36">
        <f>Ohj.lask.[[#This Row],[Jaettava € 6]]+Ohj.lask.[[#This Row],[Jaettava €]]</f>
        <v>10010971</v>
      </c>
      <c r="AF96" s="36">
        <f>IFERROR(VLOOKUP(Ohj.lask.[[#This Row],[Y-tunnus]],'3.1 Alv vahvistettu'!A:Y,COLUMN(C:C),FALSE),0)</f>
        <v>0</v>
      </c>
      <c r="AG96" s="25">
        <f>Ohj.lask.[[#This Row],[Perus-, suoritus- ja vaikuttavuusrahoitus yhteensä, €]]+Ohj.lask.[[#This Row],[Alv-korvaus, €]]</f>
        <v>10010971</v>
      </c>
    </row>
    <row r="97" spans="1:33" x14ac:dyDescent="0.2">
      <c r="A97" s="131" t="s">
        <v>310</v>
      </c>
      <c r="B97" s="16" t="s">
        <v>101</v>
      </c>
      <c r="C97" s="16" t="s">
        <v>236</v>
      </c>
      <c r="D97" s="16" t="s">
        <v>412</v>
      </c>
      <c r="E97" s="16" t="s">
        <v>474</v>
      </c>
      <c r="F97" s="114">
        <v>1332</v>
      </c>
      <c r="G97" s="122">
        <f>0</f>
        <v>0</v>
      </c>
      <c r="H97" s="35">
        <f t="shared" si="4"/>
        <v>1332</v>
      </c>
      <c r="I97" s="17">
        <f>IFERROR(VLOOKUP($A97,'2.1 Toteut. op.vuodet'!$A:$Q,COLUMN('2.1 Toteut. op.vuodet'!Q:Q),FALSE),0)</f>
        <v>0.87658779817634946</v>
      </c>
      <c r="J97" s="11">
        <f t="shared" si="5"/>
        <v>1167.5999999999999</v>
      </c>
      <c r="K97" s="18">
        <f>IFERROR(Ohj.lask.[[#This Row],[Painotetut opiskelija-vuodet]]/Ohj.lask.[[#Totals],[Painotetut opiskelija-vuodet]],0)</f>
        <v>5.8377606518132726E-3</v>
      </c>
      <c r="L97" s="19">
        <f>ROUND(IFERROR('1.1 Jakotaulu'!L$10*Ohj.lask.[[#This Row],[%-osuus 1]],0),0)</f>
        <v>6806651</v>
      </c>
      <c r="M97" s="211">
        <f>IFERROR(ROUND(VLOOKUP($A97,'2.2 Tutk. ja osien pain. pist.'!$A:$Q,COLUMN('2.2 Tutk. ja osien pain. pist.'!P:P),FALSE),1),0)</f>
        <v>127573.8</v>
      </c>
      <c r="N97" s="18">
        <f>IFERROR(Ohj.lask.[[#This Row],[Painotetut pisteet 2]]/Ohj.lask.[[#Totals],[Painotetut pisteet 2]],0)</f>
        <v>8.1525089936296171E-3</v>
      </c>
      <c r="O97" s="25">
        <f>ROUND(IFERROR('1.1 Jakotaulu'!K$11*Ohj.lask.[[#This Row],[%-osuus 2]],0),0)</f>
        <v>3018687</v>
      </c>
      <c r="P97" s="233">
        <f>IFERROR(ROUND(VLOOKUP($A97,'2.3 Työll. ja jatko-opisk.'!$A:$K,COLUMN('2.3 Työll. ja jatko-opisk.'!I:I),FALSE),1),0)</f>
        <v>1573.2</v>
      </c>
      <c r="Q97" s="18">
        <f>IFERROR(Ohj.lask.[[#This Row],[Painotetut pisteet 3]]/Ohj.lask.[[#Totals],[Painotetut pisteet 3]],0)</f>
        <v>8.3049673544888635E-3</v>
      </c>
      <c r="R97" s="19">
        <f>ROUND(IFERROR('1.1 Jakotaulu'!L$13*Ohj.lask.[[#This Row],[%-osuus 3]],0),0)</f>
        <v>1153177</v>
      </c>
      <c r="S97" s="211">
        <f>IFERROR(ROUND(VLOOKUP($A97,'2.4 Aloittaneet palaute'!$A:$K,COLUMN('2.4 Aloittaneet palaute'!J:J),FALSE),1),0)</f>
        <v>15761.6</v>
      </c>
      <c r="T97" s="22">
        <f>IFERROR(Ohj.lask.[[#This Row],[Painotetut pisteet 4]]/Ohj.lask.[[#Totals],[Painotetut pisteet 4]],0)</f>
        <v>1.2659545484920603E-2</v>
      </c>
      <c r="U97" s="25">
        <f>ROUND(IFERROR('1.1 Jakotaulu'!M$16*Ohj.lask.[[#This Row],[%-osuus 4]],0),0)</f>
        <v>146486</v>
      </c>
      <c r="V97" s="235">
        <f>IFERROR(ROUND(VLOOKUP($A97,'2.5 Päättäneet palaute'!$A:$AC,COLUMN('2.5 Päättäneet palaute'!AB:AB),FALSE),1),0)</f>
        <v>106270.6</v>
      </c>
      <c r="W97" s="22">
        <f>IFERROR(Ohj.lask.[[#This Row],[Painotetut pisteet 5]]/Ohj.lask.[[#Totals],[Painotetut pisteet 5]],0)</f>
        <v>1.6047882612613761E-2</v>
      </c>
      <c r="X97" s="19">
        <f>ROUND(IFERROR('1.1 Jakotaulu'!M$17*Ohj.lask.[[#This Row],[%-osuus 5]],0),0)</f>
        <v>557078</v>
      </c>
      <c r="Y97" s="21">
        <f>IFERROR(Ohj.lask.[[#This Row],[Jaettava € 6]]/Ohj.lask.[[#Totals],[Jaettava € 6]],"")</f>
        <v>6.7864417551672931E-3</v>
      </c>
      <c r="Z97" s="25">
        <f>IFERROR(Ohj.lask.[[#This Row],[Jaettava € 1]]+Ohj.lask.[[#This Row],[Jaettava € 2]]+Ohj.lask.[[#This Row],[Jaettava € 3]]+Ohj.lask.[[#This Row],[Jaettava € 4]]+Ohj.lask.[[#This Row],[Jaettava € 5]],"")</f>
        <v>11682079</v>
      </c>
      <c r="AA97" s="123">
        <f>0</f>
        <v>0</v>
      </c>
      <c r="AB97" s="19">
        <f>Ohj.lask.[[#This Row],[Jaettava € 1]]+Ohj.lask.[[#This Row],[Jaettava €]]</f>
        <v>6806651</v>
      </c>
      <c r="AC97" s="107">
        <f>Ohj.lask.[[#This Row],[Jaettava € 2]]</f>
        <v>3018687</v>
      </c>
      <c r="AD97" s="19">
        <f>Ohj.lask.[[#This Row],[Jaettava € 3]]+Ohj.lask.[[#This Row],[Jaettava € 4]]+Ohj.lask.[[#This Row],[Jaettava € 5]]</f>
        <v>1856741</v>
      </c>
      <c r="AE97" s="36">
        <f>Ohj.lask.[[#This Row],[Jaettava € 6]]+Ohj.lask.[[#This Row],[Jaettava €]]</f>
        <v>11682079</v>
      </c>
      <c r="AF97" s="36">
        <f>IFERROR(VLOOKUP(Ohj.lask.[[#This Row],[Y-tunnus]],'3.1 Alv vahvistettu'!A:Y,COLUMN(C:C),FALSE),0)</f>
        <v>716009.88</v>
      </c>
      <c r="AG97" s="25">
        <f>Ohj.lask.[[#This Row],[Perus-, suoritus- ja vaikuttavuusrahoitus yhteensä, €]]+Ohj.lask.[[#This Row],[Alv-korvaus, €]]</f>
        <v>12398088.880000001</v>
      </c>
    </row>
    <row r="98" spans="1:33" x14ac:dyDescent="0.2">
      <c r="A98" s="131" t="s">
        <v>309</v>
      </c>
      <c r="B98" s="16" t="s">
        <v>102</v>
      </c>
      <c r="C98" s="16" t="s">
        <v>294</v>
      </c>
      <c r="D98" s="16" t="s">
        <v>412</v>
      </c>
      <c r="E98" s="16" t="s">
        <v>474</v>
      </c>
      <c r="F98" s="114">
        <v>64</v>
      </c>
      <c r="G98" s="122">
        <f>0</f>
        <v>0</v>
      </c>
      <c r="H98" s="35">
        <f t="shared" si="4"/>
        <v>64</v>
      </c>
      <c r="I98" s="17">
        <f>IFERROR(VLOOKUP($A98,'2.1 Toteut. op.vuodet'!$A:$Q,COLUMN('2.1 Toteut. op.vuodet'!Q:Q),FALSE),0)</f>
        <v>1.0316506952024784</v>
      </c>
      <c r="J98" s="11">
        <f t="shared" si="5"/>
        <v>66</v>
      </c>
      <c r="K98" s="18">
        <f>IFERROR(Ohj.lask.[[#This Row],[Painotetut opiskelija-vuodet]]/Ohj.lask.[[#Totals],[Painotetut opiskelija-vuodet]],0)</f>
        <v>3.2998647055470712E-4</v>
      </c>
      <c r="L98" s="19">
        <f>ROUND(IFERROR('1.1 Jakotaulu'!L$10*Ohj.lask.[[#This Row],[%-osuus 1]],0),0)</f>
        <v>384754</v>
      </c>
      <c r="M98" s="211">
        <f>IFERROR(ROUND(VLOOKUP($A98,'2.2 Tutk. ja osien pain. pist.'!$A:$Q,COLUMN('2.2 Tutk. ja osien pain. pist.'!P:P),FALSE),1),0)</f>
        <v>7140.9</v>
      </c>
      <c r="N98" s="18">
        <f>IFERROR(Ohj.lask.[[#This Row],[Painotetut pisteet 2]]/Ohj.lask.[[#Totals],[Painotetut pisteet 2]],0)</f>
        <v>4.5633391395889859E-4</v>
      </c>
      <c r="O98" s="25">
        <f>ROUND(IFERROR('1.1 Jakotaulu'!K$11*Ohj.lask.[[#This Row],[%-osuus 2]],0),0)</f>
        <v>168970</v>
      </c>
      <c r="P98" s="233">
        <f>IFERROR(ROUND(VLOOKUP($A98,'2.3 Työll. ja jatko-opisk.'!$A:$K,COLUMN('2.3 Työll. ja jatko-opisk.'!I:I),FALSE),1),0)</f>
        <v>57.8</v>
      </c>
      <c r="Q98" s="18">
        <f>IFERROR(Ohj.lask.[[#This Row],[Painotetut pisteet 3]]/Ohj.lask.[[#Totals],[Painotetut pisteet 3]],0)</f>
        <v>3.0512783694981965E-4</v>
      </c>
      <c r="R98" s="19">
        <f>ROUND(IFERROR('1.1 Jakotaulu'!L$13*Ohj.lask.[[#This Row],[%-osuus 3]],0),0)</f>
        <v>42368</v>
      </c>
      <c r="S98" s="211">
        <f>IFERROR(ROUND(VLOOKUP($A98,'2.4 Aloittaneet palaute'!$A:$K,COLUMN('2.4 Aloittaneet palaute'!J:J),FALSE),1),0)</f>
        <v>345.6</v>
      </c>
      <c r="T98" s="22">
        <f>IFERROR(Ohj.lask.[[#This Row],[Painotetut pisteet 4]]/Ohj.lask.[[#Totals],[Painotetut pisteet 4]],0)</f>
        <v>2.7758215660774041E-4</v>
      </c>
      <c r="U98" s="25">
        <f>ROUND(IFERROR('1.1 Jakotaulu'!M$16*Ohj.lask.[[#This Row],[%-osuus 4]],0),0)</f>
        <v>3212</v>
      </c>
      <c r="V98" s="235">
        <f>IFERROR(ROUND(VLOOKUP($A98,'2.5 Päättäneet palaute'!$A:$AC,COLUMN('2.5 Päättäneet palaute'!AB:AB),FALSE),1),0)</f>
        <v>3398.8</v>
      </c>
      <c r="W98" s="22">
        <f>IFERROR(Ohj.lask.[[#This Row],[Painotetut pisteet 5]]/Ohj.lask.[[#Totals],[Painotetut pisteet 5]],0)</f>
        <v>5.1325148652356953E-4</v>
      </c>
      <c r="X98" s="19">
        <f>ROUND(IFERROR('1.1 Jakotaulu'!M$17*Ohj.lask.[[#This Row],[%-osuus 5]],0),0)</f>
        <v>17817</v>
      </c>
      <c r="Y98" s="21">
        <f>IFERROR(Ohj.lask.[[#This Row],[Jaettava € 6]]/Ohj.lask.[[#Totals],[Jaettava € 6]],"")</f>
        <v>3.5850260235276572E-4</v>
      </c>
      <c r="Z98" s="25">
        <f>IFERROR(Ohj.lask.[[#This Row],[Jaettava € 1]]+Ohj.lask.[[#This Row],[Jaettava € 2]]+Ohj.lask.[[#This Row],[Jaettava € 3]]+Ohj.lask.[[#This Row],[Jaettava € 4]]+Ohj.lask.[[#This Row],[Jaettava € 5]],"")</f>
        <v>617121</v>
      </c>
      <c r="AA98" s="123">
        <f>0</f>
        <v>0</v>
      </c>
      <c r="AB98" s="19">
        <f>Ohj.lask.[[#This Row],[Jaettava € 1]]+Ohj.lask.[[#This Row],[Jaettava €]]</f>
        <v>384754</v>
      </c>
      <c r="AC98" s="107">
        <f>Ohj.lask.[[#This Row],[Jaettava € 2]]</f>
        <v>168970</v>
      </c>
      <c r="AD98" s="19">
        <f>Ohj.lask.[[#This Row],[Jaettava € 3]]+Ohj.lask.[[#This Row],[Jaettava € 4]]+Ohj.lask.[[#This Row],[Jaettava € 5]]</f>
        <v>63397</v>
      </c>
      <c r="AE98" s="36">
        <f>Ohj.lask.[[#This Row],[Jaettava € 6]]+Ohj.lask.[[#This Row],[Jaettava €]]</f>
        <v>617121</v>
      </c>
      <c r="AF98" s="36">
        <f>IFERROR(VLOOKUP(Ohj.lask.[[#This Row],[Y-tunnus]],'3.1 Alv vahvistettu'!A:Y,COLUMN(C:C),FALSE),0)</f>
        <v>62432.75</v>
      </c>
      <c r="AG98" s="25">
        <f>Ohj.lask.[[#This Row],[Perus-, suoritus- ja vaikuttavuusrahoitus yhteensä, €]]+Ohj.lask.[[#This Row],[Alv-korvaus, €]]</f>
        <v>679553.75</v>
      </c>
    </row>
    <row r="99" spans="1:33" x14ac:dyDescent="0.2">
      <c r="A99" s="131" t="s">
        <v>316</v>
      </c>
      <c r="B99" s="16" t="s">
        <v>103</v>
      </c>
      <c r="C99" s="16" t="s">
        <v>315</v>
      </c>
      <c r="D99" s="16" t="s">
        <v>411</v>
      </c>
      <c r="E99" s="16" t="s">
        <v>474</v>
      </c>
      <c r="F99" s="114">
        <v>4815</v>
      </c>
      <c r="G99" s="122">
        <f>0</f>
        <v>0</v>
      </c>
      <c r="H99" s="35">
        <f t="shared" si="4"/>
        <v>4815</v>
      </c>
      <c r="I99" s="17">
        <f>IFERROR(VLOOKUP($A99,'2.1 Toteut. op.vuodet'!$A:$Q,COLUMN('2.1 Toteut. op.vuodet'!Q:Q),FALSE),0)</f>
        <v>1.1242438378474162</v>
      </c>
      <c r="J99" s="11">
        <f t="shared" si="5"/>
        <v>5413.2</v>
      </c>
      <c r="K99" s="18">
        <f>IFERROR(Ohj.lask.[[#This Row],[Painotetut opiskelija-vuodet]]/Ohj.lask.[[#Totals],[Painotetut opiskelija-vuodet]],0)</f>
        <v>2.7064890339496068E-2</v>
      </c>
      <c r="L99" s="19">
        <f>ROUND(IFERROR('1.1 Jakotaulu'!L$10*Ohj.lask.[[#This Row],[%-osuus 1]],0),0)</f>
        <v>31556837</v>
      </c>
      <c r="M99" s="211">
        <f>IFERROR(ROUND(VLOOKUP($A99,'2.2 Tutk. ja osien pain. pist.'!$A:$Q,COLUMN('2.2 Tutk. ja osien pain. pist.'!P:P),FALSE),1),0)</f>
        <v>477027.7</v>
      </c>
      <c r="N99" s="18">
        <f>IFERROR(Ohj.lask.[[#This Row],[Painotetut pisteet 2]]/Ohj.lask.[[#Totals],[Painotetut pisteet 2]],0)</f>
        <v>3.0484101080789718E-2</v>
      </c>
      <c r="O99" s="25">
        <f>ROUND(IFERROR('1.1 Jakotaulu'!K$11*Ohj.lask.[[#This Row],[%-osuus 2]],0),0)</f>
        <v>11287561</v>
      </c>
      <c r="P99" s="233">
        <f>IFERROR(ROUND(VLOOKUP($A99,'2.3 Työll. ja jatko-opisk.'!$A:$K,COLUMN('2.3 Työll. ja jatko-opisk.'!I:I),FALSE),1),0)</f>
        <v>5744.9</v>
      </c>
      <c r="Q99" s="18">
        <f>IFERROR(Ohj.lask.[[#This Row],[Painotetut pisteet 3]]/Ohj.lask.[[#Totals],[Painotetut pisteet 3]],0)</f>
        <v>3.0327489800917283E-2</v>
      </c>
      <c r="R99" s="19">
        <f>ROUND(IFERROR('1.1 Jakotaulu'!L$13*Ohj.lask.[[#This Row],[%-osuus 3]],0),0)</f>
        <v>4211089</v>
      </c>
      <c r="S99" s="211">
        <f>IFERROR(ROUND(VLOOKUP($A99,'2.4 Aloittaneet palaute'!$A:$K,COLUMN('2.4 Aloittaneet palaute'!J:J),FALSE),1),0)</f>
        <v>37804.199999999997</v>
      </c>
      <c r="T99" s="22">
        <f>IFERROR(Ohj.lask.[[#This Row],[Painotetut pisteet 4]]/Ohj.lask.[[#Totals],[Painotetut pisteet 4]],0)</f>
        <v>3.0363921773235932E-2</v>
      </c>
      <c r="U99" s="25">
        <f>ROUND(IFERROR('1.1 Jakotaulu'!M$16*Ohj.lask.[[#This Row],[%-osuus 4]],0),0)</f>
        <v>351346</v>
      </c>
      <c r="V99" s="235">
        <f>IFERROR(ROUND(VLOOKUP($A99,'2.5 Päättäneet palaute'!$A:$AC,COLUMN('2.5 Päättäneet palaute'!AB:AB),FALSE),1),0)</f>
        <v>200140.5</v>
      </c>
      <c r="W99" s="22">
        <f>IFERROR(Ohj.lask.[[#This Row],[Painotetut pisteet 5]]/Ohj.lask.[[#Totals],[Painotetut pisteet 5]],0)</f>
        <v>3.022314026673251E-2</v>
      </c>
      <c r="X99" s="19">
        <f>ROUND(IFERROR('1.1 Jakotaulu'!M$17*Ohj.lask.[[#This Row],[%-osuus 5]],0),0)</f>
        <v>1049150</v>
      </c>
      <c r="Y99" s="21">
        <f>IFERROR(Ohj.lask.[[#This Row],[Jaettava € 6]]/Ohj.lask.[[#Totals],[Jaettava € 6]],"")</f>
        <v>2.8149416411143643E-2</v>
      </c>
      <c r="Z99" s="25">
        <f>IFERROR(Ohj.lask.[[#This Row],[Jaettava € 1]]+Ohj.lask.[[#This Row],[Jaettava € 2]]+Ohj.lask.[[#This Row],[Jaettava € 3]]+Ohj.lask.[[#This Row],[Jaettava € 4]]+Ohj.lask.[[#This Row],[Jaettava € 5]],"")</f>
        <v>48455983</v>
      </c>
      <c r="AA99" s="123">
        <f>0</f>
        <v>0</v>
      </c>
      <c r="AB99" s="19">
        <f>Ohj.lask.[[#This Row],[Jaettava € 1]]+Ohj.lask.[[#This Row],[Jaettava €]]</f>
        <v>31556837</v>
      </c>
      <c r="AC99" s="107">
        <f>Ohj.lask.[[#This Row],[Jaettava € 2]]</f>
        <v>11287561</v>
      </c>
      <c r="AD99" s="19">
        <f>Ohj.lask.[[#This Row],[Jaettava € 3]]+Ohj.lask.[[#This Row],[Jaettava € 4]]+Ohj.lask.[[#This Row],[Jaettava € 5]]</f>
        <v>5611585</v>
      </c>
      <c r="AE99" s="36">
        <f>Ohj.lask.[[#This Row],[Jaettava € 6]]+Ohj.lask.[[#This Row],[Jaettava €]]</f>
        <v>48455983</v>
      </c>
      <c r="AF99" s="36">
        <f>IFERROR(VLOOKUP(Ohj.lask.[[#This Row],[Y-tunnus]],'3.1 Alv vahvistettu'!A:Y,COLUMN(C:C),FALSE),0)</f>
        <v>0</v>
      </c>
      <c r="AG99" s="25">
        <f>Ohj.lask.[[#This Row],[Perus-, suoritus- ja vaikuttavuusrahoitus yhteensä, €]]+Ohj.lask.[[#This Row],[Alv-korvaus, €]]</f>
        <v>48455983</v>
      </c>
    </row>
    <row r="100" spans="1:33" x14ac:dyDescent="0.2">
      <c r="A100" s="131" t="s">
        <v>306</v>
      </c>
      <c r="B100" s="16" t="s">
        <v>104</v>
      </c>
      <c r="C100" s="98" t="s">
        <v>285</v>
      </c>
      <c r="D100" s="98" t="s">
        <v>412</v>
      </c>
      <c r="E100" s="98" t="s">
        <v>474</v>
      </c>
      <c r="F100" s="113">
        <v>117</v>
      </c>
      <c r="G100" s="122">
        <f>0</f>
        <v>0</v>
      </c>
      <c r="H100" s="35">
        <f t="shared" si="4"/>
        <v>117</v>
      </c>
      <c r="I100" s="17">
        <f>IFERROR(VLOOKUP($A100,'2.1 Toteut. op.vuodet'!$A:$Q,COLUMN('2.1 Toteut. op.vuodet'!Q:Q),FALSE),0)</f>
        <v>0.93589573449242791</v>
      </c>
      <c r="J100" s="11">
        <f t="shared" si="5"/>
        <v>109.5</v>
      </c>
      <c r="K100" s="18">
        <f>IFERROR(Ohj.lask.[[#This Row],[Painotetut opiskelija-vuodet]]/Ohj.lask.[[#Totals],[Painotetut opiskelija-vuodet]],0)</f>
        <v>5.4747755342030946E-4</v>
      </c>
      <c r="L100" s="19">
        <f>ROUND(IFERROR('1.1 Jakotaulu'!L$10*Ohj.lask.[[#This Row],[%-osuus 1]],0),0)</f>
        <v>638342</v>
      </c>
      <c r="M100" s="211">
        <f>IFERROR(ROUND(VLOOKUP($A100,'2.2 Tutk. ja osien pain. pist.'!$A:$Q,COLUMN('2.2 Tutk. ja osien pain. pist.'!P:P),FALSE),1),0)</f>
        <v>10301.1</v>
      </c>
      <c r="N100" s="18">
        <f>IFERROR(Ohj.lask.[[#This Row],[Painotetut pisteet 2]]/Ohj.lask.[[#Totals],[Painotetut pisteet 2]],0)</f>
        <v>6.582841492083646E-4</v>
      </c>
      <c r="O100" s="25">
        <f>ROUND(IFERROR('1.1 Jakotaulu'!K$11*Ohj.lask.[[#This Row],[%-osuus 2]],0),0)</f>
        <v>243747</v>
      </c>
      <c r="P100" s="233">
        <f>IFERROR(ROUND(VLOOKUP($A100,'2.3 Työll. ja jatko-opisk.'!$A:$K,COLUMN('2.3 Työll. ja jatko-opisk.'!I:I),FALSE),1),0)</f>
        <v>162.1</v>
      </c>
      <c r="Q100" s="22">
        <f>IFERROR(Ohj.lask.[[#This Row],[Painotetut pisteet 3]]/Ohj.lask.[[#Totals],[Painotetut pisteet 3]],0)</f>
        <v>8.5573049082293717E-4</v>
      </c>
      <c r="R100" s="19">
        <f>ROUND(IFERROR('1.1 Jakotaulu'!L$13*Ohj.lask.[[#This Row],[%-osuus 3]],0),0)</f>
        <v>118821</v>
      </c>
      <c r="S100" s="211">
        <f>IFERROR(ROUND(VLOOKUP($A100,'2.4 Aloittaneet palaute'!$A:$K,COLUMN('2.4 Aloittaneet palaute'!J:J),FALSE),1),0)</f>
        <v>2036.5</v>
      </c>
      <c r="T100" s="22">
        <f>IFERROR(Ohj.lask.[[#This Row],[Painotetut pisteet 4]]/Ohj.lask.[[#Totals],[Painotetut pisteet 4]],0)</f>
        <v>1.6356946236448589E-3</v>
      </c>
      <c r="U100" s="25">
        <f>ROUND(IFERROR('1.1 Jakotaulu'!M$16*Ohj.lask.[[#This Row],[%-osuus 4]],0),0)</f>
        <v>18927</v>
      </c>
      <c r="V100" s="235">
        <f>IFERROR(ROUND(VLOOKUP($A100,'2.5 Päättäneet palaute'!$A:$AC,COLUMN('2.5 Päättäneet palaute'!AB:AB),FALSE),1),0)</f>
        <v>148.30000000000001</v>
      </c>
      <c r="W100" s="22">
        <f>IFERROR(Ohj.lask.[[#This Row],[Painotetut pisteet 5]]/Ohj.lask.[[#Totals],[Painotetut pisteet 5]],0)</f>
        <v>2.2394726212617794E-5</v>
      </c>
      <c r="X100" s="19">
        <f>ROUND(IFERROR('1.1 Jakotaulu'!M$17*Ohj.lask.[[#This Row],[%-osuus 5]],0),0)</f>
        <v>777</v>
      </c>
      <c r="Y100" s="21">
        <f>IFERROR(Ohj.lask.[[#This Row],[Jaettava € 6]]/Ohj.lask.[[#Totals],[Jaettava € 6]],"")</f>
        <v>5.9290280997999689E-4</v>
      </c>
      <c r="Z100" s="25">
        <f>IFERROR(Ohj.lask.[[#This Row],[Jaettava € 1]]+Ohj.lask.[[#This Row],[Jaettava € 2]]+Ohj.lask.[[#This Row],[Jaettava € 3]]+Ohj.lask.[[#This Row],[Jaettava € 4]]+Ohj.lask.[[#This Row],[Jaettava € 5]],"")</f>
        <v>1020614</v>
      </c>
      <c r="AA100" s="123">
        <f>0</f>
        <v>0</v>
      </c>
      <c r="AB100" s="19">
        <f>Ohj.lask.[[#This Row],[Jaettava € 1]]+Ohj.lask.[[#This Row],[Jaettava €]]</f>
        <v>638342</v>
      </c>
      <c r="AC100" s="107">
        <f>Ohj.lask.[[#This Row],[Jaettava € 2]]</f>
        <v>243747</v>
      </c>
      <c r="AD100" s="19">
        <f>Ohj.lask.[[#This Row],[Jaettava € 3]]+Ohj.lask.[[#This Row],[Jaettava € 4]]+Ohj.lask.[[#This Row],[Jaettava € 5]]</f>
        <v>138525</v>
      </c>
      <c r="AE100" s="36">
        <f>Ohj.lask.[[#This Row],[Jaettava € 6]]+Ohj.lask.[[#This Row],[Jaettava €]]</f>
        <v>1020614</v>
      </c>
      <c r="AF100" s="36">
        <f>IFERROR(VLOOKUP(Ohj.lask.[[#This Row],[Y-tunnus]],'3.1 Alv vahvistettu'!A:Y,COLUMN(C:C),FALSE),0)</f>
        <v>53995</v>
      </c>
      <c r="AG100" s="25">
        <f>Ohj.lask.[[#This Row],[Perus-, suoritus- ja vaikuttavuusrahoitus yhteensä, €]]+Ohj.lask.[[#This Row],[Alv-korvaus, €]]</f>
        <v>1074609</v>
      </c>
    </row>
    <row r="101" spans="1:33" x14ac:dyDescent="0.2">
      <c r="A101" s="131" t="s">
        <v>305</v>
      </c>
      <c r="B101" s="16" t="s">
        <v>105</v>
      </c>
      <c r="C101" s="16" t="s">
        <v>240</v>
      </c>
      <c r="D101" s="16" t="s">
        <v>412</v>
      </c>
      <c r="E101" s="16" t="s">
        <v>474</v>
      </c>
      <c r="F101" s="114">
        <v>50</v>
      </c>
      <c r="G101" s="122">
        <f>0</f>
        <v>0</v>
      </c>
      <c r="H101" s="35">
        <f t="shared" si="4"/>
        <v>50</v>
      </c>
      <c r="I101" s="17">
        <f>IFERROR(VLOOKUP($A101,'2.1 Toteut. op.vuodet'!$A:$Q,COLUMN('2.1 Toteut. op.vuodet'!Q:Q),FALSE),0)</f>
        <v>1.0639095809850525</v>
      </c>
      <c r="J101" s="11">
        <f t="shared" si="5"/>
        <v>53.2</v>
      </c>
      <c r="K101" s="18">
        <f>IFERROR(Ohj.lask.[[#This Row],[Painotetut opiskelija-vuodet]]/Ohj.lask.[[#Totals],[Painotetut opiskelija-vuodet]],0)</f>
        <v>2.6598909444712753E-4</v>
      </c>
      <c r="L101" s="19">
        <f>ROUND(IFERROR('1.1 Jakotaulu'!L$10*Ohj.lask.[[#This Row],[%-osuus 1]],0),0)</f>
        <v>310135</v>
      </c>
      <c r="M101" s="211">
        <f>IFERROR(ROUND(VLOOKUP($A101,'2.2 Tutk. ja osien pain. pist.'!$A:$Q,COLUMN('2.2 Tutk. ja osien pain. pist.'!P:P),FALSE),1),0)</f>
        <v>3276.2</v>
      </c>
      <c r="N101" s="18">
        <f>IFERROR(Ohj.lask.[[#This Row],[Painotetut pisteet 2]]/Ohj.lask.[[#Totals],[Painotetut pisteet 2]],0)</f>
        <v>2.0936312914508583E-4</v>
      </c>
      <c r="O101" s="25">
        <f>ROUND(IFERROR('1.1 Jakotaulu'!K$11*Ohj.lask.[[#This Row],[%-osuus 2]],0),0)</f>
        <v>77522</v>
      </c>
      <c r="P101" s="233">
        <f>IFERROR(ROUND(VLOOKUP($A101,'2.3 Työll. ja jatko-opisk.'!$A:$K,COLUMN('2.3 Työll. ja jatko-opisk.'!I:I),FALSE),1),0)</f>
        <v>77.7</v>
      </c>
      <c r="Q101" s="18">
        <f>IFERROR(Ohj.lask.[[#This Row],[Painotetut pisteet 3]]/Ohj.lask.[[#Totals],[Painotetut pisteet 3]],0)</f>
        <v>4.101805005363493E-4</v>
      </c>
      <c r="R101" s="19">
        <f>ROUND(IFERROR('1.1 Jakotaulu'!L$13*Ohj.lask.[[#This Row],[%-osuus 3]],0),0)</f>
        <v>56955</v>
      </c>
      <c r="S101" s="211">
        <f>IFERROR(ROUND(VLOOKUP($A101,'2.4 Aloittaneet palaute'!$A:$K,COLUMN('2.4 Aloittaneet palaute'!J:J),FALSE),1),0)</f>
        <v>460.4</v>
      </c>
      <c r="T101" s="22">
        <f>IFERROR(Ohj.lask.[[#This Row],[Painotetut pisteet 4]]/Ohj.lask.[[#Totals],[Painotetut pisteet 4]],0)</f>
        <v>3.6978826649943186E-4</v>
      </c>
      <c r="U101" s="25">
        <f>ROUND(IFERROR('1.1 Jakotaulu'!M$16*Ohj.lask.[[#This Row],[%-osuus 4]],0),0)</f>
        <v>4279</v>
      </c>
      <c r="V101" s="235">
        <f>IFERROR(ROUND(VLOOKUP($A101,'2.5 Päättäneet palaute'!$A:$AC,COLUMN('2.5 Päättäneet palaute'!AB:AB),FALSE),1),0)</f>
        <v>2825.2</v>
      </c>
      <c r="W101" s="22">
        <f>IFERROR(Ohj.lask.[[#This Row],[Painotetut pisteet 5]]/Ohj.lask.[[#Totals],[Painotetut pisteet 5]],0)</f>
        <v>4.2663237016782053E-4</v>
      </c>
      <c r="X101" s="19">
        <f>ROUND(IFERROR('1.1 Jakotaulu'!M$17*Ohj.lask.[[#This Row],[%-osuus 5]],0),0)</f>
        <v>14810</v>
      </c>
      <c r="Y101" s="21">
        <f>IFERROR(Ohj.lask.[[#This Row],[Jaettava € 6]]/Ohj.lask.[[#Totals],[Jaettava € 6]],"")</f>
        <v>2.6937669470586775E-4</v>
      </c>
      <c r="Z101" s="25">
        <f>IFERROR(Ohj.lask.[[#This Row],[Jaettava € 1]]+Ohj.lask.[[#This Row],[Jaettava € 2]]+Ohj.lask.[[#This Row],[Jaettava € 3]]+Ohj.lask.[[#This Row],[Jaettava € 4]]+Ohj.lask.[[#This Row],[Jaettava € 5]],"")</f>
        <v>463701</v>
      </c>
      <c r="AA101" s="123">
        <f>0</f>
        <v>0</v>
      </c>
      <c r="AB101" s="19">
        <f>Ohj.lask.[[#This Row],[Jaettava € 1]]+Ohj.lask.[[#This Row],[Jaettava €]]</f>
        <v>310135</v>
      </c>
      <c r="AC101" s="107">
        <f>Ohj.lask.[[#This Row],[Jaettava € 2]]</f>
        <v>77522</v>
      </c>
      <c r="AD101" s="19">
        <f>Ohj.lask.[[#This Row],[Jaettava € 3]]+Ohj.lask.[[#This Row],[Jaettava € 4]]+Ohj.lask.[[#This Row],[Jaettava € 5]]</f>
        <v>76044</v>
      </c>
      <c r="AE101" s="36">
        <f>Ohj.lask.[[#This Row],[Jaettava € 6]]+Ohj.lask.[[#This Row],[Jaettava €]]</f>
        <v>463701</v>
      </c>
      <c r="AF101" s="36">
        <f>IFERROR(VLOOKUP(Ohj.lask.[[#This Row],[Y-tunnus]],'3.1 Alv vahvistettu'!A:Y,COLUMN(C:C),FALSE),0)</f>
        <v>32805</v>
      </c>
      <c r="AG101" s="25">
        <f>Ohj.lask.[[#This Row],[Perus-, suoritus- ja vaikuttavuusrahoitus yhteensä, €]]+Ohj.lask.[[#This Row],[Alv-korvaus, €]]</f>
        <v>496506</v>
      </c>
    </row>
    <row r="102" spans="1:33" x14ac:dyDescent="0.2">
      <c r="A102" s="131" t="s">
        <v>304</v>
      </c>
      <c r="B102" s="16" t="s">
        <v>106</v>
      </c>
      <c r="C102" s="16" t="s">
        <v>244</v>
      </c>
      <c r="D102" s="16" t="s">
        <v>412</v>
      </c>
      <c r="E102" s="16" t="s">
        <v>474</v>
      </c>
      <c r="F102" s="114">
        <v>194</v>
      </c>
      <c r="G102" s="122">
        <f>0</f>
        <v>0</v>
      </c>
      <c r="H102" s="35">
        <f t="shared" ref="H102:H133" si="6">IFERROR(F102+G102,0)</f>
        <v>194</v>
      </c>
      <c r="I102" s="17">
        <f>IFERROR(VLOOKUP($A102,'2.1 Toteut. op.vuodet'!$A:$Q,COLUMN('2.1 Toteut. op.vuodet'!Q:Q),FALSE),0)</f>
        <v>0.75260764402550007</v>
      </c>
      <c r="J102" s="11">
        <f t="shared" ref="J102:J133" si="7">IFERROR(ROUND(H102*I102,1),0)</f>
        <v>146</v>
      </c>
      <c r="K102" s="18">
        <f>IFERROR(Ohj.lask.[[#This Row],[Painotetut opiskelija-vuodet]]/Ohj.lask.[[#Totals],[Painotetut opiskelija-vuodet]],0)</f>
        <v>7.2997007122707928E-4</v>
      </c>
      <c r="L102" s="19">
        <f>ROUND(IFERROR('1.1 Jakotaulu'!L$10*Ohj.lask.[[#This Row],[%-osuus 1]],0),0)</f>
        <v>851123</v>
      </c>
      <c r="M102" s="211">
        <f>IFERROR(ROUND(VLOOKUP($A102,'2.2 Tutk. ja osien pain. pist.'!$A:$Q,COLUMN('2.2 Tutk. ja osien pain. pist.'!P:P),FALSE),1),0)</f>
        <v>15872.2</v>
      </c>
      <c r="N102" s="18">
        <f>IFERROR(Ohj.lask.[[#This Row],[Painotetut pisteet 2]]/Ohj.lask.[[#Totals],[Painotetut pisteet 2]],0)</f>
        <v>1.014301159397055E-3</v>
      </c>
      <c r="O102" s="25">
        <f>ROUND(IFERROR('1.1 Jakotaulu'!K$11*Ohj.lask.[[#This Row],[%-osuus 2]],0),0)</f>
        <v>375572</v>
      </c>
      <c r="P102" s="233">
        <f>IFERROR(ROUND(VLOOKUP($A102,'2.3 Työll. ja jatko-opisk.'!$A:$K,COLUMN('2.3 Työll. ja jatko-opisk.'!I:I),FALSE),1),0)</f>
        <v>292.8</v>
      </c>
      <c r="Q102" s="18">
        <f>IFERROR(Ohj.lask.[[#This Row],[Painotetut pisteet 3]]/Ohj.lask.[[#Totals],[Painotetut pisteet 3]],0)</f>
        <v>1.5456994923686367E-3</v>
      </c>
      <c r="R102" s="19">
        <f>ROUND(IFERROR('1.1 Jakotaulu'!L$13*Ohj.lask.[[#This Row],[%-osuus 3]],0),0)</f>
        <v>214626</v>
      </c>
      <c r="S102" s="211">
        <f>IFERROR(ROUND(VLOOKUP($A102,'2.4 Aloittaneet palaute'!$A:$K,COLUMN('2.4 Aloittaneet palaute'!J:J),FALSE),1),0)</f>
        <v>4293.2</v>
      </c>
      <c r="T102" s="22">
        <f>IFERROR(Ohj.lask.[[#This Row],[Painotetut pisteet 4]]/Ohj.lask.[[#Totals],[Painotetut pisteet 4]],0)</f>
        <v>3.4482514894338856E-3</v>
      </c>
      <c r="U102" s="25">
        <f>ROUND(IFERROR('1.1 Jakotaulu'!M$16*Ohj.lask.[[#This Row],[%-osuus 4]],0),0)</f>
        <v>39900</v>
      </c>
      <c r="V102" s="235">
        <f>IFERROR(ROUND(VLOOKUP($A102,'2.5 Päättäneet palaute'!$A:$AC,COLUMN('2.5 Päättäneet palaute'!AB:AB),FALSE),1),0)</f>
        <v>14809.7</v>
      </c>
      <c r="W102" s="22">
        <f>IFERROR(Ohj.lask.[[#This Row],[Painotetut pisteet 5]]/Ohj.lask.[[#Totals],[Painotetut pisteet 5]],0)</f>
        <v>2.2364071260351026E-3</v>
      </c>
      <c r="X102" s="19">
        <f>ROUND(IFERROR('1.1 Jakotaulu'!M$17*Ohj.lask.[[#This Row],[%-osuus 5]],0),0)</f>
        <v>77633</v>
      </c>
      <c r="Y102" s="21">
        <f>IFERROR(Ohj.lask.[[#This Row],[Jaettava € 6]]/Ohj.lask.[[#Totals],[Jaettava € 6]],"")</f>
        <v>9.0558126475686013E-4</v>
      </c>
      <c r="Z102" s="25">
        <f>IFERROR(Ohj.lask.[[#This Row],[Jaettava € 1]]+Ohj.lask.[[#This Row],[Jaettava € 2]]+Ohj.lask.[[#This Row],[Jaettava € 3]]+Ohj.lask.[[#This Row],[Jaettava € 4]]+Ohj.lask.[[#This Row],[Jaettava € 5]],"")</f>
        <v>1558854</v>
      </c>
      <c r="AA102" s="123">
        <f>0</f>
        <v>0</v>
      </c>
      <c r="AB102" s="19">
        <f>Ohj.lask.[[#This Row],[Jaettava € 1]]+Ohj.lask.[[#This Row],[Jaettava €]]</f>
        <v>851123</v>
      </c>
      <c r="AC102" s="107">
        <f>Ohj.lask.[[#This Row],[Jaettava € 2]]</f>
        <v>375572</v>
      </c>
      <c r="AD102" s="19">
        <f>Ohj.lask.[[#This Row],[Jaettava € 3]]+Ohj.lask.[[#This Row],[Jaettava € 4]]+Ohj.lask.[[#This Row],[Jaettava € 5]]</f>
        <v>332159</v>
      </c>
      <c r="AE102" s="36">
        <f>Ohj.lask.[[#This Row],[Jaettava € 6]]+Ohj.lask.[[#This Row],[Jaettava €]]</f>
        <v>1558854</v>
      </c>
      <c r="AF102" s="36">
        <f>IFERROR(VLOOKUP(Ohj.lask.[[#This Row],[Y-tunnus]],'3.1 Alv vahvistettu'!A:Y,COLUMN(C:C),FALSE),0)</f>
        <v>50351.92</v>
      </c>
      <c r="AG102" s="25">
        <f>Ohj.lask.[[#This Row],[Perus-, suoritus- ja vaikuttavuusrahoitus yhteensä, €]]+Ohj.lask.[[#This Row],[Alv-korvaus, €]]</f>
        <v>1609205.92</v>
      </c>
    </row>
    <row r="103" spans="1:33" x14ac:dyDescent="0.2">
      <c r="A103" s="131" t="s">
        <v>308</v>
      </c>
      <c r="B103" s="16" t="s">
        <v>107</v>
      </c>
      <c r="C103" s="16" t="s">
        <v>236</v>
      </c>
      <c r="D103" s="16" t="s">
        <v>412</v>
      </c>
      <c r="E103" s="16" t="s">
        <v>474</v>
      </c>
      <c r="F103" s="114">
        <v>105</v>
      </c>
      <c r="G103" s="122">
        <f>0</f>
        <v>0</v>
      </c>
      <c r="H103" s="35">
        <f t="shared" si="6"/>
        <v>105</v>
      </c>
      <c r="I103" s="17">
        <f>IFERROR(VLOOKUP($A103,'2.1 Toteut. op.vuodet'!$A:$Q,COLUMN('2.1 Toteut. op.vuodet'!Q:Q),FALSE),0)</f>
        <v>1.5614093964726008</v>
      </c>
      <c r="J103" s="11">
        <f t="shared" si="7"/>
        <v>163.9</v>
      </c>
      <c r="K103" s="18">
        <f>IFERROR(Ohj.lask.[[#This Row],[Painotetut opiskelija-vuodet]]/Ohj.lask.[[#Totals],[Painotetut opiskelija-vuodet]],0)</f>
        <v>8.1946640187752261E-4</v>
      </c>
      <c r="L103" s="19">
        <f>ROUND(IFERROR('1.1 Jakotaulu'!L$10*Ohj.lask.[[#This Row],[%-osuus 1]],0),0)</f>
        <v>955473</v>
      </c>
      <c r="M103" s="211">
        <f>IFERROR(ROUND(VLOOKUP($A103,'2.2 Tutk. ja osien pain. pist.'!$A:$Q,COLUMN('2.2 Tutk. ja osien pain. pist.'!P:P),FALSE),1),0)</f>
        <v>16841.2</v>
      </c>
      <c r="N103" s="18">
        <f>IFERROR(Ohj.lask.[[#This Row],[Painotetut pisteet 2]]/Ohj.lask.[[#Totals],[Painotetut pisteet 2]],0)</f>
        <v>1.0762243851285696E-3</v>
      </c>
      <c r="O103" s="25">
        <f>ROUND(IFERROR('1.1 Jakotaulu'!K$11*Ohj.lask.[[#This Row],[%-osuus 2]],0),0)</f>
        <v>398501</v>
      </c>
      <c r="P103" s="233">
        <f>IFERROR(ROUND(VLOOKUP($A103,'2.3 Työll. ja jatko-opisk.'!$A:$K,COLUMN('2.3 Työll. ja jatko-opisk.'!I:I),FALSE),1),0)</f>
        <v>165.3</v>
      </c>
      <c r="Q103" s="18">
        <f>IFERROR(Ohj.lask.[[#This Row],[Painotetut pisteet 3]]/Ohj.lask.[[#Totals],[Painotetut pisteet 3]],0)</f>
        <v>8.726233814499169E-4</v>
      </c>
      <c r="R103" s="19">
        <f>ROUND(IFERROR('1.1 Jakotaulu'!L$13*Ohj.lask.[[#This Row],[%-osuus 3]],0),0)</f>
        <v>121167</v>
      </c>
      <c r="S103" s="211">
        <f>IFERROR(ROUND(VLOOKUP($A103,'2.4 Aloittaneet palaute'!$A:$K,COLUMN('2.4 Aloittaneet palaute'!J:J),FALSE),1),0)</f>
        <v>1061.5</v>
      </c>
      <c r="T103" s="22">
        <f>IFERROR(Ohj.lask.[[#This Row],[Painotetut pisteet 4]]/Ohj.lask.[[#Totals],[Painotetut pisteet 4]],0)</f>
        <v>8.525852408539248E-4</v>
      </c>
      <c r="U103" s="25">
        <f>ROUND(IFERROR('1.1 Jakotaulu'!M$16*Ohj.lask.[[#This Row],[%-osuus 4]],0),0)</f>
        <v>9865</v>
      </c>
      <c r="V103" s="235">
        <f>IFERROR(ROUND(VLOOKUP($A103,'2.5 Päättäneet palaute'!$A:$AC,COLUMN('2.5 Päättäneet palaute'!AB:AB),FALSE),1),0)</f>
        <v>4472.3999999999996</v>
      </c>
      <c r="W103" s="22">
        <f>IFERROR(Ohj.lask.[[#This Row],[Painotetut pisteet 5]]/Ohj.lask.[[#Totals],[Painotetut pisteet 5]],0)</f>
        <v>6.7537541141815115E-4</v>
      </c>
      <c r="X103" s="19">
        <f>ROUND(IFERROR('1.1 Jakotaulu'!M$17*Ohj.lask.[[#This Row],[%-osuus 5]],0),0)</f>
        <v>23445</v>
      </c>
      <c r="Y103" s="21">
        <f>IFERROR(Ohj.lask.[[#This Row],[Jaettava € 6]]/Ohj.lask.[[#Totals],[Jaettava € 6]],"")</f>
        <v>8.7630077249296618E-4</v>
      </c>
      <c r="Z103" s="25">
        <f>IFERROR(Ohj.lask.[[#This Row],[Jaettava € 1]]+Ohj.lask.[[#This Row],[Jaettava € 2]]+Ohj.lask.[[#This Row],[Jaettava € 3]]+Ohj.lask.[[#This Row],[Jaettava € 4]]+Ohj.lask.[[#This Row],[Jaettava € 5]],"")</f>
        <v>1508451</v>
      </c>
      <c r="AA103" s="123">
        <f>0</f>
        <v>0</v>
      </c>
      <c r="AB103" s="19">
        <f>Ohj.lask.[[#This Row],[Jaettava € 1]]+Ohj.lask.[[#This Row],[Jaettava €]]</f>
        <v>955473</v>
      </c>
      <c r="AC103" s="107">
        <f>Ohj.lask.[[#This Row],[Jaettava € 2]]</f>
        <v>398501</v>
      </c>
      <c r="AD103" s="19">
        <f>Ohj.lask.[[#This Row],[Jaettava € 3]]+Ohj.lask.[[#This Row],[Jaettava € 4]]+Ohj.lask.[[#This Row],[Jaettava € 5]]</f>
        <v>154477</v>
      </c>
      <c r="AE103" s="36">
        <f>Ohj.lask.[[#This Row],[Jaettava € 6]]+Ohj.lask.[[#This Row],[Jaettava €]]</f>
        <v>1508451</v>
      </c>
      <c r="AF103" s="36">
        <f>IFERROR(VLOOKUP(Ohj.lask.[[#This Row],[Y-tunnus]],'3.1 Alv vahvistettu'!A:Y,COLUMN(C:C),FALSE),0)</f>
        <v>0</v>
      </c>
      <c r="AG103" s="25">
        <f>Ohj.lask.[[#This Row],[Perus-, suoritus- ja vaikuttavuusrahoitus yhteensä, €]]+Ohj.lask.[[#This Row],[Alv-korvaus, €]]</f>
        <v>1508451</v>
      </c>
    </row>
    <row r="104" spans="1:33" x14ac:dyDescent="0.2">
      <c r="A104" s="131" t="s">
        <v>307</v>
      </c>
      <c r="B104" s="16" t="s">
        <v>108</v>
      </c>
      <c r="C104" s="16" t="s">
        <v>240</v>
      </c>
      <c r="D104" s="16" t="s">
        <v>412</v>
      </c>
      <c r="E104" s="16" t="s">
        <v>474</v>
      </c>
      <c r="F104" s="114">
        <v>77</v>
      </c>
      <c r="G104" s="122">
        <f>0</f>
        <v>0</v>
      </c>
      <c r="H104" s="35">
        <f t="shared" si="6"/>
        <v>77</v>
      </c>
      <c r="I104" s="17">
        <f>IFERROR(VLOOKUP($A104,'2.1 Toteut. op.vuodet'!$A:$Q,COLUMN('2.1 Toteut. op.vuodet'!Q:Q),FALSE),0)</f>
        <v>1.0794820259931797</v>
      </c>
      <c r="J104" s="11">
        <f t="shared" si="7"/>
        <v>83.1</v>
      </c>
      <c r="K104" s="18">
        <f>IFERROR(Ohj.lask.[[#This Row],[Painotetut opiskelija-vuodet]]/Ohj.lask.[[#Totals],[Painotetut opiskelija-vuodet]],0)</f>
        <v>4.1548296519842661E-4</v>
      </c>
      <c r="L104" s="19">
        <f>ROUND(IFERROR('1.1 Jakotaulu'!L$10*Ohj.lask.[[#This Row],[%-osuus 1]],0),0)</f>
        <v>484440</v>
      </c>
      <c r="M104" s="211">
        <f>IFERROR(ROUND(VLOOKUP($A104,'2.2 Tutk. ja osien pain. pist.'!$A:$Q,COLUMN('2.2 Tutk. ja osien pain. pist.'!P:P),FALSE),1),0)</f>
        <v>8643.2999999999993</v>
      </c>
      <c r="N104" s="18">
        <f>IFERROR(Ohj.lask.[[#This Row],[Painotetut pisteet 2]]/Ohj.lask.[[#Totals],[Painotetut pisteet 2]],0)</f>
        <v>5.5234367075872055E-4</v>
      </c>
      <c r="O104" s="25">
        <f>ROUND(IFERROR('1.1 Jakotaulu'!K$11*Ohj.lask.[[#This Row],[%-osuus 2]],0),0)</f>
        <v>204520</v>
      </c>
      <c r="P104" s="233">
        <f>IFERROR(ROUND(VLOOKUP($A104,'2.3 Työll. ja jatko-opisk.'!$A:$K,COLUMN('2.3 Työll. ja jatko-opisk.'!I:I),FALSE),1),0)</f>
        <v>105.1</v>
      </c>
      <c r="Q104" s="18">
        <f>IFERROR(Ohj.lask.[[#This Row],[Painotetut pisteet 3]]/Ohj.lask.[[#Totals],[Painotetut pisteet 3]],0)</f>
        <v>5.5482587652986237E-4</v>
      </c>
      <c r="R104" s="19">
        <f>ROUND(IFERROR('1.1 Jakotaulu'!L$13*Ohj.lask.[[#This Row],[%-osuus 3]],0),0)</f>
        <v>77040</v>
      </c>
      <c r="S104" s="211">
        <f>IFERROR(ROUND(VLOOKUP($A104,'2.4 Aloittaneet palaute'!$A:$K,COLUMN('2.4 Aloittaneet palaute'!J:J),FALSE),1),0)</f>
        <v>569</v>
      </c>
      <c r="T104" s="22">
        <f>IFERROR(Ohj.lask.[[#This Row],[Painotetut pisteet 4]]/Ohj.lask.[[#Totals],[Painotetut pisteet 4]],0)</f>
        <v>4.5701460390568365E-4</v>
      </c>
      <c r="U104" s="25">
        <f>ROUND(IFERROR('1.1 Jakotaulu'!M$16*Ohj.lask.[[#This Row],[%-osuus 4]],0),0)</f>
        <v>5288</v>
      </c>
      <c r="V104" s="235">
        <f>IFERROR(ROUND(VLOOKUP($A104,'2.5 Päättäneet palaute'!$A:$AC,COLUMN('2.5 Päättäneet palaute'!AB:AB),FALSE),1),0)</f>
        <v>5154.5</v>
      </c>
      <c r="W104" s="22">
        <f>IFERROR(Ohj.lask.[[#This Row],[Painotetut pisteet 5]]/Ohj.lask.[[#Totals],[Painotetut pisteet 5]],0)</f>
        <v>7.7837907122682679E-4</v>
      </c>
      <c r="X104" s="19">
        <f>ROUND(IFERROR('1.1 Jakotaulu'!M$17*Ohj.lask.[[#This Row],[%-osuus 5]],0),0)</f>
        <v>27020</v>
      </c>
      <c r="Y104" s="21">
        <f>IFERROR(Ohj.lask.[[#This Row],[Jaettava € 6]]/Ohj.lask.[[#Totals],[Jaettava € 6]],"")</f>
        <v>4.6375912581006267E-4</v>
      </c>
      <c r="Z104" s="25">
        <f>IFERROR(Ohj.lask.[[#This Row],[Jaettava € 1]]+Ohj.lask.[[#This Row],[Jaettava € 2]]+Ohj.lask.[[#This Row],[Jaettava € 3]]+Ohj.lask.[[#This Row],[Jaettava € 4]]+Ohj.lask.[[#This Row],[Jaettava € 5]],"")</f>
        <v>798308</v>
      </c>
      <c r="AA104" s="123">
        <f>0</f>
        <v>0</v>
      </c>
      <c r="AB104" s="19">
        <f>Ohj.lask.[[#This Row],[Jaettava € 1]]+Ohj.lask.[[#This Row],[Jaettava €]]</f>
        <v>484440</v>
      </c>
      <c r="AC104" s="107">
        <f>Ohj.lask.[[#This Row],[Jaettava € 2]]</f>
        <v>204520</v>
      </c>
      <c r="AD104" s="19">
        <f>Ohj.lask.[[#This Row],[Jaettava € 3]]+Ohj.lask.[[#This Row],[Jaettava € 4]]+Ohj.lask.[[#This Row],[Jaettava € 5]]</f>
        <v>109348</v>
      </c>
      <c r="AE104" s="36">
        <f>Ohj.lask.[[#This Row],[Jaettava € 6]]+Ohj.lask.[[#This Row],[Jaettava €]]</f>
        <v>798308</v>
      </c>
      <c r="AF104" s="36">
        <f>IFERROR(VLOOKUP(Ohj.lask.[[#This Row],[Y-tunnus]],'3.1 Alv vahvistettu'!A:Y,COLUMN(C:C),FALSE),0)</f>
        <v>28996.1</v>
      </c>
      <c r="AG104" s="25">
        <f>Ohj.lask.[[#This Row],[Perus-, suoritus- ja vaikuttavuusrahoitus yhteensä, €]]+Ohj.lask.[[#This Row],[Alv-korvaus, €]]</f>
        <v>827304.1</v>
      </c>
    </row>
    <row r="105" spans="1:33" x14ac:dyDescent="0.2">
      <c r="A105" s="131" t="s">
        <v>303</v>
      </c>
      <c r="B105" s="16" t="s">
        <v>109</v>
      </c>
      <c r="C105" s="16" t="s">
        <v>244</v>
      </c>
      <c r="D105" s="16" t="s">
        <v>411</v>
      </c>
      <c r="E105" s="16" t="s">
        <v>474</v>
      </c>
      <c r="F105" s="114">
        <v>890</v>
      </c>
      <c r="G105" s="122">
        <f>0</f>
        <v>0</v>
      </c>
      <c r="H105" s="35">
        <f t="shared" si="6"/>
        <v>890</v>
      </c>
      <c r="I105" s="17">
        <f>IFERROR(VLOOKUP($A105,'2.1 Toteut. op.vuodet'!$A:$Q,COLUMN('2.1 Toteut. op.vuodet'!Q:Q),FALSE),0)</f>
        <v>1.1660982846317722</v>
      </c>
      <c r="J105" s="11">
        <f t="shared" si="7"/>
        <v>1037.8</v>
      </c>
      <c r="K105" s="18">
        <f>IFERROR(Ohj.lask.[[#This Row],[Painotetut opiskelija-vuodet]]/Ohj.lask.[[#Totals],[Painotetut opiskelija-vuodet]],0)</f>
        <v>5.1887872597223489E-3</v>
      </c>
      <c r="L105" s="19">
        <f>ROUND(IFERROR('1.1 Jakotaulu'!L$10*Ohj.lask.[[#This Row],[%-osuus 1]],0),0)</f>
        <v>6049968</v>
      </c>
      <c r="M105" s="211">
        <f>IFERROR(ROUND(VLOOKUP($A105,'2.2 Tutk. ja osien pain. pist.'!$A:$Q,COLUMN('2.2 Tutk. ja osien pain. pist.'!P:P),FALSE),1),0)</f>
        <v>91651.1</v>
      </c>
      <c r="N105" s="18">
        <f>IFERROR(Ohj.lask.[[#This Row],[Painotetut pisteet 2]]/Ohj.lask.[[#Totals],[Painotetut pisteet 2]],0)</f>
        <v>5.8568955148004332E-3</v>
      </c>
      <c r="O105" s="25">
        <f>ROUND(IFERROR('1.1 Jakotaulu'!K$11*Ohj.lask.[[#This Row],[%-osuus 2]],0),0)</f>
        <v>2168674</v>
      </c>
      <c r="P105" s="233">
        <f>IFERROR(ROUND(VLOOKUP($A105,'2.3 Työll. ja jatko-opisk.'!$A:$K,COLUMN('2.3 Työll. ja jatko-opisk.'!I:I),FALSE),1),0)</f>
        <v>876.6</v>
      </c>
      <c r="Q105" s="18">
        <f>IFERROR(Ohj.lask.[[#This Row],[Painotetut pisteet 3]]/Ohj.lask.[[#Totals],[Painotetut pisteet 3]],0)</f>
        <v>4.6275962261282345E-3</v>
      </c>
      <c r="R105" s="19">
        <f>ROUND(IFERROR('1.1 Jakotaulu'!L$13*Ohj.lask.[[#This Row],[%-osuus 3]],0),0)</f>
        <v>642560</v>
      </c>
      <c r="S105" s="211">
        <f>IFERROR(ROUND(VLOOKUP($A105,'2.4 Aloittaneet palaute'!$A:$K,COLUMN('2.4 Aloittaneet palaute'!J:J),FALSE),1),0)</f>
        <v>10112.4</v>
      </c>
      <c r="T105" s="22">
        <f>IFERROR(Ohj.lask.[[#This Row],[Painotetut pisteet 4]]/Ohj.lask.[[#Totals],[Painotetut pisteet 4]],0)</f>
        <v>8.1221695615744036E-3</v>
      </c>
      <c r="U105" s="25">
        <f>ROUND(IFERROR('1.1 Jakotaulu'!M$16*Ohj.lask.[[#This Row],[%-osuus 4]],0),0)</f>
        <v>93983</v>
      </c>
      <c r="V105" s="235">
        <f>IFERROR(ROUND(VLOOKUP($A105,'2.5 Päättäneet palaute'!$A:$AC,COLUMN('2.5 Päättäneet palaute'!AB:AB),FALSE),1),0)</f>
        <v>42879.3</v>
      </c>
      <c r="W105" s="22">
        <f>IFERROR(Ohj.lask.[[#This Row],[Painotetut pisteet 5]]/Ohj.lask.[[#Totals],[Painotetut pisteet 5]],0)</f>
        <v>6.4751866735583427E-3</v>
      </c>
      <c r="X105" s="19">
        <f>ROUND(IFERROR('1.1 Jakotaulu'!M$17*Ohj.lask.[[#This Row],[%-osuus 5]],0),0)</f>
        <v>224776</v>
      </c>
      <c r="Y105" s="21">
        <f>IFERROR(Ohj.lask.[[#This Row],[Jaettava € 6]]/Ohj.lask.[[#Totals],[Jaettava € 6]],"")</f>
        <v>5.3328924278980908E-3</v>
      </c>
      <c r="Z105" s="25">
        <f>IFERROR(Ohj.lask.[[#This Row],[Jaettava € 1]]+Ohj.lask.[[#This Row],[Jaettava € 2]]+Ohj.lask.[[#This Row],[Jaettava € 3]]+Ohj.lask.[[#This Row],[Jaettava € 4]]+Ohj.lask.[[#This Row],[Jaettava € 5]],"")</f>
        <v>9179961</v>
      </c>
      <c r="AA105" s="123">
        <f>0</f>
        <v>0</v>
      </c>
      <c r="AB105" s="19">
        <f>Ohj.lask.[[#This Row],[Jaettava € 1]]+Ohj.lask.[[#This Row],[Jaettava €]]</f>
        <v>6049968</v>
      </c>
      <c r="AC105" s="107">
        <f>Ohj.lask.[[#This Row],[Jaettava € 2]]</f>
        <v>2168674</v>
      </c>
      <c r="AD105" s="19">
        <f>Ohj.lask.[[#This Row],[Jaettava € 3]]+Ohj.lask.[[#This Row],[Jaettava € 4]]+Ohj.lask.[[#This Row],[Jaettava € 5]]</f>
        <v>961319</v>
      </c>
      <c r="AE105" s="36">
        <f>Ohj.lask.[[#This Row],[Jaettava € 6]]+Ohj.lask.[[#This Row],[Jaettava €]]</f>
        <v>9179961</v>
      </c>
      <c r="AF105" s="36">
        <f>IFERROR(VLOOKUP(Ohj.lask.[[#This Row],[Y-tunnus]],'3.1 Alv vahvistettu'!A:Y,COLUMN(C:C),FALSE),0)</f>
        <v>0</v>
      </c>
      <c r="AG105" s="25">
        <f>Ohj.lask.[[#This Row],[Perus-, suoritus- ja vaikuttavuusrahoitus yhteensä, €]]+Ohj.lask.[[#This Row],[Alv-korvaus, €]]</f>
        <v>9179961</v>
      </c>
    </row>
    <row r="106" spans="1:33" x14ac:dyDescent="0.2">
      <c r="A106" s="131" t="s">
        <v>302</v>
      </c>
      <c r="B106" s="16" t="s">
        <v>110</v>
      </c>
      <c r="C106" s="16" t="s">
        <v>244</v>
      </c>
      <c r="D106" s="16" t="s">
        <v>412</v>
      </c>
      <c r="E106" s="16" t="s">
        <v>474</v>
      </c>
      <c r="F106" s="114">
        <v>179</v>
      </c>
      <c r="G106" s="122">
        <f>0</f>
        <v>0</v>
      </c>
      <c r="H106" s="35">
        <f t="shared" si="6"/>
        <v>179</v>
      </c>
      <c r="I106" s="17">
        <f>IFERROR(VLOOKUP($A106,'2.1 Toteut. op.vuodet'!$A:$Q,COLUMN('2.1 Toteut. op.vuodet'!Q:Q),FALSE),0)</f>
        <v>0.84164723696783261</v>
      </c>
      <c r="J106" s="11">
        <f t="shared" si="7"/>
        <v>150.69999999999999</v>
      </c>
      <c r="K106" s="18">
        <f>IFERROR(Ohj.lask.[[#This Row],[Painotetut opiskelija-vuodet]]/Ohj.lask.[[#Totals],[Painotetut opiskelija-vuodet]],0)</f>
        <v>7.5346910776658113E-4</v>
      </c>
      <c r="L106" s="19">
        <f>ROUND(IFERROR('1.1 Jakotaulu'!L$10*Ohj.lask.[[#This Row],[%-osuus 1]],0),0)</f>
        <v>878522</v>
      </c>
      <c r="M106" s="211">
        <f>IFERROR(ROUND(VLOOKUP($A106,'2.2 Tutk. ja osien pain. pist.'!$A:$Q,COLUMN('2.2 Tutk. ja osien pain. pist.'!P:P),FALSE),1),0)</f>
        <v>9090.2000000000007</v>
      </c>
      <c r="N106" s="18">
        <f>IFERROR(Ohj.lask.[[#This Row],[Painotetut pisteet 2]]/Ohj.lask.[[#Totals],[Painotetut pisteet 2]],0)</f>
        <v>5.8090248353417364E-4</v>
      </c>
      <c r="O106" s="25">
        <f>ROUND(IFERROR('1.1 Jakotaulu'!K$11*Ohj.lask.[[#This Row],[%-osuus 2]],0),0)</f>
        <v>215095</v>
      </c>
      <c r="P106" s="233">
        <f>IFERROR(ROUND(VLOOKUP($A106,'2.3 Työll. ja jatko-opisk.'!$A:$K,COLUMN('2.3 Työll. ja jatko-opisk.'!I:I),FALSE),1),0)</f>
        <v>213.3</v>
      </c>
      <c r="Q106" s="18">
        <f>IFERROR(Ohj.lask.[[#This Row],[Painotetut pisteet 3]]/Ohj.lask.[[#Totals],[Painotetut pisteet 3]],0)</f>
        <v>1.1260167408546115E-3</v>
      </c>
      <c r="R106" s="19">
        <f>ROUND(IFERROR('1.1 Jakotaulu'!L$13*Ohj.lask.[[#This Row],[%-osuus 3]],0),0)</f>
        <v>156352</v>
      </c>
      <c r="S106" s="211">
        <f>IFERROR(ROUND(VLOOKUP($A106,'2.4 Aloittaneet palaute'!$A:$K,COLUMN('2.4 Aloittaneet palaute'!J:J),FALSE),1),0)</f>
        <v>1501.5</v>
      </c>
      <c r="T106" s="22">
        <f>IFERROR(Ohj.lask.[[#This Row],[Painotetut pisteet 4]]/Ohj.lask.[[#Totals],[Painotetut pisteet 4]],0)</f>
        <v>1.2059884494980387E-3</v>
      </c>
      <c r="U106" s="25">
        <f>ROUND(IFERROR('1.1 Jakotaulu'!M$16*Ohj.lask.[[#This Row],[%-osuus 4]],0),0)</f>
        <v>13955</v>
      </c>
      <c r="V106" s="235">
        <f>IFERROR(ROUND(VLOOKUP($A106,'2.5 Päättäneet palaute'!$A:$AC,COLUMN('2.5 Päättäneet palaute'!AB:AB),FALSE),1),0)</f>
        <v>59</v>
      </c>
      <c r="W106" s="22">
        <f>IFERROR(Ohj.lask.[[#This Row],[Painotetut pisteet 5]]/Ohj.lask.[[#Totals],[Painotetut pisteet 5]],0)</f>
        <v>8.9095674075822642E-6</v>
      </c>
      <c r="X106" s="19">
        <f>ROUND(IFERROR('1.1 Jakotaulu'!M$17*Ohj.lask.[[#This Row],[%-osuus 5]],0),0)</f>
        <v>309</v>
      </c>
      <c r="Y106" s="21">
        <f>IFERROR(Ohj.lask.[[#This Row],[Jaettava € 6]]/Ohj.lask.[[#Totals],[Jaettava € 6]],"")</f>
        <v>7.3442780342954474E-4</v>
      </c>
      <c r="Z106" s="25">
        <f>IFERROR(Ohj.lask.[[#This Row],[Jaettava € 1]]+Ohj.lask.[[#This Row],[Jaettava € 2]]+Ohj.lask.[[#This Row],[Jaettava € 3]]+Ohj.lask.[[#This Row],[Jaettava € 4]]+Ohj.lask.[[#This Row],[Jaettava € 5]],"")</f>
        <v>1264233</v>
      </c>
      <c r="AA106" s="123">
        <f>0</f>
        <v>0</v>
      </c>
      <c r="AB106" s="19">
        <f>Ohj.lask.[[#This Row],[Jaettava € 1]]+Ohj.lask.[[#This Row],[Jaettava €]]</f>
        <v>878522</v>
      </c>
      <c r="AC106" s="107">
        <f>Ohj.lask.[[#This Row],[Jaettava € 2]]</f>
        <v>215095</v>
      </c>
      <c r="AD106" s="19">
        <f>Ohj.lask.[[#This Row],[Jaettava € 3]]+Ohj.lask.[[#This Row],[Jaettava € 4]]+Ohj.lask.[[#This Row],[Jaettava € 5]]</f>
        <v>170616</v>
      </c>
      <c r="AE106" s="36">
        <f>Ohj.lask.[[#This Row],[Jaettava € 6]]+Ohj.lask.[[#This Row],[Jaettava €]]</f>
        <v>1264233</v>
      </c>
      <c r="AF106" s="36">
        <f>IFERROR(VLOOKUP(Ohj.lask.[[#This Row],[Y-tunnus]],'3.1 Alv vahvistettu'!A:Y,COLUMN(C:C),FALSE),0)</f>
        <v>48274.06</v>
      </c>
      <c r="AG106" s="25">
        <f>Ohj.lask.[[#This Row],[Perus-, suoritus- ja vaikuttavuusrahoitus yhteensä, €]]+Ohj.lask.[[#This Row],[Alv-korvaus, €]]</f>
        <v>1312507.06</v>
      </c>
    </row>
    <row r="107" spans="1:33" x14ac:dyDescent="0.2">
      <c r="A107" s="131" t="s">
        <v>301</v>
      </c>
      <c r="B107" s="16" t="s">
        <v>111</v>
      </c>
      <c r="C107" s="16" t="s">
        <v>252</v>
      </c>
      <c r="D107" s="16" t="s">
        <v>411</v>
      </c>
      <c r="E107" s="16" t="s">
        <v>474</v>
      </c>
      <c r="F107" s="114">
        <v>1630</v>
      </c>
      <c r="G107" s="122">
        <f>0</f>
        <v>0</v>
      </c>
      <c r="H107" s="35">
        <f t="shared" si="6"/>
        <v>1630</v>
      </c>
      <c r="I107" s="17">
        <f>IFERROR(VLOOKUP($A107,'2.1 Toteut. op.vuodet'!$A:$Q,COLUMN('2.1 Toteut. op.vuodet'!Q:Q),FALSE),0)</f>
        <v>0.91357625423392397</v>
      </c>
      <c r="J107" s="11">
        <f t="shared" si="7"/>
        <v>1489.1</v>
      </c>
      <c r="K107" s="18">
        <f>IFERROR(Ohj.lask.[[#This Row],[Painotetut opiskelija-vuodet]]/Ohj.lask.[[#Totals],[Painotetut opiskelija-vuodet]],0)</f>
        <v>7.4451947470153684E-3</v>
      </c>
      <c r="L107" s="19">
        <f>ROUND(IFERROR('1.1 Jakotaulu'!L$10*Ohj.lask.[[#This Row],[%-osuus 1]],0),0)</f>
        <v>8680870</v>
      </c>
      <c r="M107" s="211">
        <f>IFERROR(ROUND(VLOOKUP($A107,'2.2 Tutk. ja osien pain. pist.'!$A:$Q,COLUMN('2.2 Tutk. ja osien pain. pist.'!P:P),FALSE),1),0)</f>
        <v>162060.5</v>
      </c>
      <c r="N107" s="18">
        <f>IFERROR(Ohj.lask.[[#This Row],[Painotetut pisteet 2]]/Ohj.lask.[[#Totals],[Painotetut pisteet 2]],0)</f>
        <v>1.0356355958371645E-2</v>
      </c>
      <c r="O107" s="25">
        <f>ROUND(IFERROR('1.1 Jakotaulu'!K$11*Ohj.lask.[[#This Row],[%-osuus 2]],0),0)</f>
        <v>3834720</v>
      </c>
      <c r="P107" s="233">
        <f>IFERROR(ROUND(VLOOKUP($A107,'2.3 Työll. ja jatko-opisk.'!$A:$K,COLUMN('2.3 Työll. ja jatko-opisk.'!I:I),FALSE),1),0)</f>
        <v>2239.4</v>
      </c>
      <c r="Q107" s="18">
        <f>IFERROR(Ohj.lask.[[#This Row],[Painotetut pisteet 3]]/Ohj.lask.[[#Totals],[Painotetut pisteet 3]],0)</f>
        <v>1.1821856021893187E-2</v>
      </c>
      <c r="R107" s="19">
        <f>ROUND(IFERROR('1.1 Jakotaulu'!L$13*Ohj.lask.[[#This Row],[%-osuus 3]],0),0)</f>
        <v>1641511</v>
      </c>
      <c r="S107" s="211">
        <f>IFERROR(ROUND(VLOOKUP($A107,'2.4 Aloittaneet palaute'!$A:$K,COLUMN('2.4 Aloittaneet palaute'!J:J),FALSE),1),0)</f>
        <v>17254.900000000001</v>
      </c>
      <c r="T107" s="22">
        <f>IFERROR(Ohj.lask.[[#This Row],[Painotetut pisteet 4]]/Ohj.lask.[[#Totals],[Painotetut pisteet 4]],0)</f>
        <v>1.3858947783712093E-2</v>
      </c>
      <c r="U107" s="25">
        <f>ROUND(IFERROR('1.1 Jakotaulu'!M$16*Ohj.lask.[[#This Row],[%-osuus 4]],0),0)</f>
        <v>160364</v>
      </c>
      <c r="V107" s="235">
        <f>IFERROR(ROUND(VLOOKUP($A107,'2.5 Päättäneet palaute'!$A:$AC,COLUMN('2.5 Päättäneet palaute'!AB:AB),FALSE),1),0)</f>
        <v>88561.3</v>
      </c>
      <c r="W107" s="22">
        <f>IFERROR(Ohj.lask.[[#This Row],[Painotetut pisteet 5]]/Ohj.lask.[[#Totals],[Painotetut pisteet 5]],0)</f>
        <v>1.3373608000900258E-2</v>
      </c>
      <c r="X107" s="19">
        <f>ROUND(IFERROR('1.1 Jakotaulu'!M$17*Ohj.lask.[[#This Row],[%-osuus 5]],0),0)</f>
        <v>464244</v>
      </c>
      <c r="Y107" s="21">
        <f>IFERROR(Ohj.lask.[[#This Row],[Jaettava € 6]]/Ohj.lask.[[#Totals],[Jaettava € 6]],"")</f>
        <v>8.5871022760873449E-3</v>
      </c>
      <c r="Z107" s="25">
        <f>IFERROR(Ohj.lask.[[#This Row],[Jaettava € 1]]+Ohj.lask.[[#This Row],[Jaettava € 2]]+Ohj.lask.[[#This Row],[Jaettava € 3]]+Ohj.lask.[[#This Row],[Jaettava € 4]]+Ohj.lask.[[#This Row],[Jaettava € 5]],"")</f>
        <v>14781709</v>
      </c>
      <c r="AA107" s="123">
        <f>0</f>
        <v>0</v>
      </c>
      <c r="AB107" s="19">
        <f>Ohj.lask.[[#This Row],[Jaettava € 1]]+Ohj.lask.[[#This Row],[Jaettava €]]</f>
        <v>8680870</v>
      </c>
      <c r="AC107" s="107">
        <f>Ohj.lask.[[#This Row],[Jaettava € 2]]</f>
        <v>3834720</v>
      </c>
      <c r="AD107" s="19">
        <f>Ohj.lask.[[#This Row],[Jaettava € 3]]+Ohj.lask.[[#This Row],[Jaettava € 4]]+Ohj.lask.[[#This Row],[Jaettava € 5]]</f>
        <v>2266119</v>
      </c>
      <c r="AE107" s="36">
        <f>Ohj.lask.[[#This Row],[Jaettava € 6]]+Ohj.lask.[[#This Row],[Jaettava €]]</f>
        <v>14781709</v>
      </c>
      <c r="AF107" s="36">
        <f>IFERROR(VLOOKUP(Ohj.lask.[[#This Row],[Y-tunnus]],'3.1 Alv vahvistettu'!A:Y,COLUMN(C:C),FALSE),0)</f>
        <v>0</v>
      </c>
      <c r="AG107" s="25">
        <f>Ohj.lask.[[#This Row],[Perus-, suoritus- ja vaikuttavuusrahoitus yhteensä, €]]+Ohj.lask.[[#This Row],[Alv-korvaus, €]]</f>
        <v>14781709</v>
      </c>
    </row>
    <row r="108" spans="1:33" x14ac:dyDescent="0.2">
      <c r="A108" s="131" t="s">
        <v>300</v>
      </c>
      <c r="B108" s="16" t="s">
        <v>112</v>
      </c>
      <c r="C108" s="16" t="s">
        <v>236</v>
      </c>
      <c r="D108" s="16" t="s">
        <v>412</v>
      </c>
      <c r="E108" s="16" t="s">
        <v>474</v>
      </c>
      <c r="F108" s="114">
        <v>67</v>
      </c>
      <c r="G108" s="122">
        <f>0</f>
        <v>0</v>
      </c>
      <c r="H108" s="35">
        <f t="shared" si="6"/>
        <v>67</v>
      </c>
      <c r="I108" s="17">
        <f>IFERROR(VLOOKUP($A108,'2.1 Toteut. op.vuodet'!$A:$Q,COLUMN('2.1 Toteut. op.vuodet'!Q:Q),FALSE),0)</f>
        <v>0.79032327407401426</v>
      </c>
      <c r="J108" s="11">
        <f t="shared" si="7"/>
        <v>53</v>
      </c>
      <c r="K108" s="18">
        <f>IFERROR(Ohj.lask.[[#This Row],[Painotetut opiskelija-vuodet]]/Ohj.lask.[[#Totals],[Painotetut opiskelija-vuodet]],0)</f>
        <v>2.6498913544544661E-4</v>
      </c>
      <c r="L108" s="19">
        <f>ROUND(IFERROR('1.1 Jakotaulu'!L$10*Ohj.lask.[[#This Row],[%-osuus 1]],0),0)</f>
        <v>308969</v>
      </c>
      <c r="M108" s="211">
        <f>IFERROR(ROUND(VLOOKUP($A108,'2.2 Tutk. ja osien pain. pist.'!$A:$Q,COLUMN('2.2 Tutk. ja osien pain. pist.'!P:P),FALSE),1),0)</f>
        <v>8471.6</v>
      </c>
      <c r="N108" s="18">
        <f>IFERROR(Ohj.lask.[[#This Row],[Painotetut pisteet 2]]/Ohj.lask.[[#Totals],[Painotetut pisteet 2]],0)</f>
        <v>5.4137130970804872E-4</v>
      </c>
      <c r="O108" s="25">
        <f>ROUND(IFERROR('1.1 Jakotaulu'!K$11*Ohj.lask.[[#This Row],[%-osuus 2]],0),0)</f>
        <v>200457</v>
      </c>
      <c r="P108" s="233">
        <f>IFERROR(ROUND(VLOOKUP($A108,'2.3 Työll. ja jatko-opisk.'!$A:$K,COLUMN('2.3 Työll. ja jatko-opisk.'!I:I),FALSE),1),0)</f>
        <v>112.8</v>
      </c>
      <c r="Q108" s="18">
        <f>IFERROR(Ohj.lask.[[#This Row],[Painotetut pisteet 3]]/Ohj.lask.[[#Totals],[Painotetut pisteet 3]],0)</f>
        <v>5.9547439460103221E-4</v>
      </c>
      <c r="R108" s="19">
        <f>ROUND(IFERROR('1.1 Jakotaulu'!L$13*Ohj.lask.[[#This Row],[%-osuus 3]],0),0)</f>
        <v>82684</v>
      </c>
      <c r="S108" s="211">
        <f>IFERROR(ROUND(VLOOKUP($A108,'2.4 Aloittaneet palaute'!$A:$K,COLUMN('2.4 Aloittaneet palaute'!J:J),FALSE),1),0)</f>
        <v>1241.3</v>
      </c>
      <c r="T108" s="22">
        <f>IFERROR(Ohj.lask.[[#This Row],[Painotetut pisteet 4]]/Ohj.lask.[[#Totals],[Painotetut pisteet 4]],0)</f>
        <v>9.9699864293167862E-4</v>
      </c>
      <c r="U108" s="25">
        <f>ROUND(IFERROR('1.1 Jakotaulu'!M$16*Ohj.lask.[[#This Row],[%-osuus 4]],0),0)</f>
        <v>11536</v>
      </c>
      <c r="V108" s="235">
        <f>IFERROR(ROUND(VLOOKUP($A108,'2.5 Päättäneet palaute'!$A:$AC,COLUMN('2.5 Päättäneet palaute'!AB:AB),FALSE),1),0)</f>
        <v>5904.1</v>
      </c>
      <c r="W108" s="22">
        <f>IFERROR(Ohj.lask.[[#This Row],[Painotetut pisteet 5]]/Ohj.lask.[[#Totals],[Painotetut pisteet 5]],0)</f>
        <v>8.9157588018824491E-4</v>
      </c>
      <c r="X108" s="19">
        <f>ROUND(IFERROR('1.1 Jakotaulu'!M$17*Ohj.lask.[[#This Row],[%-osuus 5]],0),0)</f>
        <v>30950</v>
      </c>
      <c r="Y108" s="21">
        <f>IFERROR(Ohj.lask.[[#This Row],[Jaettava € 6]]/Ohj.lask.[[#Totals],[Jaettava € 6]],"")</f>
        <v>3.6865431162228429E-4</v>
      </c>
      <c r="Z108" s="25">
        <f>IFERROR(Ohj.lask.[[#This Row],[Jaettava € 1]]+Ohj.lask.[[#This Row],[Jaettava € 2]]+Ohj.lask.[[#This Row],[Jaettava € 3]]+Ohj.lask.[[#This Row],[Jaettava € 4]]+Ohj.lask.[[#This Row],[Jaettava € 5]],"")</f>
        <v>634596</v>
      </c>
      <c r="AA108" s="123">
        <f>0</f>
        <v>0</v>
      </c>
      <c r="AB108" s="19">
        <f>Ohj.lask.[[#This Row],[Jaettava € 1]]+Ohj.lask.[[#This Row],[Jaettava €]]</f>
        <v>308969</v>
      </c>
      <c r="AC108" s="107">
        <f>Ohj.lask.[[#This Row],[Jaettava € 2]]</f>
        <v>200457</v>
      </c>
      <c r="AD108" s="19">
        <f>Ohj.lask.[[#This Row],[Jaettava € 3]]+Ohj.lask.[[#This Row],[Jaettava € 4]]+Ohj.lask.[[#This Row],[Jaettava € 5]]</f>
        <v>125170</v>
      </c>
      <c r="AE108" s="36">
        <f>Ohj.lask.[[#This Row],[Jaettava € 6]]+Ohj.lask.[[#This Row],[Jaettava €]]</f>
        <v>634596</v>
      </c>
      <c r="AF108" s="36">
        <f>IFERROR(VLOOKUP(Ohj.lask.[[#This Row],[Y-tunnus]],'3.1 Alv vahvistettu'!A:Y,COLUMN(C:C),FALSE),0)</f>
        <v>155495.20000000001</v>
      </c>
      <c r="AG108" s="25">
        <f>Ohj.lask.[[#This Row],[Perus-, suoritus- ja vaikuttavuusrahoitus yhteensä, €]]+Ohj.lask.[[#This Row],[Alv-korvaus, €]]</f>
        <v>790091.2</v>
      </c>
    </row>
    <row r="109" spans="1:33" x14ac:dyDescent="0.2">
      <c r="A109" s="131" t="s">
        <v>299</v>
      </c>
      <c r="B109" s="16" t="s">
        <v>114</v>
      </c>
      <c r="C109" s="98" t="s">
        <v>244</v>
      </c>
      <c r="D109" s="98" t="s">
        <v>412</v>
      </c>
      <c r="E109" s="98" t="s">
        <v>474</v>
      </c>
      <c r="F109" s="113">
        <v>30</v>
      </c>
      <c r="G109" s="122">
        <f>0</f>
        <v>0</v>
      </c>
      <c r="H109" s="35">
        <f t="shared" si="6"/>
        <v>30</v>
      </c>
      <c r="I109" s="17">
        <f>IFERROR(VLOOKUP($A109,'2.1 Toteut. op.vuodet'!$A:$Q,COLUMN('2.1 Toteut. op.vuodet'!Q:Q),FALSE),0)</f>
        <v>0.81638377817221841</v>
      </c>
      <c r="J109" s="11">
        <f t="shared" si="7"/>
        <v>24.5</v>
      </c>
      <c r="K109" s="18">
        <f>IFERROR(Ohj.lask.[[#This Row],[Painotetut opiskelija-vuodet]]/Ohj.lask.[[#Totals],[Painotetut opiskelija-vuodet]],0)</f>
        <v>1.2249497770591399E-4</v>
      </c>
      <c r="L109" s="19">
        <f>ROUND(IFERROR('1.1 Jakotaulu'!L$10*Ohj.lask.[[#This Row],[%-osuus 1]],0),0)</f>
        <v>142825</v>
      </c>
      <c r="M109" s="211">
        <f>IFERROR(ROUND(VLOOKUP($A109,'2.2 Tutk. ja osien pain. pist.'!$A:$Q,COLUMN('2.2 Tutk. ja osien pain. pist.'!P:P),FALSE),1),0)</f>
        <v>2830.2</v>
      </c>
      <c r="N109" s="18">
        <f>IFERROR(Ohj.lask.[[#This Row],[Painotetut pisteet 2]]/Ohj.lask.[[#Totals],[Painotetut pisteet 2]],0)</f>
        <v>1.808618302015817E-4</v>
      </c>
      <c r="O109" s="25">
        <f>ROUND(IFERROR('1.1 Jakotaulu'!K$11*Ohj.lask.[[#This Row],[%-osuus 2]],0),0)</f>
        <v>66969</v>
      </c>
      <c r="P109" s="233">
        <f>IFERROR(ROUND(VLOOKUP($A109,'2.3 Työll. ja jatko-opisk.'!$A:$K,COLUMN('2.3 Työll. ja jatko-opisk.'!I:I),FALSE),1),0)</f>
        <v>67.3</v>
      </c>
      <c r="Q109" s="22">
        <f>IFERROR(Ohj.lask.[[#This Row],[Painotetut pisteet 3]]/Ohj.lask.[[#Totals],[Painotetut pisteet 3]],0)</f>
        <v>3.5527860599866547E-4</v>
      </c>
      <c r="R109" s="19">
        <f>ROUND(IFERROR('1.1 Jakotaulu'!L$13*Ohj.lask.[[#This Row],[%-osuus 3]],0),0)</f>
        <v>49332</v>
      </c>
      <c r="S109" s="211">
        <f>IFERROR(ROUND(VLOOKUP($A109,'2.4 Aloittaneet palaute'!$A:$K,COLUMN('2.4 Aloittaneet palaute'!J:J),FALSE),1),0)</f>
        <v>228.7</v>
      </c>
      <c r="T109" s="22">
        <f>IFERROR(Ohj.lask.[[#This Row],[Painotetut pisteet 4]]/Ohj.lask.[[#Totals],[Painotetut pisteet 4]],0)</f>
        <v>1.8368934958388374E-4</v>
      </c>
      <c r="U109" s="25">
        <f>ROUND(IFERROR('1.1 Jakotaulu'!M$16*Ohj.lask.[[#This Row],[%-osuus 4]],0),0)</f>
        <v>2125</v>
      </c>
      <c r="V109" s="235">
        <f>IFERROR(ROUND(VLOOKUP($A109,'2.5 Päättäneet palaute'!$A:$AC,COLUMN('2.5 Päättäneet palaute'!AB:AB),FALSE),1),0)</f>
        <v>3030.6</v>
      </c>
      <c r="W109" s="22">
        <f>IFERROR(Ohj.lask.[[#This Row],[Painotetut pisteet 5]]/Ohj.lask.[[#Totals],[Painotetut pisteet 5]],0)</f>
        <v>4.5764974551557302E-4</v>
      </c>
      <c r="X109" s="19">
        <f>ROUND(IFERROR('1.1 Jakotaulu'!M$17*Ohj.lask.[[#This Row],[%-osuus 5]],0),0)</f>
        <v>15887</v>
      </c>
      <c r="Y109" s="21">
        <f>IFERROR(Ohj.lask.[[#This Row],[Jaettava € 6]]/Ohj.lask.[[#Totals],[Jaettava € 6]],"")</f>
        <v>1.609971046372442E-4</v>
      </c>
      <c r="Z109" s="25">
        <f>IFERROR(Ohj.lask.[[#This Row],[Jaettava € 1]]+Ohj.lask.[[#This Row],[Jaettava € 2]]+Ohj.lask.[[#This Row],[Jaettava € 3]]+Ohj.lask.[[#This Row],[Jaettava € 4]]+Ohj.lask.[[#This Row],[Jaettava € 5]],"")</f>
        <v>277138</v>
      </c>
      <c r="AA109" s="123">
        <f>0</f>
        <v>0</v>
      </c>
      <c r="AB109" s="19">
        <f>Ohj.lask.[[#This Row],[Jaettava € 1]]+Ohj.lask.[[#This Row],[Jaettava €]]</f>
        <v>142825</v>
      </c>
      <c r="AC109" s="107">
        <f>Ohj.lask.[[#This Row],[Jaettava € 2]]</f>
        <v>66969</v>
      </c>
      <c r="AD109" s="19">
        <f>Ohj.lask.[[#This Row],[Jaettava € 3]]+Ohj.lask.[[#This Row],[Jaettava € 4]]+Ohj.lask.[[#This Row],[Jaettava € 5]]</f>
        <v>67344</v>
      </c>
      <c r="AE109" s="36">
        <f>Ohj.lask.[[#This Row],[Jaettava € 6]]+Ohj.lask.[[#This Row],[Jaettava €]]</f>
        <v>277138</v>
      </c>
      <c r="AF109" s="36">
        <f>IFERROR(VLOOKUP(Ohj.lask.[[#This Row],[Y-tunnus]],'3.1 Alv vahvistettu'!A:Y,COLUMN(C:C),FALSE),0)</f>
        <v>7726.41</v>
      </c>
      <c r="AG109" s="25">
        <f>Ohj.lask.[[#This Row],[Perus-, suoritus- ja vaikuttavuusrahoitus yhteensä, €]]+Ohj.lask.[[#This Row],[Alv-korvaus, €]]</f>
        <v>284864.40999999997</v>
      </c>
    </row>
    <row r="110" spans="1:33" x14ac:dyDescent="0.2">
      <c r="A110" s="131" t="s">
        <v>296</v>
      </c>
      <c r="B110" s="16" t="s">
        <v>115</v>
      </c>
      <c r="C110" s="16" t="s">
        <v>294</v>
      </c>
      <c r="D110" s="16" t="s">
        <v>412</v>
      </c>
      <c r="E110" s="16" t="s">
        <v>474</v>
      </c>
      <c r="F110" s="114">
        <v>50</v>
      </c>
      <c r="G110" s="122">
        <f>0</f>
        <v>0</v>
      </c>
      <c r="H110" s="35">
        <f t="shared" si="6"/>
        <v>50</v>
      </c>
      <c r="I110" s="17">
        <f>IFERROR(VLOOKUP($A110,'2.1 Toteut. op.vuodet'!$A:$Q,COLUMN('2.1 Toteut. op.vuodet'!Q:Q),FALSE),0)</f>
        <v>0.92757199784064714</v>
      </c>
      <c r="J110" s="11">
        <f t="shared" si="7"/>
        <v>46.4</v>
      </c>
      <c r="K110" s="18">
        <f>IFERROR(Ohj.lask.[[#This Row],[Painotetut opiskelija-vuodet]]/Ohj.lask.[[#Totals],[Painotetut opiskelija-vuodet]],0)</f>
        <v>2.319904883899759E-4</v>
      </c>
      <c r="L110" s="19">
        <f>ROUND(IFERROR('1.1 Jakotaulu'!L$10*Ohj.lask.[[#This Row],[%-osuus 1]],0),0)</f>
        <v>270494</v>
      </c>
      <c r="M110" s="211">
        <f>IFERROR(ROUND(VLOOKUP($A110,'2.2 Tutk. ja osien pain. pist.'!$A:$Q,COLUMN('2.2 Tutk. ja osien pain. pist.'!P:P),FALSE),1),0)</f>
        <v>3511.5</v>
      </c>
      <c r="N110" s="18">
        <f>IFERROR(Ohj.lask.[[#This Row],[Painotetut pisteet 2]]/Ohj.lask.[[#Totals],[Painotetut pisteet 2]],0)</f>
        <v>2.2439980098680452E-4</v>
      </c>
      <c r="O110" s="25">
        <f>ROUND(IFERROR('1.1 Jakotaulu'!K$11*Ohj.lask.[[#This Row],[%-osuus 2]],0),0)</f>
        <v>83090</v>
      </c>
      <c r="P110" s="233">
        <f>IFERROR(ROUND(VLOOKUP($A110,'2.3 Työll. ja jatko-opisk.'!$A:$K,COLUMN('2.3 Työll. ja jatko-opisk.'!I:I),FALSE),1),0)</f>
        <v>70</v>
      </c>
      <c r="Q110" s="18">
        <f>IFERROR(Ohj.lask.[[#This Row],[Painotetut pisteet 3]]/Ohj.lask.[[#Totals],[Painotetut pisteet 3]],0)</f>
        <v>3.6953198246517956E-4</v>
      </c>
      <c r="R110" s="19">
        <f>ROUND(IFERROR('1.1 Jakotaulu'!L$13*Ohj.lask.[[#This Row],[%-osuus 3]],0),0)</f>
        <v>51311</v>
      </c>
      <c r="S110" s="211">
        <f>IFERROR(ROUND(VLOOKUP($A110,'2.4 Aloittaneet palaute'!$A:$K,COLUMN('2.4 Aloittaneet palaute'!J:J),FALSE),1),0)</f>
        <v>616.9</v>
      </c>
      <c r="T110" s="22">
        <f>IFERROR(Ohj.lask.[[#This Row],[Painotetut pisteet 4]]/Ohj.lask.[[#Totals],[Painotetut pisteet 4]],0)</f>
        <v>4.9548736230125873E-4</v>
      </c>
      <c r="U110" s="25">
        <f>ROUND(IFERROR('1.1 Jakotaulu'!M$16*Ohj.lask.[[#This Row],[%-osuus 4]],0),0)</f>
        <v>5733</v>
      </c>
      <c r="V110" s="235">
        <f>IFERROR(ROUND(VLOOKUP($A110,'2.5 Päättäneet palaute'!$A:$AC,COLUMN('2.5 Päättäneet palaute'!AB:AB),FALSE),1),0)</f>
        <v>2981.9</v>
      </c>
      <c r="W110" s="22">
        <f>IFERROR(Ohj.lask.[[#This Row],[Painotetut pisteet 5]]/Ohj.lask.[[#Totals],[Painotetut pisteet 5]],0)</f>
        <v>4.5029557716389076E-4</v>
      </c>
      <c r="X110" s="19">
        <f>ROUND(IFERROR('1.1 Jakotaulu'!M$17*Ohj.lask.[[#This Row],[%-osuus 5]],0),0)</f>
        <v>15631</v>
      </c>
      <c r="Y110" s="21">
        <f>IFERROR(Ohj.lask.[[#This Row],[Jaettava € 6]]/Ohj.lask.[[#Totals],[Jaettava € 6]],"")</f>
        <v>2.4762560466470526E-4</v>
      </c>
      <c r="Z110" s="25">
        <f>IFERROR(Ohj.lask.[[#This Row],[Jaettava € 1]]+Ohj.lask.[[#This Row],[Jaettava € 2]]+Ohj.lask.[[#This Row],[Jaettava € 3]]+Ohj.lask.[[#This Row],[Jaettava € 4]]+Ohj.lask.[[#This Row],[Jaettava € 5]],"")</f>
        <v>426259</v>
      </c>
      <c r="AA110" s="123">
        <f>0</f>
        <v>0</v>
      </c>
      <c r="AB110" s="19">
        <f>Ohj.lask.[[#This Row],[Jaettava € 1]]+Ohj.lask.[[#This Row],[Jaettava €]]</f>
        <v>270494</v>
      </c>
      <c r="AC110" s="107">
        <f>Ohj.lask.[[#This Row],[Jaettava € 2]]</f>
        <v>83090</v>
      </c>
      <c r="AD110" s="19">
        <f>Ohj.lask.[[#This Row],[Jaettava € 3]]+Ohj.lask.[[#This Row],[Jaettava € 4]]+Ohj.lask.[[#This Row],[Jaettava € 5]]</f>
        <v>72675</v>
      </c>
      <c r="AE110" s="36">
        <f>Ohj.lask.[[#This Row],[Jaettava € 6]]+Ohj.lask.[[#This Row],[Jaettava €]]</f>
        <v>426259</v>
      </c>
      <c r="AF110" s="36">
        <f>IFERROR(VLOOKUP(Ohj.lask.[[#This Row],[Y-tunnus]],'3.1 Alv vahvistettu'!A:Y,COLUMN(C:C),FALSE),0)</f>
        <v>25977</v>
      </c>
      <c r="AG110" s="25">
        <f>Ohj.lask.[[#This Row],[Perus-, suoritus- ja vaikuttavuusrahoitus yhteensä, €]]+Ohj.lask.[[#This Row],[Alv-korvaus, €]]</f>
        <v>452236</v>
      </c>
    </row>
    <row r="111" spans="1:33" x14ac:dyDescent="0.2">
      <c r="A111" s="131" t="s">
        <v>295</v>
      </c>
      <c r="B111" s="16" t="s">
        <v>116</v>
      </c>
      <c r="C111" s="16" t="s">
        <v>294</v>
      </c>
      <c r="D111" s="16" t="s">
        <v>411</v>
      </c>
      <c r="E111" s="16" t="s">
        <v>474</v>
      </c>
      <c r="F111" s="114">
        <v>3139</v>
      </c>
      <c r="G111" s="122">
        <f>0</f>
        <v>0</v>
      </c>
      <c r="H111" s="35">
        <f t="shared" si="6"/>
        <v>3139</v>
      </c>
      <c r="I111" s="17">
        <f>IFERROR(VLOOKUP($A111,'2.1 Toteut. op.vuodet'!$A:$Q,COLUMN('2.1 Toteut. op.vuodet'!Q:Q),FALSE),0)</f>
        <v>1.1467646175396444</v>
      </c>
      <c r="J111" s="11">
        <f t="shared" si="7"/>
        <v>3599.7</v>
      </c>
      <c r="K111" s="18">
        <f>IFERROR(Ohj.lask.[[#This Row],[Painotetut opiskelija-vuodet]]/Ohj.lask.[[#Totals],[Painotetut opiskelija-vuodet]],0)</f>
        <v>1.799776209175423E-2</v>
      </c>
      <c r="L111" s="19">
        <f>ROUND(IFERROR('1.1 Jakotaulu'!L$10*Ohj.lask.[[#This Row],[%-osuus 1]],0),0)</f>
        <v>20984842</v>
      </c>
      <c r="M111" s="211">
        <f>IFERROR(ROUND(VLOOKUP($A111,'2.2 Tutk. ja osien pain. pist.'!$A:$Q,COLUMN('2.2 Tutk. ja osien pain. pist.'!P:P),FALSE),1),0)</f>
        <v>283077.59999999998</v>
      </c>
      <c r="N111" s="18">
        <f>IFERROR(Ohj.lask.[[#This Row],[Painotetut pisteet 2]]/Ohj.lask.[[#Totals],[Painotetut pisteet 2]],0)</f>
        <v>1.8089863905402889E-2</v>
      </c>
      <c r="O111" s="25">
        <f>ROUND(IFERROR('1.1 Jakotaulu'!K$11*Ohj.lask.[[#This Row],[%-osuus 2]],0),0)</f>
        <v>6698261</v>
      </c>
      <c r="P111" s="233">
        <f>IFERROR(ROUND(VLOOKUP($A111,'2.3 Työll. ja jatko-opisk.'!$A:$K,COLUMN('2.3 Työll. ja jatko-opisk.'!I:I),FALSE),1),0)</f>
        <v>3988.4</v>
      </c>
      <c r="Q111" s="18">
        <f>IFERROR(Ohj.lask.[[#This Row],[Painotetut pisteet 3]]/Ohj.lask.[[#Totals],[Painotetut pisteet 3]],0)</f>
        <v>2.1054876555201746E-2</v>
      </c>
      <c r="R111" s="19">
        <f>ROUND(IFERROR('1.1 Jakotaulu'!L$13*Ohj.lask.[[#This Row],[%-osuus 3]],0),0)</f>
        <v>2923551</v>
      </c>
      <c r="S111" s="211">
        <f>IFERROR(ROUND(VLOOKUP($A111,'2.4 Aloittaneet palaute'!$A:$K,COLUMN('2.4 Aloittaneet palaute'!J:J),FALSE),1),0)</f>
        <v>21607.3</v>
      </c>
      <c r="T111" s="22">
        <f>IFERROR(Ohj.lask.[[#This Row],[Painotetut pisteet 4]]/Ohj.lask.[[#Totals],[Painotetut pisteet 4]],0)</f>
        <v>1.7354748068490824E-2</v>
      </c>
      <c r="U111" s="25">
        <f>ROUND(IFERROR('1.1 Jakotaulu'!M$16*Ohj.lask.[[#This Row],[%-osuus 4]],0),0)</f>
        <v>200814</v>
      </c>
      <c r="V111" s="235">
        <f>IFERROR(ROUND(VLOOKUP($A111,'2.5 Päättäneet palaute'!$A:$AC,COLUMN('2.5 Päättäneet palaute'!AB:AB),FALSE),1),0)</f>
        <v>134708.79999999999</v>
      </c>
      <c r="W111" s="22">
        <f>IFERROR(Ohj.lask.[[#This Row],[Painotetut pisteet 5]]/Ohj.lask.[[#Totals],[Painotetut pisteet 5]],0)</f>
        <v>2.0342324304991825E-2</v>
      </c>
      <c r="X111" s="19">
        <f>ROUND(IFERROR('1.1 Jakotaulu'!M$17*Ohj.lask.[[#This Row],[%-osuus 5]],0),0)</f>
        <v>706153</v>
      </c>
      <c r="Y111" s="21">
        <f>IFERROR(Ohj.lask.[[#This Row],[Jaettava € 6]]/Ohj.lask.[[#Totals],[Jaettava € 6]],"")</f>
        <v>1.830713124015998E-2</v>
      </c>
      <c r="Z111" s="25">
        <f>IFERROR(Ohj.lask.[[#This Row],[Jaettava € 1]]+Ohj.lask.[[#This Row],[Jaettava € 2]]+Ohj.lask.[[#This Row],[Jaettava € 3]]+Ohj.lask.[[#This Row],[Jaettava € 4]]+Ohj.lask.[[#This Row],[Jaettava € 5]],"")</f>
        <v>31513621</v>
      </c>
      <c r="AA111" s="123">
        <f>0</f>
        <v>0</v>
      </c>
      <c r="AB111" s="19">
        <f>Ohj.lask.[[#This Row],[Jaettava € 1]]+Ohj.lask.[[#This Row],[Jaettava €]]</f>
        <v>20984842</v>
      </c>
      <c r="AC111" s="107">
        <f>Ohj.lask.[[#This Row],[Jaettava € 2]]</f>
        <v>6698261</v>
      </c>
      <c r="AD111" s="19">
        <f>Ohj.lask.[[#This Row],[Jaettava € 3]]+Ohj.lask.[[#This Row],[Jaettava € 4]]+Ohj.lask.[[#This Row],[Jaettava € 5]]</f>
        <v>3830518</v>
      </c>
      <c r="AE111" s="36">
        <f>Ohj.lask.[[#This Row],[Jaettava € 6]]+Ohj.lask.[[#This Row],[Jaettava €]]</f>
        <v>31513621</v>
      </c>
      <c r="AF111" s="36">
        <f>IFERROR(VLOOKUP(Ohj.lask.[[#This Row],[Y-tunnus]],'3.1 Alv vahvistettu'!A:Y,COLUMN(C:C),FALSE),0)</f>
        <v>0</v>
      </c>
      <c r="AG111" s="25">
        <f>Ohj.lask.[[#This Row],[Perus-, suoritus- ja vaikuttavuusrahoitus yhteensä, €]]+Ohj.lask.[[#This Row],[Alv-korvaus, €]]</f>
        <v>31513621</v>
      </c>
    </row>
    <row r="112" spans="1:33" x14ac:dyDescent="0.2">
      <c r="A112" s="131" t="s">
        <v>293</v>
      </c>
      <c r="B112" s="16" t="s">
        <v>117</v>
      </c>
      <c r="C112" s="16" t="s">
        <v>252</v>
      </c>
      <c r="D112" s="16" t="s">
        <v>411</v>
      </c>
      <c r="E112" s="16" t="s">
        <v>474</v>
      </c>
      <c r="F112" s="114">
        <v>1889</v>
      </c>
      <c r="G112" s="122">
        <f>0</f>
        <v>0</v>
      </c>
      <c r="H112" s="35">
        <f t="shared" si="6"/>
        <v>1889</v>
      </c>
      <c r="I112" s="17">
        <f>IFERROR(VLOOKUP($A112,'2.1 Toteut. op.vuodet'!$A:$Q,COLUMN('2.1 Toteut. op.vuodet'!Q:Q),FALSE),0)</f>
        <v>1.06932438614792</v>
      </c>
      <c r="J112" s="11">
        <f t="shared" si="7"/>
        <v>2020</v>
      </c>
      <c r="K112" s="18">
        <f>IFERROR(Ohj.lask.[[#This Row],[Painotetut opiskelija-vuodet]]/Ohj.lask.[[#Totals],[Painotetut opiskelija-vuodet]],0)</f>
        <v>1.00995859169774E-2</v>
      </c>
      <c r="L112" s="19">
        <f>ROUND(IFERROR('1.1 Jakotaulu'!L$10*Ohj.lask.[[#This Row],[%-osuus 1]],0),0)</f>
        <v>11775809</v>
      </c>
      <c r="M112" s="211">
        <f>IFERROR(ROUND(VLOOKUP($A112,'2.2 Tutk. ja osien pain. pist.'!$A:$Q,COLUMN('2.2 Tutk. ja osien pain. pist.'!P:P),FALSE),1),0)</f>
        <v>190477.8</v>
      </c>
      <c r="N112" s="18">
        <f>IFERROR(Ohj.lask.[[#This Row],[Painotetut pisteet 2]]/Ohj.lask.[[#Totals],[Painotetut pisteet 2]],0)</f>
        <v>1.2172342421302678E-2</v>
      </c>
      <c r="O112" s="25">
        <f>ROUND(IFERROR('1.1 Jakotaulu'!K$11*Ohj.lask.[[#This Row],[%-osuus 2]],0),0)</f>
        <v>4507138</v>
      </c>
      <c r="P112" s="233">
        <f>IFERROR(ROUND(VLOOKUP($A112,'2.3 Työll. ja jatko-opisk.'!$A:$K,COLUMN('2.3 Työll. ja jatko-opisk.'!I:I),FALSE),1),0)</f>
        <v>2086.6999999999998</v>
      </c>
      <c r="Q112" s="18">
        <f>IFERROR(Ohj.lask.[[#This Row],[Painotetut pisteet 3]]/Ohj.lask.[[#Totals],[Painotetut pisteet 3]],0)</f>
        <v>1.1015748397287001E-2</v>
      </c>
      <c r="R112" s="19">
        <f>ROUND(IFERROR('1.1 Jakotaulu'!L$13*Ohj.lask.[[#This Row],[%-osuus 3]],0),0)</f>
        <v>1529579</v>
      </c>
      <c r="S112" s="211">
        <f>IFERROR(ROUND(VLOOKUP($A112,'2.4 Aloittaneet palaute'!$A:$K,COLUMN('2.4 Aloittaneet palaute'!J:J),FALSE),1),0)</f>
        <v>7978.6</v>
      </c>
      <c r="T112" s="22">
        <f>IFERROR(Ohj.lask.[[#This Row],[Painotetut pisteet 4]]/Ohj.lask.[[#Totals],[Painotetut pisteet 4]],0)</f>
        <v>6.4083246374725617E-3</v>
      </c>
      <c r="U112" s="25">
        <f>ROUND(IFERROR('1.1 Jakotaulu'!M$16*Ohj.lask.[[#This Row],[%-osuus 4]],0),0)</f>
        <v>74152</v>
      </c>
      <c r="V112" s="235">
        <f>IFERROR(ROUND(VLOOKUP($A112,'2.5 Päättäneet palaute'!$A:$AC,COLUMN('2.5 Päättäneet palaute'!AB:AB),FALSE),1),0)</f>
        <v>52433.7</v>
      </c>
      <c r="W112" s="22">
        <f>IFERROR(Ohj.lask.[[#This Row],[Painotetut pisteet 5]]/Ohj.lask.[[#Totals],[Painotetut pisteet 5]],0)</f>
        <v>7.9179929589651889E-3</v>
      </c>
      <c r="X112" s="19">
        <f>ROUND(IFERROR('1.1 Jakotaulu'!M$17*Ohj.lask.[[#This Row],[%-osuus 5]],0),0)</f>
        <v>274861</v>
      </c>
      <c r="Y112" s="21">
        <f>IFERROR(Ohj.lask.[[#This Row],[Jaettava € 6]]/Ohj.lask.[[#Totals],[Jaettava € 6]],"")</f>
        <v>1.0550538701861137E-2</v>
      </c>
      <c r="Z112" s="25">
        <f>IFERROR(Ohj.lask.[[#This Row],[Jaettava € 1]]+Ohj.lask.[[#This Row],[Jaettava € 2]]+Ohj.lask.[[#This Row],[Jaettava € 3]]+Ohj.lask.[[#This Row],[Jaettava € 4]]+Ohj.lask.[[#This Row],[Jaettava € 5]],"")</f>
        <v>18161539</v>
      </c>
      <c r="AA112" s="123">
        <f>0</f>
        <v>0</v>
      </c>
      <c r="AB112" s="19">
        <f>Ohj.lask.[[#This Row],[Jaettava € 1]]+Ohj.lask.[[#This Row],[Jaettava €]]</f>
        <v>11775809</v>
      </c>
      <c r="AC112" s="107">
        <f>Ohj.lask.[[#This Row],[Jaettava € 2]]</f>
        <v>4507138</v>
      </c>
      <c r="AD112" s="19">
        <f>Ohj.lask.[[#This Row],[Jaettava € 3]]+Ohj.lask.[[#This Row],[Jaettava € 4]]+Ohj.lask.[[#This Row],[Jaettava € 5]]</f>
        <v>1878592</v>
      </c>
      <c r="AE112" s="36">
        <f>Ohj.lask.[[#This Row],[Jaettava € 6]]+Ohj.lask.[[#This Row],[Jaettava €]]</f>
        <v>18161539</v>
      </c>
      <c r="AF112" s="36">
        <f>IFERROR(VLOOKUP(Ohj.lask.[[#This Row],[Y-tunnus]],'3.1 Alv vahvistettu'!A:Y,COLUMN(C:C),FALSE),0)</f>
        <v>0</v>
      </c>
      <c r="AG112" s="25">
        <f>Ohj.lask.[[#This Row],[Perus-, suoritus- ja vaikuttavuusrahoitus yhteensä, €]]+Ohj.lask.[[#This Row],[Alv-korvaus, €]]</f>
        <v>18161539</v>
      </c>
    </row>
    <row r="113" spans="1:33" x14ac:dyDescent="0.2">
      <c r="A113" s="131" t="s">
        <v>292</v>
      </c>
      <c r="B113" s="16" t="s">
        <v>213</v>
      </c>
      <c r="C113" s="16" t="s">
        <v>236</v>
      </c>
      <c r="D113" s="16" t="s">
        <v>412</v>
      </c>
      <c r="E113" s="16" t="s">
        <v>474</v>
      </c>
      <c r="F113" s="114">
        <v>0</v>
      </c>
      <c r="G113" s="122">
        <f>0</f>
        <v>0</v>
      </c>
      <c r="H113" s="35">
        <f t="shared" si="6"/>
        <v>0</v>
      </c>
      <c r="I113" s="17">
        <f>IFERROR(VLOOKUP($A113,'2.1 Toteut. op.vuodet'!$A:$Q,COLUMN('2.1 Toteut. op.vuodet'!Q:Q),FALSE),0)</f>
        <v>0</v>
      </c>
      <c r="J113" s="11">
        <f t="shared" si="7"/>
        <v>0</v>
      </c>
      <c r="K113" s="18">
        <f>IFERROR(Ohj.lask.[[#This Row],[Painotetut opiskelija-vuodet]]/Ohj.lask.[[#Totals],[Painotetut opiskelija-vuodet]],0)</f>
        <v>0</v>
      </c>
      <c r="L113" s="19">
        <f>ROUND(IFERROR('1.1 Jakotaulu'!L$10*Ohj.lask.[[#This Row],[%-osuus 1]],0),0)</f>
        <v>0</v>
      </c>
      <c r="M113" s="211">
        <f>IFERROR(ROUND(VLOOKUP($A113,'2.2 Tutk. ja osien pain. pist.'!$A:$Q,COLUMN('2.2 Tutk. ja osien pain. pist.'!P:P),FALSE),1),0)</f>
        <v>0</v>
      </c>
      <c r="N113" s="18">
        <f>IFERROR(Ohj.lask.[[#This Row],[Painotetut pisteet 2]]/Ohj.lask.[[#Totals],[Painotetut pisteet 2]],0)</f>
        <v>0</v>
      </c>
      <c r="O113" s="25">
        <f>ROUND(IFERROR('1.1 Jakotaulu'!K$11*Ohj.lask.[[#This Row],[%-osuus 2]],0),0)</f>
        <v>0</v>
      </c>
      <c r="P113" s="233">
        <f>IFERROR(ROUND(VLOOKUP($A113,'2.3 Työll. ja jatko-opisk.'!$A:$K,COLUMN('2.3 Työll. ja jatko-opisk.'!I:I),FALSE),1),0)</f>
        <v>0</v>
      </c>
      <c r="Q113" s="18">
        <f>IFERROR(Ohj.lask.[[#This Row],[Painotetut pisteet 3]]/Ohj.lask.[[#Totals],[Painotetut pisteet 3]],0)</f>
        <v>0</v>
      </c>
      <c r="R113" s="19">
        <f>ROUND(IFERROR('1.1 Jakotaulu'!L$13*Ohj.lask.[[#This Row],[%-osuus 3]],0),0)</f>
        <v>0</v>
      </c>
      <c r="S113" s="211">
        <f>IFERROR(ROUND(VLOOKUP($A113,'2.4 Aloittaneet palaute'!$A:$K,COLUMN('2.4 Aloittaneet palaute'!J:J),FALSE),1),0)</f>
        <v>0</v>
      </c>
      <c r="T113" s="22">
        <f>IFERROR(Ohj.lask.[[#This Row],[Painotetut pisteet 4]]/Ohj.lask.[[#Totals],[Painotetut pisteet 4]],0)</f>
        <v>0</v>
      </c>
      <c r="U113" s="25">
        <f>ROUND(IFERROR('1.1 Jakotaulu'!M$16*Ohj.lask.[[#This Row],[%-osuus 4]],0),0)</f>
        <v>0</v>
      </c>
      <c r="V113" s="235">
        <f>IFERROR(ROUND(VLOOKUP($A113,'2.5 Päättäneet palaute'!$A:$AC,COLUMN('2.5 Päättäneet palaute'!AB:AB),FALSE),1),0)</f>
        <v>0</v>
      </c>
      <c r="W113" s="22">
        <f>IFERROR(Ohj.lask.[[#This Row],[Painotetut pisteet 5]]/Ohj.lask.[[#Totals],[Painotetut pisteet 5]],0)</f>
        <v>0</v>
      </c>
      <c r="X113" s="19">
        <f>ROUND(IFERROR('1.1 Jakotaulu'!M$17*Ohj.lask.[[#This Row],[%-osuus 5]],0),0)</f>
        <v>0</v>
      </c>
      <c r="Y113" s="21">
        <f>IFERROR(Ohj.lask.[[#This Row],[Jaettava € 6]]/Ohj.lask.[[#Totals],[Jaettava € 6]],"")</f>
        <v>0</v>
      </c>
      <c r="Z113" s="25">
        <f>IFERROR(Ohj.lask.[[#This Row],[Jaettava € 1]]+Ohj.lask.[[#This Row],[Jaettava € 2]]+Ohj.lask.[[#This Row],[Jaettava € 3]]+Ohj.lask.[[#This Row],[Jaettava € 4]]+Ohj.lask.[[#This Row],[Jaettava € 5]],"")</f>
        <v>0</v>
      </c>
      <c r="AA113" s="123">
        <f>0</f>
        <v>0</v>
      </c>
      <c r="AB113" s="19">
        <f>Ohj.lask.[[#This Row],[Jaettava € 1]]+Ohj.lask.[[#This Row],[Jaettava €]]</f>
        <v>0</v>
      </c>
      <c r="AC113" s="107">
        <f>Ohj.lask.[[#This Row],[Jaettava € 2]]</f>
        <v>0</v>
      </c>
      <c r="AD113" s="19">
        <f>Ohj.lask.[[#This Row],[Jaettava € 3]]+Ohj.lask.[[#This Row],[Jaettava € 4]]+Ohj.lask.[[#This Row],[Jaettava € 5]]</f>
        <v>0</v>
      </c>
      <c r="AE113" s="36">
        <f>Ohj.lask.[[#This Row],[Jaettava € 6]]+Ohj.lask.[[#This Row],[Jaettava €]]</f>
        <v>0</v>
      </c>
      <c r="AF113" s="36">
        <f>IFERROR(VLOOKUP(Ohj.lask.[[#This Row],[Y-tunnus]],'3.1 Alv vahvistettu'!A:Y,COLUMN(C:C),FALSE),0)</f>
        <v>0</v>
      </c>
      <c r="AG113" s="25">
        <f>Ohj.lask.[[#This Row],[Perus-, suoritus- ja vaikuttavuusrahoitus yhteensä, €]]+Ohj.lask.[[#This Row],[Alv-korvaus, €]]</f>
        <v>0</v>
      </c>
    </row>
    <row r="114" spans="1:33" x14ac:dyDescent="0.2">
      <c r="A114" s="131" t="s">
        <v>291</v>
      </c>
      <c r="B114" s="16" t="s">
        <v>118</v>
      </c>
      <c r="C114" s="16" t="s">
        <v>247</v>
      </c>
      <c r="D114" s="16" t="s">
        <v>411</v>
      </c>
      <c r="E114" s="16" t="s">
        <v>474</v>
      </c>
      <c r="F114" s="114">
        <v>3324</v>
      </c>
      <c r="G114" s="122">
        <f>0</f>
        <v>0</v>
      </c>
      <c r="H114" s="35">
        <f t="shared" si="6"/>
        <v>3324</v>
      </c>
      <c r="I114" s="17">
        <f>IFERROR(VLOOKUP($A114,'2.1 Toteut. op.vuodet'!$A:$Q,COLUMN('2.1 Toteut. op.vuodet'!Q:Q),FALSE),0)</f>
        <v>1.0636501100930371</v>
      </c>
      <c r="J114" s="11">
        <f t="shared" si="7"/>
        <v>3535.6</v>
      </c>
      <c r="K114" s="18">
        <f>IFERROR(Ohj.lask.[[#This Row],[Painotetut opiskelija-vuodet]]/Ohj.lask.[[#Totals],[Painotetut opiskelija-vuodet]],0)</f>
        <v>1.767727523171549E-2</v>
      </c>
      <c r="L114" s="19">
        <f>ROUND(IFERROR('1.1 Jakotaulu'!L$10*Ohj.lask.[[#This Row],[%-osuus 1]],0),0)</f>
        <v>20611164</v>
      </c>
      <c r="M114" s="211">
        <f>IFERROR(ROUND(VLOOKUP($A114,'2.2 Tutk. ja osien pain. pist.'!$A:$Q,COLUMN('2.2 Tutk. ja osien pain. pist.'!P:P),FALSE),1),0)</f>
        <v>281590.90000000002</v>
      </c>
      <c r="N114" s="18">
        <f>IFERROR(Ohj.lask.[[#This Row],[Painotetut pisteet 2]]/Ohj.lask.[[#Totals],[Painotetut pisteet 2]],0)</f>
        <v>1.7994857445449288E-2</v>
      </c>
      <c r="O114" s="25">
        <f>ROUND(IFERROR('1.1 Jakotaulu'!K$11*Ohj.lask.[[#This Row],[%-osuus 2]],0),0)</f>
        <v>6663082</v>
      </c>
      <c r="P114" s="233">
        <f>IFERROR(ROUND(VLOOKUP($A114,'2.3 Työll. ja jatko-opisk.'!$A:$K,COLUMN('2.3 Työll. ja jatko-opisk.'!I:I),FALSE),1),0)</f>
        <v>3317.1</v>
      </c>
      <c r="Q114" s="18">
        <f>IFERROR(Ohj.lask.[[#This Row],[Painotetut pisteet 3]]/Ohj.lask.[[#Totals],[Painotetut pisteet 3]],0)</f>
        <v>1.7511064843360673E-2</v>
      </c>
      <c r="R114" s="19">
        <f>ROUND(IFERROR('1.1 Jakotaulu'!L$13*Ohj.lask.[[#This Row],[%-osuus 3]],0),0)</f>
        <v>2431479</v>
      </c>
      <c r="S114" s="211">
        <f>IFERROR(ROUND(VLOOKUP($A114,'2.4 Aloittaneet palaute'!$A:$K,COLUMN('2.4 Aloittaneet palaute'!J:J),FALSE),1),0)</f>
        <v>19567.900000000001</v>
      </c>
      <c r="T114" s="22">
        <f>IFERROR(Ohj.lask.[[#This Row],[Painotetut pisteet 4]]/Ohj.lask.[[#Totals],[Painotetut pisteet 4]],0)</f>
        <v>1.5716724196425357E-2</v>
      </c>
      <c r="U114" s="25">
        <f>ROUND(IFERROR('1.1 Jakotaulu'!M$16*Ohj.lask.[[#This Row],[%-osuus 4]],0),0)</f>
        <v>181861</v>
      </c>
      <c r="V114" s="235">
        <f>IFERROR(ROUND(VLOOKUP($A114,'2.5 Päättäneet palaute'!$A:$AC,COLUMN('2.5 Päättäneet palaute'!AB:AB),FALSE),1),0)</f>
        <v>124999.7</v>
      </c>
      <c r="W114" s="22">
        <f>IFERROR(Ohj.lask.[[#This Row],[Painotetut pisteet 5]]/Ohj.lask.[[#Totals],[Painotetut pisteet 5]],0)</f>
        <v>1.8876156831823063E-2</v>
      </c>
      <c r="X114" s="19">
        <f>ROUND(IFERROR('1.1 Jakotaulu'!M$17*Ohj.lask.[[#This Row],[%-osuus 5]],0),0)</f>
        <v>655257</v>
      </c>
      <c r="Y114" s="21">
        <f>IFERROR(Ohj.lask.[[#This Row],[Jaettava € 6]]/Ohj.lask.[[#Totals],[Jaettava € 6]],"")</f>
        <v>1.7743179536512214E-2</v>
      </c>
      <c r="Z114" s="25">
        <f>IFERROR(Ohj.lask.[[#This Row],[Jaettava € 1]]+Ohj.lask.[[#This Row],[Jaettava € 2]]+Ohj.lask.[[#This Row],[Jaettava € 3]]+Ohj.lask.[[#This Row],[Jaettava € 4]]+Ohj.lask.[[#This Row],[Jaettava € 5]],"")</f>
        <v>30542843</v>
      </c>
      <c r="AA114" s="123">
        <f>0</f>
        <v>0</v>
      </c>
      <c r="AB114" s="19">
        <f>Ohj.lask.[[#This Row],[Jaettava € 1]]+Ohj.lask.[[#This Row],[Jaettava €]]</f>
        <v>20611164</v>
      </c>
      <c r="AC114" s="107">
        <f>Ohj.lask.[[#This Row],[Jaettava € 2]]</f>
        <v>6663082</v>
      </c>
      <c r="AD114" s="19">
        <f>Ohj.lask.[[#This Row],[Jaettava € 3]]+Ohj.lask.[[#This Row],[Jaettava € 4]]+Ohj.lask.[[#This Row],[Jaettava € 5]]</f>
        <v>3268597</v>
      </c>
      <c r="AE114" s="36">
        <f>Ohj.lask.[[#This Row],[Jaettava € 6]]+Ohj.lask.[[#This Row],[Jaettava €]]</f>
        <v>30542843</v>
      </c>
      <c r="AF114" s="36">
        <f>IFERROR(VLOOKUP(Ohj.lask.[[#This Row],[Y-tunnus]],'3.1 Alv vahvistettu'!A:Y,COLUMN(C:C),FALSE),0)</f>
        <v>0</v>
      </c>
      <c r="AG114" s="25">
        <f>Ohj.lask.[[#This Row],[Perus-, suoritus- ja vaikuttavuusrahoitus yhteensä, €]]+Ohj.lask.[[#This Row],[Alv-korvaus, €]]</f>
        <v>30542843</v>
      </c>
    </row>
    <row r="115" spans="1:33" x14ac:dyDescent="0.2">
      <c r="A115" s="131" t="s">
        <v>290</v>
      </c>
      <c r="B115" s="16" t="s">
        <v>119</v>
      </c>
      <c r="C115" s="98" t="s">
        <v>285</v>
      </c>
      <c r="D115" s="98" t="s">
        <v>411</v>
      </c>
      <c r="E115" s="98" t="s">
        <v>474</v>
      </c>
      <c r="F115" s="113">
        <v>1814</v>
      </c>
      <c r="G115" s="122">
        <f>0</f>
        <v>0</v>
      </c>
      <c r="H115" s="35">
        <f t="shared" si="6"/>
        <v>1814</v>
      </c>
      <c r="I115" s="17">
        <f>IFERROR(VLOOKUP($A115,'2.1 Toteut. op.vuodet'!$A:$Q,COLUMN('2.1 Toteut. op.vuodet'!Q:Q),FALSE),0)</f>
        <v>1.0770726203116316</v>
      </c>
      <c r="J115" s="11">
        <f t="shared" si="7"/>
        <v>1953.8</v>
      </c>
      <c r="K115" s="18">
        <f>IFERROR(Ohj.lask.[[#This Row],[Painotetut opiskelija-vuodet]]/Ohj.lask.[[#Totals],[Painotetut opiskelija-vuodet]],0)</f>
        <v>9.7685994874210109E-3</v>
      </c>
      <c r="L115" s="19">
        <f>ROUND(IFERROR('1.1 Jakotaulu'!L$10*Ohj.lask.[[#This Row],[%-osuus 1]],0),0)</f>
        <v>11389889</v>
      </c>
      <c r="M115" s="211">
        <f>IFERROR(ROUND(VLOOKUP($A115,'2.2 Tutk. ja osien pain. pist.'!$A:$Q,COLUMN('2.2 Tutk. ja osien pain. pist.'!P:P),FALSE),1),0)</f>
        <v>180522.3</v>
      </c>
      <c r="N115" s="18">
        <f>IFERROR(Ohj.lask.[[#This Row],[Painotetut pisteet 2]]/Ohj.lask.[[#Totals],[Painotetut pisteet 2]],0)</f>
        <v>1.1536143583562643E-2</v>
      </c>
      <c r="O115" s="25">
        <f>ROUND(IFERROR('1.1 Jakotaulu'!K$11*Ohj.lask.[[#This Row],[%-osuus 2]],0),0)</f>
        <v>4271569</v>
      </c>
      <c r="P115" s="233">
        <f>IFERROR(ROUND(VLOOKUP($A115,'2.3 Työll. ja jatko-opisk.'!$A:$K,COLUMN('2.3 Työll. ja jatko-opisk.'!I:I),FALSE),1),0)</f>
        <v>2416.1</v>
      </c>
      <c r="Q115" s="22">
        <f>IFERROR(Ohj.lask.[[#This Row],[Painotetut pisteet 3]]/Ohj.lask.[[#Totals],[Painotetut pisteet 3]],0)</f>
        <v>1.2754660326201718E-2</v>
      </c>
      <c r="R115" s="19">
        <f>ROUND(IFERROR('1.1 Jakotaulu'!L$13*Ohj.lask.[[#This Row],[%-osuus 3]],0),0)</f>
        <v>1771034</v>
      </c>
      <c r="S115" s="211">
        <f>IFERROR(ROUND(VLOOKUP($A115,'2.4 Aloittaneet palaute'!$A:$K,COLUMN('2.4 Aloittaneet palaute'!J:J),FALSE),1),0)</f>
        <v>27266.7</v>
      </c>
      <c r="T115" s="22">
        <f>IFERROR(Ohj.lask.[[#This Row],[Painotetut pisteet 4]]/Ohj.lask.[[#Totals],[Painotetut pisteet 4]],0)</f>
        <v>2.1900316520764684E-2</v>
      </c>
      <c r="U115" s="25">
        <f>ROUND(IFERROR('1.1 Jakotaulu'!M$16*Ohj.lask.[[#This Row],[%-osuus 4]],0),0)</f>
        <v>253412</v>
      </c>
      <c r="V115" s="235">
        <f>IFERROR(ROUND(VLOOKUP($A115,'2.5 Päättäneet palaute'!$A:$AC,COLUMN('2.5 Päättäneet palaute'!AB:AB),FALSE),1),0)</f>
        <v>128792</v>
      </c>
      <c r="W115" s="22">
        <f>IFERROR(Ohj.lask.[[#This Row],[Painotetut pisteet 5]]/Ohj.lask.[[#Totals],[Painotetut pisteet 5]],0)</f>
        <v>1.9448830602666695E-2</v>
      </c>
      <c r="X115" s="19">
        <f>ROUND(IFERROR('1.1 Jakotaulu'!M$17*Ohj.lask.[[#This Row],[%-osuus 5]],0),0)</f>
        <v>675136</v>
      </c>
      <c r="Y115" s="21">
        <f>IFERROR(Ohj.lask.[[#This Row],[Jaettava € 6]]/Ohj.lask.[[#Totals],[Jaettava € 6]],"")</f>
        <v>1.0666434332818402E-2</v>
      </c>
      <c r="Z115" s="25">
        <f>IFERROR(Ohj.lask.[[#This Row],[Jaettava € 1]]+Ohj.lask.[[#This Row],[Jaettava € 2]]+Ohj.lask.[[#This Row],[Jaettava € 3]]+Ohj.lask.[[#This Row],[Jaettava € 4]]+Ohj.lask.[[#This Row],[Jaettava € 5]],"")</f>
        <v>18361040</v>
      </c>
      <c r="AA115" s="123">
        <f>0</f>
        <v>0</v>
      </c>
      <c r="AB115" s="19">
        <f>Ohj.lask.[[#This Row],[Jaettava € 1]]+Ohj.lask.[[#This Row],[Jaettava €]]</f>
        <v>11389889</v>
      </c>
      <c r="AC115" s="107">
        <f>Ohj.lask.[[#This Row],[Jaettava € 2]]</f>
        <v>4271569</v>
      </c>
      <c r="AD115" s="19">
        <f>Ohj.lask.[[#This Row],[Jaettava € 3]]+Ohj.lask.[[#This Row],[Jaettava € 4]]+Ohj.lask.[[#This Row],[Jaettava € 5]]</f>
        <v>2699582</v>
      </c>
      <c r="AE115" s="36">
        <f>Ohj.lask.[[#This Row],[Jaettava € 6]]+Ohj.lask.[[#This Row],[Jaettava €]]</f>
        <v>18361040</v>
      </c>
      <c r="AF115" s="36">
        <f>IFERROR(VLOOKUP(Ohj.lask.[[#This Row],[Y-tunnus]],'3.1 Alv vahvistettu'!A:Y,COLUMN(C:C),FALSE),0)</f>
        <v>0</v>
      </c>
      <c r="AG115" s="25">
        <f>Ohj.lask.[[#This Row],[Perus-, suoritus- ja vaikuttavuusrahoitus yhteensä, €]]+Ohj.lask.[[#This Row],[Alv-korvaus, €]]</f>
        <v>18361040</v>
      </c>
    </row>
    <row r="116" spans="1:33" x14ac:dyDescent="0.2">
      <c r="A116" s="131" t="s">
        <v>289</v>
      </c>
      <c r="B116" s="16" t="s">
        <v>120</v>
      </c>
      <c r="C116" s="16" t="s">
        <v>240</v>
      </c>
      <c r="D116" s="16" t="s">
        <v>411</v>
      </c>
      <c r="E116" s="16" t="s">
        <v>474</v>
      </c>
      <c r="F116" s="114">
        <v>5755</v>
      </c>
      <c r="G116" s="122">
        <f>0</f>
        <v>0</v>
      </c>
      <c r="H116" s="35">
        <f t="shared" si="6"/>
        <v>5755</v>
      </c>
      <c r="I116" s="17">
        <f>IFERROR(VLOOKUP($A116,'2.1 Toteut. op.vuodet'!$A:$Q,COLUMN('2.1 Toteut. op.vuodet'!Q:Q),FALSE),0)</f>
        <v>1.045351659070421</v>
      </c>
      <c r="J116" s="11">
        <f t="shared" si="7"/>
        <v>6016</v>
      </c>
      <c r="K116" s="18">
        <f>IFERROR(Ohj.lask.[[#This Row],[Painotetut opiskelija-vuodet]]/Ohj.lask.[[#Totals],[Painotetut opiskelija-vuodet]],0)</f>
        <v>3.0078766770562392E-2</v>
      </c>
      <c r="L116" s="19">
        <f>ROUND(IFERROR('1.1 Jakotaulu'!L$10*Ohj.lask.[[#This Row],[%-osuus 1]],0),0)</f>
        <v>35070925</v>
      </c>
      <c r="M116" s="211">
        <f>IFERROR(ROUND(VLOOKUP($A116,'2.2 Tutk. ja osien pain. pist.'!$A:$Q,COLUMN('2.2 Tutk. ja osien pain. pist.'!P:P),FALSE),1),0)</f>
        <v>520084.7</v>
      </c>
      <c r="N116" s="18">
        <f>IFERROR(Ohj.lask.[[#This Row],[Painotetut pisteet 2]]/Ohj.lask.[[#Totals],[Painotetut pisteet 2]],0)</f>
        <v>3.3235626705476841E-2</v>
      </c>
      <c r="O116" s="25">
        <f>ROUND(IFERROR('1.1 Jakotaulu'!K$11*Ohj.lask.[[#This Row],[%-osuus 2]],0),0)</f>
        <v>12306388</v>
      </c>
      <c r="P116" s="233">
        <f>IFERROR(ROUND(VLOOKUP($A116,'2.3 Työll. ja jatko-opisk.'!$A:$K,COLUMN('2.3 Työll. ja jatko-opisk.'!I:I),FALSE),1),0)</f>
        <v>6515.3</v>
      </c>
      <c r="Q116" s="18">
        <f>IFERROR(Ohj.lask.[[#This Row],[Painotetut pisteet 3]]/Ohj.lask.[[#Totals],[Painotetut pisteet 3]],0)</f>
        <v>3.4394453219362638E-2</v>
      </c>
      <c r="R116" s="19">
        <f>ROUND(IFERROR('1.1 Jakotaulu'!L$13*Ohj.lask.[[#This Row],[%-osuus 3]],0),0)</f>
        <v>4775803</v>
      </c>
      <c r="S116" s="211">
        <f>IFERROR(ROUND(VLOOKUP($A116,'2.4 Aloittaneet palaute'!$A:$K,COLUMN('2.4 Aloittaneet palaute'!J:J),FALSE),1),0)</f>
        <v>55133.3</v>
      </c>
      <c r="T116" s="22">
        <f>IFERROR(Ohj.lask.[[#This Row],[Painotetut pisteet 4]]/Ohj.lask.[[#Totals],[Painotetut pisteet 4]],0)</f>
        <v>4.4282466188951194E-2</v>
      </c>
      <c r="U116" s="25">
        <f>ROUND(IFERROR('1.1 Jakotaulu'!M$16*Ohj.lask.[[#This Row],[%-osuus 4]],0),0)</f>
        <v>512399</v>
      </c>
      <c r="V116" s="235">
        <f>IFERROR(ROUND(VLOOKUP($A116,'2.5 Päättäneet palaute'!$A:$AC,COLUMN('2.5 Päättäneet palaute'!AB:AB),FALSE),1),0)</f>
        <v>285453</v>
      </c>
      <c r="W116" s="22">
        <f>IFERROR(Ohj.lask.[[#This Row],[Painotetut pisteet 5]]/Ohj.lask.[[#Totals],[Painotetut pisteet 5]],0)</f>
        <v>4.310614822367085E-2</v>
      </c>
      <c r="X116" s="19">
        <f>ROUND(IFERROR('1.1 Jakotaulu'!M$17*Ohj.lask.[[#This Row],[%-osuus 5]],0),0)</f>
        <v>1496364</v>
      </c>
      <c r="Y116" s="21">
        <f>IFERROR(Ohj.lask.[[#This Row],[Jaettava € 6]]/Ohj.lask.[[#Totals],[Jaettava € 6]],"")</f>
        <v>3.1464128703796522E-2</v>
      </c>
      <c r="Z116" s="25">
        <f>IFERROR(Ohj.lask.[[#This Row],[Jaettava € 1]]+Ohj.lask.[[#This Row],[Jaettava € 2]]+Ohj.lask.[[#This Row],[Jaettava € 3]]+Ohj.lask.[[#This Row],[Jaettava € 4]]+Ohj.lask.[[#This Row],[Jaettava € 5]],"")</f>
        <v>54161879</v>
      </c>
      <c r="AA116" s="123">
        <f>0</f>
        <v>0</v>
      </c>
      <c r="AB116" s="19">
        <f>Ohj.lask.[[#This Row],[Jaettava € 1]]+Ohj.lask.[[#This Row],[Jaettava €]]</f>
        <v>35070925</v>
      </c>
      <c r="AC116" s="107">
        <f>Ohj.lask.[[#This Row],[Jaettava € 2]]</f>
        <v>12306388</v>
      </c>
      <c r="AD116" s="19">
        <f>Ohj.lask.[[#This Row],[Jaettava € 3]]+Ohj.lask.[[#This Row],[Jaettava € 4]]+Ohj.lask.[[#This Row],[Jaettava € 5]]</f>
        <v>6784566</v>
      </c>
      <c r="AE116" s="36">
        <f>Ohj.lask.[[#This Row],[Jaettava € 6]]+Ohj.lask.[[#This Row],[Jaettava €]]</f>
        <v>54161879</v>
      </c>
      <c r="AF116" s="36">
        <f>IFERROR(VLOOKUP(Ohj.lask.[[#This Row],[Y-tunnus]],'3.1 Alv vahvistettu'!A:Y,COLUMN(C:C),FALSE),0)</f>
        <v>0</v>
      </c>
      <c r="AG116" s="25">
        <f>Ohj.lask.[[#This Row],[Perus-, suoritus- ja vaikuttavuusrahoitus yhteensä, €]]+Ohj.lask.[[#This Row],[Alv-korvaus, €]]</f>
        <v>54161879</v>
      </c>
    </row>
    <row r="117" spans="1:33" x14ac:dyDescent="0.2">
      <c r="A117" s="131" t="s">
        <v>288</v>
      </c>
      <c r="B117" s="16" t="s">
        <v>121</v>
      </c>
      <c r="C117" s="16" t="s">
        <v>269</v>
      </c>
      <c r="D117" s="16" t="s">
        <v>411</v>
      </c>
      <c r="E117" s="16" t="s">
        <v>474</v>
      </c>
      <c r="F117" s="114">
        <v>4109</v>
      </c>
      <c r="G117" s="122">
        <f>0</f>
        <v>0</v>
      </c>
      <c r="H117" s="35">
        <f t="shared" si="6"/>
        <v>4109</v>
      </c>
      <c r="I117" s="17">
        <f>IFERROR(VLOOKUP($A117,'2.1 Toteut. op.vuodet'!$A:$Q,COLUMN('2.1 Toteut. op.vuodet'!Q:Q),FALSE),0)</f>
        <v>1.0887068450236783</v>
      </c>
      <c r="J117" s="11">
        <f t="shared" si="7"/>
        <v>4473.5</v>
      </c>
      <c r="K117" s="18">
        <f>IFERROR(Ohj.lask.[[#This Row],[Painotetut opiskelija-vuodet]]/Ohj.lask.[[#Totals],[Painotetut opiskelija-vuodet]],0)</f>
        <v>2.2366582970098216E-2</v>
      </c>
      <c r="L117" s="19">
        <f>ROUND(IFERROR('1.1 Jakotaulu'!L$10*Ohj.lask.[[#This Row],[%-osuus 1]],0),0)</f>
        <v>26078754</v>
      </c>
      <c r="M117" s="211">
        <f>IFERROR(ROUND(VLOOKUP($A117,'2.2 Tutk. ja osien pain. pist.'!$A:$Q,COLUMN('2.2 Tutk. ja osien pain. pist.'!P:P),FALSE),1),0)</f>
        <v>426936.5</v>
      </c>
      <c r="N117" s="18">
        <f>IFERROR(Ohj.lask.[[#This Row],[Painotetut pisteet 2]]/Ohj.lask.[[#Totals],[Painotetut pisteet 2]],0)</f>
        <v>2.7283060126442507E-2</v>
      </c>
      <c r="O117" s="25">
        <f>ROUND(IFERROR('1.1 Jakotaulu'!K$11*Ohj.lask.[[#This Row],[%-osuus 2]],0),0)</f>
        <v>10102290</v>
      </c>
      <c r="P117" s="233">
        <f>IFERROR(ROUND(VLOOKUP($A117,'2.3 Työll. ja jatko-opisk.'!$A:$K,COLUMN('2.3 Työll. ja jatko-opisk.'!I:I),FALSE),1),0)</f>
        <v>5183.3999999999996</v>
      </c>
      <c r="Q117" s="18">
        <f>IFERROR(Ohj.lask.[[#This Row],[Painotetut pisteet 3]]/Ohj.lask.[[#Totals],[Painotetut pisteet 3]],0)</f>
        <v>2.736331539871445E-2</v>
      </c>
      <c r="R117" s="19">
        <f>ROUND(IFERROR('1.1 Jakotaulu'!L$13*Ohj.lask.[[#This Row],[%-osuus 3]],0),0)</f>
        <v>3799502</v>
      </c>
      <c r="S117" s="211">
        <f>IFERROR(ROUND(VLOOKUP($A117,'2.4 Aloittaneet palaute'!$A:$K,COLUMN('2.4 Aloittaneet palaute'!J:J),FALSE),1),0)</f>
        <v>31947</v>
      </c>
      <c r="T117" s="22">
        <f>IFERROR(Ohj.lask.[[#This Row],[Painotetut pisteet 4]]/Ohj.lask.[[#Totals],[Painotetut pisteet 4]],0)</f>
        <v>2.5659482514894333E-2</v>
      </c>
      <c r="U117" s="25">
        <f>ROUND(IFERROR('1.1 Jakotaulu'!M$16*Ohj.lask.[[#This Row],[%-osuus 4]],0),0)</f>
        <v>296910</v>
      </c>
      <c r="V117" s="235">
        <f>IFERROR(ROUND(VLOOKUP($A117,'2.5 Päättäneet palaute'!$A:$AC,COLUMN('2.5 Päättäneet palaute'!AB:AB),FALSE),1),0)</f>
        <v>238959.1</v>
      </c>
      <c r="W117" s="22">
        <f>IFERROR(Ohj.lask.[[#This Row],[Painotetut pisteet 5]]/Ohj.lask.[[#Totals],[Painotetut pisteet 5]],0)</f>
        <v>3.608512218822358E-2</v>
      </c>
      <c r="X117" s="19">
        <f>ROUND(IFERROR('1.1 Jakotaulu'!M$17*Ohj.lask.[[#This Row],[%-osuus 5]],0),0)</f>
        <v>1252640</v>
      </c>
      <c r="Y117" s="21">
        <f>IFERROR(Ohj.lask.[[#This Row],[Jaettava € 6]]/Ohj.lask.[[#Totals],[Jaettava € 6]],"")</f>
        <v>2.4125977712572067E-2</v>
      </c>
      <c r="Z117" s="25">
        <f>IFERROR(Ohj.lask.[[#This Row],[Jaettava € 1]]+Ohj.lask.[[#This Row],[Jaettava € 2]]+Ohj.lask.[[#This Row],[Jaettava € 3]]+Ohj.lask.[[#This Row],[Jaettava € 4]]+Ohj.lask.[[#This Row],[Jaettava € 5]],"")</f>
        <v>41530096</v>
      </c>
      <c r="AA117" s="123">
        <f>0</f>
        <v>0</v>
      </c>
      <c r="AB117" s="19">
        <f>Ohj.lask.[[#This Row],[Jaettava € 1]]+Ohj.lask.[[#This Row],[Jaettava €]]</f>
        <v>26078754</v>
      </c>
      <c r="AC117" s="107">
        <f>Ohj.lask.[[#This Row],[Jaettava € 2]]</f>
        <v>10102290</v>
      </c>
      <c r="AD117" s="19">
        <f>Ohj.lask.[[#This Row],[Jaettava € 3]]+Ohj.lask.[[#This Row],[Jaettava € 4]]+Ohj.lask.[[#This Row],[Jaettava € 5]]</f>
        <v>5349052</v>
      </c>
      <c r="AE117" s="36">
        <f>Ohj.lask.[[#This Row],[Jaettava € 6]]+Ohj.lask.[[#This Row],[Jaettava €]]</f>
        <v>41530096</v>
      </c>
      <c r="AF117" s="36">
        <f>IFERROR(VLOOKUP(Ohj.lask.[[#This Row],[Y-tunnus]],'3.1 Alv vahvistettu'!A:Y,COLUMN(C:C),FALSE),0)</f>
        <v>0</v>
      </c>
      <c r="AG117" s="25">
        <f>Ohj.lask.[[#This Row],[Perus-, suoritus- ja vaikuttavuusrahoitus yhteensä, €]]+Ohj.lask.[[#This Row],[Alv-korvaus, €]]</f>
        <v>41530096</v>
      </c>
    </row>
    <row r="118" spans="1:33" x14ac:dyDescent="0.2">
      <c r="A118" s="131" t="s">
        <v>287</v>
      </c>
      <c r="B118" s="16" t="s">
        <v>122</v>
      </c>
      <c r="C118" s="16" t="s">
        <v>236</v>
      </c>
      <c r="D118" s="16" t="s">
        <v>412</v>
      </c>
      <c r="E118" s="16" t="s">
        <v>474</v>
      </c>
      <c r="F118" s="114">
        <v>1564</v>
      </c>
      <c r="G118" s="122">
        <f>0</f>
        <v>0</v>
      </c>
      <c r="H118" s="35">
        <f t="shared" si="6"/>
        <v>1564</v>
      </c>
      <c r="I118" s="17">
        <f>IFERROR(VLOOKUP($A118,'2.1 Toteut. op.vuodet'!$A:$Q,COLUMN('2.1 Toteut. op.vuodet'!Q:Q),FALSE),0)</f>
        <v>1.0921227129333737</v>
      </c>
      <c r="J118" s="11">
        <f t="shared" si="7"/>
        <v>1708.1</v>
      </c>
      <c r="K118" s="18">
        <f>IFERROR(Ohj.lask.[[#This Row],[Painotetut opiskelija-vuodet]]/Ohj.lask.[[#Totals],[Painotetut opiskelija-vuodet]],0)</f>
        <v>8.540149853855988E-3</v>
      </c>
      <c r="L118" s="19">
        <f>ROUND(IFERROR('1.1 Jakotaulu'!L$10*Ohj.lask.[[#This Row],[%-osuus 1]],0),0)</f>
        <v>9957554</v>
      </c>
      <c r="M118" s="211">
        <f>IFERROR(ROUND(VLOOKUP($A118,'2.2 Tutk. ja osien pain. pist.'!$A:$Q,COLUMN('2.2 Tutk. ja osien pain. pist.'!P:P),FALSE),1),0)</f>
        <v>170525.6</v>
      </c>
      <c r="N118" s="18">
        <f>IFERROR(Ohj.lask.[[#This Row],[Painotetut pisteet 2]]/Ohj.lask.[[#Totals],[Painotetut pisteet 2]],0)</f>
        <v>1.0897311890404509E-2</v>
      </c>
      <c r="O118" s="25">
        <f>ROUND(IFERROR('1.1 Jakotaulu'!K$11*Ohj.lask.[[#This Row],[%-osuus 2]],0),0)</f>
        <v>4035024</v>
      </c>
      <c r="P118" s="233">
        <f>IFERROR(ROUND(VLOOKUP($A118,'2.3 Työll. ja jatko-opisk.'!$A:$K,COLUMN('2.3 Työll. ja jatko-opisk.'!I:I),FALSE),1),0)</f>
        <v>1661.3</v>
      </c>
      <c r="Q118" s="18">
        <f>IFERROR(Ohj.lask.[[#This Row],[Painotetut pisteet 3]]/Ohj.lask.[[#Totals],[Painotetut pisteet 3]],0)</f>
        <v>8.7700497495628964E-3</v>
      </c>
      <c r="R118" s="19">
        <f>ROUND(IFERROR('1.1 Jakotaulu'!L$13*Ohj.lask.[[#This Row],[%-osuus 3]],0),0)</f>
        <v>1217755</v>
      </c>
      <c r="S118" s="211">
        <f>IFERROR(ROUND(VLOOKUP($A118,'2.4 Aloittaneet palaute'!$A:$K,COLUMN('2.4 Aloittaneet palaute'!J:J),FALSE),1),0)</f>
        <v>14497.1</v>
      </c>
      <c r="T118" s="22">
        <f>IFERROR(Ohj.lask.[[#This Row],[Painotetut pisteet 4]]/Ohj.lask.[[#Totals],[Painotetut pisteet 4]],0)</f>
        <v>1.1643912854624053E-2</v>
      </c>
      <c r="U118" s="25">
        <f>ROUND(IFERROR('1.1 Jakotaulu'!M$16*Ohj.lask.[[#This Row],[%-osuus 4]],0),0)</f>
        <v>134734</v>
      </c>
      <c r="V118" s="235">
        <f>IFERROR(ROUND(VLOOKUP($A118,'2.5 Päättäneet palaute'!$A:$AC,COLUMN('2.5 Päättäneet palaute'!AB:AB),FALSE),1),0)</f>
        <v>99642.5</v>
      </c>
      <c r="W118" s="22">
        <f>IFERROR(Ohj.lask.[[#This Row],[Painotetut pisteet 5]]/Ohj.lask.[[#Totals],[Painotetut pisteet 5]],0)</f>
        <v>1.5046975769661285E-2</v>
      </c>
      <c r="X118" s="19">
        <f>ROUND(IFERROR('1.1 Jakotaulu'!M$17*Ohj.lask.[[#This Row],[%-osuus 5]],0),0)</f>
        <v>522333</v>
      </c>
      <c r="Y118" s="21">
        <f>IFERROR(Ohj.lask.[[#This Row],[Jaettava € 6]]/Ohj.lask.[[#Totals],[Jaettava € 6]],"")</f>
        <v>9.2178101094797862E-3</v>
      </c>
      <c r="Z118" s="25">
        <f>IFERROR(Ohj.lask.[[#This Row],[Jaettava € 1]]+Ohj.lask.[[#This Row],[Jaettava € 2]]+Ohj.lask.[[#This Row],[Jaettava € 3]]+Ohj.lask.[[#This Row],[Jaettava € 4]]+Ohj.lask.[[#This Row],[Jaettava € 5]],"")</f>
        <v>15867400</v>
      </c>
      <c r="AA118" s="123">
        <f>0</f>
        <v>0</v>
      </c>
      <c r="AB118" s="19">
        <f>Ohj.lask.[[#This Row],[Jaettava € 1]]+Ohj.lask.[[#This Row],[Jaettava €]]</f>
        <v>9957554</v>
      </c>
      <c r="AC118" s="107">
        <f>Ohj.lask.[[#This Row],[Jaettava € 2]]</f>
        <v>4035024</v>
      </c>
      <c r="AD118" s="19">
        <f>Ohj.lask.[[#This Row],[Jaettava € 3]]+Ohj.lask.[[#This Row],[Jaettava € 4]]+Ohj.lask.[[#This Row],[Jaettava € 5]]</f>
        <v>1874822</v>
      </c>
      <c r="AE118" s="36">
        <f>Ohj.lask.[[#This Row],[Jaettava € 6]]+Ohj.lask.[[#This Row],[Jaettava €]]</f>
        <v>15867400</v>
      </c>
      <c r="AF118" s="36">
        <f>IFERROR(VLOOKUP(Ohj.lask.[[#This Row],[Y-tunnus]],'3.1 Alv vahvistettu'!A:Y,COLUMN(C:C),FALSE),0)</f>
        <v>420150.32</v>
      </c>
      <c r="AG118" s="25">
        <f>Ohj.lask.[[#This Row],[Perus-, suoritus- ja vaikuttavuusrahoitus yhteensä, €]]+Ohj.lask.[[#This Row],[Alv-korvaus, €]]</f>
        <v>16287550.32</v>
      </c>
    </row>
    <row r="119" spans="1:33" x14ac:dyDescent="0.2">
      <c r="A119" s="131" t="s">
        <v>286</v>
      </c>
      <c r="B119" s="16" t="s">
        <v>184</v>
      </c>
      <c r="C119" s="16" t="s">
        <v>285</v>
      </c>
      <c r="D119" s="16" t="s">
        <v>412</v>
      </c>
      <c r="E119" s="16" t="s">
        <v>474</v>
      </c>
      <c r="F119" s="114">
        <v>49</v>
      </c>
      <c r="G119" s="122">
        <f>0</f>
        <v>0</v>
      </c>
      <c r="H119" s="35">
        <f t="shared" si="6"/>
        <v>49</v>
      </c>
      <c r="I119" s="17">
        <f>IFERROR(VLOOKUP($A119,'2.1 Toteut. op.vuodet'!$A:$Q,COLUMN('2.1 Toteut. op.vuodet'!Q:Q),FALSE),0)</f>
        <v>0.86</v>
      </c>
      <c r="J119" s="11">
        <f t="shared" si="7"/>
        <v>42.1</v>
      </c>
      <c r="K119" s="18">
        <f>IFERROR(Ohj.lask.[[#This Row],[Painotetut opiskelija-vuodet]]/Ohj.lask.[[#Totals],[Painotetut opiskelija-vuodet]],0)</f>
        <v>2.1049136985383589E-4</v>
      </c>
      <c r="L119" s="19">
        <f>ROUND(IFERROR('1.1 Jakotaulu'!L$10*Ohj.lask.[[#This Row],[%-osuus 1]],0),0)</f>
        <v>245427</v>
      </c>
      <c r="M119" s="211">
        <f>IFERROR(ROUND(VLOOKUP($A119,'2.2 Tutk. ja osien pain. pist.'!$A:$Q,COLUMN('2.2 Tutk. ja osien pain. pist.'!P:P),FALSE),1),0)</f>
        <v>0</v>
      </c>
      <c r="N119" s="18">
        <f>IFERROR(Ohj.lask.[[#This Row],[Painotetut pisteet 2]]/Ohj.lask.[[#Totals],[Painotetut pisteet 2]],0)</f>
        <v>0</v>
      </c>
      <c r="O119" s="25">
        <f>ROUND(IFERROR('1.1 Jakotaulu'!K$11*Ohj.lask.[[#This Row],[%-osuus 2]],0),0)</f>
        <v>0</v>
      </c>
      <c r="P119" s="233">
        <f>IFERROR(ROUND(VLOOKUP($A119,'2.3 Työll. ja jatko-opisk.'!$A:$K,COLUMN('2.3 Työll. ja jatko-opisk.'!I:I),FALSE),1),0)</f>
        <v>0</v>
      </c>
      <c r="Q119" s="18">
        <f>IFERROR(Ohj.lask.[[#This Row],[Painotetut pisteet 3]]/Ohj.lask.[[#Totals],[Painotetut pisteet 3]],0)</f>
        <v>0</v>
      </c>
      <c r="R119" s="19">
        <f>ROUND(IFERROR('1.1 Jakotaulu'!L$13*Ohj.lask.[[#This Row],[%-osuus 3]],0),0)</f>
        <v>0</v>
      </c>
      <c r="S119" s="211">
        <f>IFERROR(ROUND(VLOOKUP($A119,'2.4 Aloittaneet palaute'!$A:$K,COLUMN('2.4 Aloittaneet palaute'!J:J),FALSE),1),0)</f>
        <v>0</v>
      </c>
      <c r="T119" s="22">
        <f>IFERROR(Ohj.lask.[[#This Row],[Painotetut pisteet 4]]/Ohj.lask.[[#Totals],[Painotetut pisteet 4]],0)</f>
        <v>0</v>
      </c>
      <c r="U119" s="25">
        <f>ROUND(IFERROR('1.1 Jakotaulu'!M$16*Ohj.lask.[[#This Row],[%-osuus 4]],0),0)</f>
        <v>0</v>
      </c>
      <c r="V119" s="235">
        <f>IFERROR(ROUND(VLOOKUP($A119,'2.5 Päättäneet palaute'!$A:$AC,COLUMN('2.5 Päättäneet palaute'!AB:AB),FALSE),1),0)</f>
        <v>0</v>
      </c>
      <c r="W119" s="22">
        <f>IFERROR(Ohj.lask.[[#This Row],[Painotetut pisteet 5]]/Ohj.lask.[[#Totals],[Painotetut pisteet 5]],0)</f>
        <v>0</v>
      </c>
      <c r="X119" s="19">
        <f>ROUND(IFERROR('1.1 Jakotaulu'!M$17*Ohj.lask.[[#This Row],[%-osuus 5]],0),0)</f>
        <v>0</v>
      </c>
      <c r="Y119" s="21">
        <f>IFERROR(Ohj.lask.[[#This Row],[Jaettava € 6]]/Ohj.lask.[[#Totals],[Jaettava € 6]],"")</f>
        <v>1.4257531049442854E-4</v>
      </c>
      <c r="Z119" s="25">
        <f>IFERROR(Ohj.lask.[[#This Row],[Jaettava € 1]]+Ohj.lask.[[#This Row],[Jaettava € 2]]+Ohj.lask.[[#This Row],[Jaettava € 3]]+Ohj.lask.[[#This Row],[Jaettava € 4]]+Ohj.lask.[[#This Row],[Jaettava € 5]],"")</f>
        <v>245427</v>
      </c>
      <c r="AA119" s="123">
        <f>0</f>
        <v>0</v>
      </c>
      <c r="AB119" s="19">
        <f>Ohj.lask.[[#This Row],[Jaettava € 1]]+Ohj.lask.[[#This Row],[Jaettava €]]</f>
        <v>245427</v>
      </c>
      <c r="AC119" s="107">
        <f>Ohj.lask.[[#This Row],[Jaettava € 2]]</f>
        <v>0</v>
      </c>
      <c r="AD119" s="19">
        <f>Ohj.lask.[[#This Row],[Jaettava € 3]]+Ohj.lask.[[#This Row],[Jaettava € 4]]+Ohj.lask.[[#This Row],[Jaettava € 5]]</f>
        <v>0</v>
      </c>
      <c r="AE119" s="36">
        <f>Ohj.lask.[[#This Row],[Jaettava € 6]]+Ohj.lask.[[#This Row],[Jaettava €]]</f>
        <v>245427</v>
      </c>
      <c r="AF119" s="36">
        <f>IFERROR(VLOOKUP(Ohj.lask.[[#This Row],[Y-tunnus]],'3.1 Alv vahvistettu'!A:Y,COLUMN(C:C),FALSE),0)</f>
        <v>1249940.06</v>
      </c>
      <c r="AG119" s="25">
        <f>Ohj.lask.[[#This Row],[Perus-, suoritus- ja vaikuttavuusrahoitus yhteensä, €]]+Ohj.lask.[[#This Row],[Alv-korvaus, €]]</f>
        <v>1495367.06</v>
      </c>
    </row>
    <row r="120" spans="1:33" x14ac:dyDescent="0.2">
      <c r="A120" s="131" t="s">
        <v>284</v>
      </c>
      <c r="B120" s="16" t="s">
        <v>123</v>
      </c>
      <c r="C120" s="16" t="s">
        <v>236</v>
      </c>
      <c r="D120" s="16" t="s">
        <v>412</v>
      </c>
      <c r="E120" s="16" t="s">
        <v>474</v>
      </c>
      <c r="F120" s="114">
        <v>27</v>
      </c>
      <c r="G120" s="122">
        <f>0</f>
        <v>0</v>
      </c>
      <c r="H120" s="35">
        <f t="shared" si="6"/>
        <v>27</v>
      </c>
      <c r="I120" s="17">
        <f>IFERROR(VLOOKUP($A120,'2.1 Toteut. op.vuodet'!$A:$Q,COLUMN('2.1 Toteut. op.vuodet'!Q:Q),FALSE),0)</f>
        <v>1.2299999999999989</v>
      </c>
      <c r="J120" s="11">
        <f t="shared" si="7"/>
        <v>33.200000000000003</v>
      </c>
      <c r="K120" s="18">
        <f>IFERROR(Ohj.lask.[[#This Row],[Painotetut opiskelija-vuodet]]/Ohj.lask.[[#Totals],[Painotetut opiskelija-vuodet]],0)</f>
        <v>1.659931942790345E-4</v>
      </c>
      <c r="L120" s="19">
        <f>ROUND(IFERROR('1.1 Jakotaulu'!L$10*Ohj.lask.[[#This Row],[%-osuus 1]],0),0)</f>
        <v>193543</v>
      </c>
      <c r="M120" s="211">
        <f>IFERROR(ROUND(VLOOKUP($A120,'2.2 Tutk. ja osien pain. pist.'!$A:$Q,COLUMN('2.2 Tutk. ja osien pain. pist.'!P:P),FALSE),1),0)</f>
        <v>2952.2</v>
      </c>
      <c r="N120" s="18">
        <f>IFERROR(Ohj.lask.[[#This Row],[Painotetut pisteet 2]]/Ohj.lask.[[#Totals],[Painotetut pisteet 2]],0)</f>
        <v>1.8865814964352679E-4</v>
      </c>
      <c r="O120" s="25">
        <f>ROUND(IFERROR('1.1 Jakotaulu'!K$11*Ohj.lask.[[#This Row],[%-osuus 2]],0),0)</f>
        <v>69856</v>
      </c>
      <c r="P120" s="233">
        <f>IFERROR(ROUND(VLOOKUP($A120,'2.3 Työll. ja jatko-opisk.'!$A:$K,COLUMN('2.3 Työll. ja jatko-opisk.'!I:I),FALSE),1),0)</f>
        <v>22.5</v>
      </c>
      <c r="Q120" s="18">
        <f>IFERROR(Ohj.lask.[[#This Row],[Painotetut pisteet 3]]/Ohj.lask.[[#Totals],[Painotetut pisteet 3]],0)</f>
        <v>1.1877813722095057E-4</v>
      </c>
      <c r="R120" s="19">
        <f>ROUND(IFERROR('1.1 Jakotaulu'!L$13*Ohj.lask.[[#This Row],[%-osuus 3]],0),0)</f>
        <v>16493</v>
      </c>
      <c r="S120" s="211">
        <f>IFERROR(ROUND(VLOOKUP($A120,'2.4 Aloittaneet palaute'!$A:$K,COLUMN('2.4 Aloittaneet palaute'!J:J),FALSE),1),0)</f>
        <v>160</v>
      </c>
      <c r="T120" s="22">
        <f>IFERROR(Ohj.lask.[[#This Row],[Painotetut pisteet 4]]/Ohj.lask.[[#Totals],[Painotetut pisteet 4]],0)</f>
        <v>1.2851025768876868E-4</v>
      </c>
      <c r="U120" s="25">
        <f>ROUND(IFERROR('1.1 Jakotaulu'!M$16*Ohj.lask.[[#This Row],[%-osuus 4]],0),0)</f>
        <v>1487</v>
      </c>
      <c r="V120" s="235">
        <f>IFERROR(ROUND(VLOOKUP($A120,'2.5 Päättäneet palaute'!$A:$AC,COLUMN('2.5 Päättäneet palaute'!AB:AB),FALSE),1),0)</f>
        <v>1602</v>
      </c>
      <c r="W120" s="22">
        <f>IFERROR(Ohj.lask.[[#This Row],[Painotetut pisteet 5]]/Ohj.lask.[[#Totals],[Painotetut pisteet 5]],0)</f>
        <v>2.4191740655842012E-4</v>
      </c>
      <c r="X120" s="19">
        <f>ROUND(IFERROR('1.1 Jakotaulu'!M$17*Ohj.lask.[[#This Row],[%-osuus 5]],0),0)</f>
        <v>8398</v>
      </c>
      <c r="Y120" s="21">
        <f>IFERROR(Ohj.lask.[[#This Row],[Jaettava € 6]]/Ohj.lask.[[#Totals],[Jaettava € 6]],"")</f>
        <v>1.6833944818273465E-4</v>
      </c>
      <c r="Z120" s="25">
        <f>IFERROR(Ohj.lask.[[#This Row],[Jaettava € 1]]+Ohj.lask.[[#This Row],[Jaettava € 2]]+Ohj.lask.[[#This Row],[Jaettava € 3]]+Ohj.lask.[[#This Row],[Jaettava € 4]]+Ohj.lask.[[#This Row],[Jaettava € 5]],"")</f>
        <v>289777</v>
      </c>
      <c r="AA120" s="123">
        <f>0</f>
        <v>0</v>
      </c>
      <c r="AB120" s="19">
        <f>Ohj.lask.[[#This Row],[Jaettava € 1]]+Ohj.lask.[[#This Row],[Jaettava €]]</f>
        <v>193543</v>
      </c>
      <c r="AC120" s="107">
        <f>Ohj.lask.[[#This Row],[Jaettava € 2]]</f>
        <v>69856</v>
      </c>
      <c r="AD120" s="19">
        <f>Ohj.lask.[[#This Row],[Jaettava € 3]]+Ohj.lask.[[#This Row],[Jaettava € 4]]+Ohj.lask.[[#This Row],[Jaettava € 5]]</f>
        <v>26378</v>
      </c>
      <c r="AE120" s="36">
        <f>Ohj.lask.[[#This Row],[Jaettava € 6]]+Ohj.lask.[[#This Row],[Jaettava €]]</f>
        <v>289777</v>
      </c>
      <c r="AF120" s="36">
        <f>IFERROR(VLOOKUP(Ohj.lask.[[#This Row],[Y-tunnus]],'3.1 Alv vahvistettu'!A:Y,COLUMN(C:C),FALSE),0)</f>
        <v>49587.3</v>
      </c>
      <c r="AG120" s="25">
        <f>Ohj.lask.[[#This Row],[Perus-, suoritus- ja vaikuttavuusrahoitus yhteensä, €]]+Ohj.lask.[[#This Row],[Alv-korvaus, €]]</f>
        <v>339364.3</v>
      </c>
    </row>
    <row r="121" spans="1:33" x14ac:dyDescent="0.2">
      <c r="A121" s="131" t="s">
        <v>283</v>
      </c>
      <c r="B121" s="16" t="s">
        <v>155</v>
      </c>
      <c r="C121" s="16" t="s">
        <v>236</v>
      </c>
      <c r="D121" s="16" t="s">
        <v>412</v>
      </c>
      <c r="E121" s="16" t="s">
        <v>474</v>
      </c>
      <c r="F121" s="114">
        <v>21</v>
      </c>
      <c r="G121" s="122">
        <f>0</f>
        <v>0</v>
      </c>
      <c r="H121" s="35">
        <f t="shared" si="6"/>
        <v>21</v>
      </c>
      <c r="I121" s="17">
        <f>IFERROR(VLOOKUP($A121,'2.1 Toteut. op.vuodet'!$A:$Q,COLUMN('2.1 Toteut. op.vuodet'!Q:Q),FALSE),0)</f>
        <v>0.94709999999999972</v>
      </c>
      <c r="J121" s="11">
        <f t="shared" si="7"/>
        <v>19.899999999999999</v>
      </c>
      <c r="K121" s="18">
        <f>IFERROR(Ohj.lask.[[#This Row],[Painotetut opiskelija-vuodet]]/Ohj.lask.[[#Totals],[Painotetut opiskelija-vuodet]],0)</f>
        <v>9.9495920667252581E-5</v>
      </c>
      <c r="L121" s="19">
        <f>ROUND(IFERROR('1.1 Jakotaulu'!L$10*Ohj.lask.[[#This Row],[%-osuus 1]],0),0)</f>
        <v>116009</v>
      </c>
      <c r="M121" s="211">
        <f>IFERROR(ROUND(VLOOKUP($A121,'2.2 Tutk. ja osien pain. pist.'!$A:$Q,COLUMN('2.2 Tutk. ja osien pain. pist.'!P:P),FALSE),1),0)</f>
        <v>2008.4</v>
      </c>
      <c r="N121" s="18">
        <f>IFERROR(Ohj.lask.[[#This Row],[Painotetut pisteet 2]]/Ohj.lask.[[#Totals],[Painotetut pisteet 2]],0)</f>
        <v>1.2834531120657787E-4</v>
      </c>
      <c r="O121" s="25">
        <f>ROUND(IFERROR('1.1 Jakotaulu'!K$11*Ohj.lask.[[#This Row],[%-osuus 2]],0),0)</f>
        <v>47523</v>
      </c>
      <c r="P121" s="233">
        <f>IFERROR(ROUND(VLOOKUP($A121,'2.3 Työll. ja jatko-opisk.'!$A:$K,COLUMN('2.3 Työll. ja jatko-opisk.'!I:I),FALSE),1),0)</f>
        <v>33.299999999999997</v>
      </c>
      <c r="Q121" s="18">
        <f>IFERROR(Ohj.lask.[[#This Row],[Painotetut pisteet 3]]/Ohj.lask.[[#Totals],[Painotetut pisteet 3]],0)</f>
        <v>1.7579164308700683E-4</v>
      </c>
      <c r="R121" s="19">
        <f>ROUND(IFERROR('1.1 Jakotaulu'!L$13*Ohj.lask.[[#This Row],[%-osuus 3]],0),0)</f>
        <v>24409</v>
      </c>
      <c r="S121" s="211">
        <f>IFERROR(ROUND(VLOOKUP($A121,'2.4 Aloittaneet palaute'!$A:$K,COLUMN('2.4 Aloittaneet palaute'!J:J),FALSE),1),0)</f>
        <v>0</v>
      </c>
      <c r="T121" s="18">
        <f>IFERROR(Ohj.lask.[[#This Row],[Painotetut pisteet 4]]/Ohj.lask.[[#Totals],[Painotetut pisteet 4]],0)</f>
        <v>0</v>
      </c>
      <c r="U121" s="25">
        <f>ROUND(IFERROR('1.1 Jakotaulu'!M$16*Ohj.lask.[[#This Row],[%-osuus 4]],0),0)</f>
        <v>0</v>
      </c>
      <c r="V121" s="235">
        <f>IFERROR(ROUND(VLOOKUP($A121,'2.5 Päättäneet palaute'!$A:$AC,COLUMN('2.5 Päättäneet palaute'!AB:AB),FALSE),1),0)</f>
        <v>0</v>
      </c>
      <c r="W121" s="18">
        <f>IFERROR(Ohj.lask.[[#This Row],[Painotetut pisteet 5]]/Ohj.lask.[[#Totals],[Painotetut pisteet 5]],0)</f>
        <v>0</v>
      </c>
      <c r="X121" s="19">
        <f>ROUND(IFERROR('1.1 Jakotaulu'!M$17*Ohj.lask.[[#This Row],[%-osuus 5]],0),0)</f>
        <v>0</v>
      </c>
      <c r="Y121" s="21">
        <f>IFERROR(Ohj.lask.[[#This Row],[Jaettava € 6]]/Ohj.lask.[[#Totals],[Jaettava € 6]],"")</f>
        <v>1.0918010825880361E-4</v>
      </c>
      <c r="Z121" s="25">
        <f>IFERROR(Ohj.lask.[[#This Row],[Jaettava € 1]]+Ohj.lask.[[#This Row],[Jaettava € 2]]+Ohj.lask.[[#This Row],[Jaettava € 3]]+Ohj.lask.[[#This Row],[Jaettava € 4]]+Ohj.lask.[[#This Row],[Jaettava € 5]],"")</f>
        <v>187941</v>
      </c>
      <c r="AA121" s="123">
        <f>0</f>
        <v>0</v>
      </c>
      <c r="AB121" s="19">
        <f>Ohj.lask.[[#This Row],[Jaettava € 1]]+Ohj.lask.[[#This Row],[Jaettava €]]</f>
        <v>116009</v>
      </c>
      <c r="AC121" s="107">
        <f>Ohj.lask.[[#This Row],[Jaettava € 2]]</f>
        <v>47523</v>
      </c>
      <c r="AD121" s="19">
        <f>Ohj.lask.[[#This Row],[Jaettava € 3]]+Ohj.lask.[[#This Row],[Jaettava € 4]]+Ohj.lask.[[#This Row],[Jaettava € 5]]</f>
        <v>24409</v>
      </c>
      <c r="AE121" s="36">
        <f>Ohj.lask.[[#This Row],[Jaettava € 6]]+Ohj.lask.[[#This Row],[Jaettava €]]</f>
        <v>187941</v>
      </c>
      <c r="AF121" s="36">
        <f>IFERROR(VLOOKUP(Ohj.lask.[[#This Row],[Y-tunnus]],'3.1 Alv vahvistettu'!A:Y,COLUMN(C:C),FALSE),0)</f>
        <v>10461.1</v>
      </c>
      <c r="AG121" s="25">
        <f>Ohj.lask.[[#This Row],[Perus-, suoritus- ja vaikuttavuusrahoitus yhteensä, €]]+Ohj.lask.[[#This Row],[Alv-korvaus, €]]</f>
        <v>198402.1</v>
      </c>
    </row>
    <row r="122" spans="1:33" x14ac:dyDescent="0.2">
      <c r="A122" s="131" t="s">
        <v>282</v>
      </c>
      <c r="B122" s="16" t="s">
        <v>124</v>
      </c>
      <c r="C122" s="98" t="s">
        <v>270</v>
      </c>
      <c r="D122" s="98" t="s">
        <v>412</v>
      </c>
      <c r="E122" s="98" t="s">
        <v>474</v>
      </c>
      <c r="F122" s="113">
        <v>102</v>
      </c>
      <c r="G122" s="122">
        <f>0</f>
        <v>0</v>
      </c>
      <c r="H122" s="35">
        <f t="shared" si="6"/>
        <v>102</v>
      </c>
      <c r="I122" s="17">
        <f>IFERROR(VLOOKUP($A122,'2.1 Toteut. op.vuodet'!$A:$Q,COLUMN('2.1 Toteut. op.vuodet'!Q:Q),FALSE),0)</f>
        <v>1.3422389004669324</v>
      </c>
      <c r="J122" s="11">
        <f t="shared" si="7"/>
        <v>136.9</v>
      </c>
      <c r="K122" s="18">
        <f>IFERROR(Ohj.lask.[[#This Row],[Painotetut opiskelija-vuodet]]/Ohj.lask.[[#Totals],[Painotetut opiskelija-vuodet]],0)</f>
        <v>6.8447193665059701E-4</v>
      </c>
      <c r="L122" s="19">
        <f>ROUND(IFERROR('1.1 Jakotaulu'!L$10*Ohj.lask.[[#This Row],[%-osuus 1]],0),0)</f>
        <v>798073</v>
      </c>
      <c r="M122" s="211">
        <f>IFERROR(ROUND(VLOOKUP($A122,'2.2 Tutk. ja osien pain. pist.'!$A:$Q,COLUMN('2.2 Tutk. ja osien pain. pist.'!P:P),FALSE),1),0)</f>
        <v>7484.2</v>
      </c>
      <c r="N122" s="18">
        <f>IFERROR(Ohj.lask.[[#This Row],[Painotetut pisteet 2]]/Ohj.lask.[[#Totals],[Painotetut pisteet 2]],0)</f>
        <v>4.7827224563447025E-4</v>
      </c>
      <c r="O122" s="25">
        <f>ROUND(IFERROR('1.1 Jakotaulu'!K$11*Ohj.lask.[[#This Row],[%-osuus 2]],0),0)</f>
        <v>177093</v>
      </c>
      <c r="P122" s="233">
        <f>IFERROR(ROUND(VLOOKUP($A122,'2.3 Työll. ja jatko-opisk.'!$A:$K,COLUMN('2.3 Työll. ja jatko-opisk.'!I:I),FALSE),1),0)</f>
        <v>103.8</v>
      </c>
      <c r="Q122" s="22">
        <f>IFERROR(Ohj.lask.[[#This Row],[Painotetut pisteet 3]]/Ohj.lask.[[#Totals],[Painotetut pisteet 3]],0)</f>
        <v>5.4796313971265198E-4</v>
      </c>
      <c r="R122" s="19">
        <f>ROUND(IFERROR('1.1 Jakotaulu'!L$13*Ohj.lask.[[#This Row],[%-osuus 3]],0),0)</f>
        <v>76087</v>
      </c>
      <c r="S122" s="211">
        <f>IFERROR(ROUND(VLOOKUP($A122,'2.4 Aloittaneet palaute'!$A:$K,COLUMN('2.4 Aloittaneet palaute'!J:J),FALSE),1),0)</f>
        <v>458</v>
      </c>
      <c r="T122" s="22">
        <f>IFERROR(Ohj.lask.[[#This Row],[Painotetut pisteet 4]]/Ohj.lask.[[#Totals],[Painotetut pisteet 4]],0)</f>
        <v>3.6786061263410037E-4</v>
      </c>
      <c r="U122" s="25">
        <f>ROUND(IFERROR('1.1 Jakotaulu'!M$16*Ohj.lask.[[#This Row],[%-osuus 4]],0),0)</f>
        <v>4257</v>
      </c>
      <c r="V122" s="235">
        <f>IFERROR(ROUND(VLOOKUP($A122,'2.5 Päättäneet palaute'!$A:$AC,COLUMN('2.5 Päättäneet palaute'!AB:AB),FALSE),1),0)</f>
        <v>3867.4</v>
      </c>
      <c r="W122" s="22">
        <f>IFERROR(Ohj.lask.[[#This Row],[Painotetut pisteet 5]]/Ohj.lask.[[#Totals],[Painotetut pisteet 5]],0)</f>
        <v>5.8401459308616351E-4</v>
      </c>
      <c r="X122" s="19">
        <f>ROUND(IFERROR('1.1 Jakotaulu'!M$17*Ohj.lask.[[#This Row],[%-osuus 5]],0),0)</f>
        <v>20273</v>
      </c>
      <c r="Y122" s="21">
        <f>IFERROR(Ohj.lask.[[#This Row],[Jaettava € 6]]/Ohj.lask.[[#Totals],[Jaettava € 6]],"")</f>
        <v>6.2495200303808391E-4</v>
      </c>
      <c r="Z122" s="25">
        <f>IFERROR(Ohj.lask.[[#This Row],[Jaettava € 1]]+Ohj.lask.[[#This Row],[Jaettava € 2]]+Ohj.lask.[[#This Row],[Jaettava € 3]]+Ohj.lask.[[#This Row],[Jaettava € 4]]+Ohj.lask.[[#This Row],[Jaettava € 5]],"")</f>
        <v>1075783</v>
      </c>
      <c r="AA122" s="123">
        <f>0</f>
        <v>0</v>
      </c>
      <c r="AB122" s="19">
        <f>Ohj.lask.[[#This Row],[Jaettava € 1]]+Ohj.lask.[[#This Row],[Jaettava €]]</f>
        <v>798073</v>
      </c>
      <c r="AC122" s="107">
        <f>Ohj.lask.[[#This Row],[Jaettava € 2]]</f>
        <v>177093</v>
      </c>
      <c r="AD122" s="19">
        <f>Ohj.lask.[[#This Row],[Jaettava € 3]]+Ohj.lask.[[#This Row],[Jaettava € 4]]+Ohj.lask.[[#This Row],[Jaettava € 5]]</f>
        <v>100617</v>
      </c>
      <c r="AE122" s="36">
        <f>Ohj.lask.[[#This Row],[Jaettava € 6]]+Ohj.lask.[[#This Row],[Jaettava €]]</f>
        <v>1075783</v>
      </c>
      <c r="AF122" s="36">
        <f>IFERROR(VLOOKUP(Ohj.lask.[[#This Row],[Y-tunnus]],'3.1 Alv vahvistettu'!A:Y,COLUMN(C:C),FALSE),0)</f>
        <v>106270.77</v>
      </c>
      <c r="AG122" s="25">
        <f>Ohj.lask.[[#This Row],[Perus-, suoritus- ja vaikuttavuusrahoitus yhteensä, €]]+Ohj.lask.[[#This Row],[Alv-korvaus, €]]</f>
        <v>1182053.77</v>
      </c>
    </row>
    <row r="123" spans="1:33" x14ac:dyDescent="0.2">
      <c r="A123" s="131" t="s">
        <v>281</v>
      </c>
      <c r="B123" s="16" t="s">
        <v>125</v>
      </c>
      <c r="C123" s="98" t="s">
        <v>250</v>
      </c>
      <c r="D123" s="98" t="s">
        <v>412</v>
      </c>
      <c r="E123" s="98" t="s">
        <v>474</v>
      </c>
      <c r="F123" s="113">
        <v>218</v>
      </c>
      <c r="G123" s="122">
        <f>0</f>
        <v>0</v>
      </c>
      <c r="H123" s="35">
        <f t="shared" si="6"/>
        <v>218</v>
      </c>
      <c r="I123" s="17">
        <f>IFERROR(VLOOKUP($A123,'2.1 Toteut. op.vuodet'!$A:$Q,COLUMN('2.1 Toteut. op.vuodet'!Q:Q),FALSE),0)</f>
        <v>1.2325419160148832</v>
      </c>
      <c r="J123" s="11">
        <f t="shared" si="7"/>
        <v>268.7</v>
      </c>
      <c r="K123" s="18">
        <f>IFERROR(Ohj.lask.[[#This Row],[Painotetut opiskelija-vuodet]]/Ohj.lask.[[#Totals],[Painotetut opiskelija-vuodet]],0)</f>
        <v>1.3434449187583301E-3</v>
      </c>
      <c r="L123" s="19">
        <f>ROUND(IFERROR('1.1 Jakotaulu'!L$10*Ohj.lask.[[#This Row],[%-osuus 1]],0),0)</f>
        <v>1566416</v>
      </c>
      <c r="M123" s="211">
        <f>IFERROR(ROUND(VLOOKUP($A123,'2.2 Tutk. ja osien pain. pist.'!$A:$Q,COLUMN('2.2 Tutk. ja osien pain. pist.'!P:P),FALSE),1),0)</f>
        <v>32587</v>
      </c>
      <c r="N123" s="18">
        <f>IFERROR(Ohj.lask.[[#This Row],[Painotetut pisteet 2]]/Ohj.lask.[[#Totals],[Painotetut pisteet 2]],0)</f>
        <v>2.0824480463497077E-3</v>
      </c>
      <c r="O123" s="25">
        <f>ROUND(IFERROR('1.1 Jakotaulu'!K$11*Ohj.lask.[[#This Row],[%-osuus 2]],0),0)</f>
        <v>771083</v>
      </c>
      <c r="P123" s="233">
        <f>IFERROR(ROUND(VLOOKUP($A123,'2.3 Työll. ja jatko-opisk.'!$A:$K,COLUMN('2.3 Työll. ja jatko-opisk.'!I:I),FALSE),1),0)</f>
        <v>247.2</v>
      </c>
      <c r="Q123" s="22">
        <f>IFERROR(Ohj.lask.[[#This Row],[Painotetut pisteet 3]]/Ohj.lask.[[#Totals],[Painotetut pisteet 3]],0)</f>
        <v>1.3049758009341769E-3</v>
      </c>
      <c r="R123" s="19">
        <f>ROUND(IFERROR('1.1 Jakotaulu'!L$13*Ohj.lask.[[#This Row],[%-osuus 3]],0),0)</f>
        <v>181201</v>
      </c>
      <c r="S123" s="211">
        <f>IFERROR(ROUND(VLOOKUP($A123,'2.4 Aloittaneet palaute'!$A:$K,COLUMN('2.4 Aloittaneet palaute'!J:J),FALSE),1),0)</f>
        <v>3462.2</v>
      </c>
      <c r="T123" s="22">
        <f>IFERROR(Ohj.lask.[[#This Row],[Painotetut pisteet 4]]/Ohj.lask.[[#Totals],[Painotetut pisteet 4]],0)</f>
        <v>2.7808013385628434E-3</v>
      </c>
      <c r="U123" s="25">
        <f>ROUND(IFERROR('1.1 Jakotaulu'!M$16*Ohj.lask.[[#This Row],[%-osuus 4]],0),0)</f>
        <v>32177</v>
      </c>
      <c r="V123" s="235">
        <f>IFERROR(ROUND(VLOOKUP($A123,'2.5 Päättäneet palaute'!$A:$AC,COLUMN('2.5 Päättäneet palaute'!AB:AB),FALSE),1),0)</f>
        <v>19372.5</v>
      </c>
      <c r="W123" s="22">
        <f>IFERROR(Ohj.lask.[[#This Row],[Painotetut pisteet 5]]/Ohj.lask.[[#Totals],[Painotetut pisteet 5]],0)</f>
        <v>2.9254338068370749E-3</v>
      </c>
      <c r="X123" s="19">
        <f>ROUND(IFERROR('1.1 Jakotaulu'!M$17*Ohj.lask.[[#This Row],[%-osuus 5]],0),0)</f>
        <v>101552</v>
      </c>
      <c r="Y123" s="21">
        <f>IFERROR(Ohj.lask.[[#This Row],[Jaettava € 6]]/Ohj.lask.[[#Totals],[Jaettava € 6]],"")</f>
        <v>1.5408691311038581E-3</v>
      </c>
      <c r="Z123" s="25">
        <f>IFERROR(Ohj.lask.[[#This Row],[Jaettava € 1]]+Ohj.lask.[[#This Row],[Jaettava € 2]]+Ohj.lask.[[#This Row],[Jaettava € 3]]+Ohj.lask.[[#This Row],[Jaettava € 4]]+Ohj.lask.[[#This Row],[Jaettava € 5]],"")</f>
        <v>2652429</v>
      </c>
      <c r="AA123" s="123">
        <f>0</f>
        <v>0</v>
      </c>
      <c r="AB123" s="19">
        <f>Ohj.lask.[[#This Row],[Jaettava € 1]]+Ohj.lask.[[#This Row],[Jaettava €]]</f>
        <v>1566416</v>
      </c>
      <c r="AC123" s="107">
        <f>Ohj.lask.[[#This Row],[Jaettava € 2]]</f>
        <v>771083</v>
      </c>
      <c r="AD123" s="19">
        <f>Ohj.lask.[[#This Row],[Jaettava € 3]]+Ohj.lask.[[#This Row],[Jaettava € 4]]+Ohj.lask.[[#This Row],[Jaettava € 5]]</f>
        <v>314930</v>
      </c>
      <c r="AE123" s="36">
        <f>Ohj.lask.[[#This Row],[Jaettava € 6]]+Ohj.lask.[[#This Row],[Jaettava €]]</f>
        <v>2652429</v>
      </c>
      <c r="AF123" s="36">
        <f>IFERROR(VLOOKUP(Ohj.lask.[[#This Row],[Y-tunnus]],'3.1 Alv vahvistettu'!A:Y,COLUMN(C:C),FALSE),0)</f>
        <v>307790.7</v>
      </c>
      <c r="AG123" s="25">
        <f>Ohj.lask.[[#This Row],[Perus-, suoritus- ja vaikuttavuusrahoitus yhteensä, €]]+Ohj.lask.[[#This Row],[Alv-korvaus, €]]</f>
        <v>2960219.7</v>
      </c>
    </row>
    <row r="124" spans="1:33" x14ac:dyDescent="0.2">
      <c r="A124" s="131" t="s">
        <v>280</v>
      </c>
      <c r="B124" s="16" t="s">
        <v>126</v>
      </c>
      <c r="C124" s="16" t="s">
        <v>236</v>
      </c>
      <c r="D124" s="16" t="s">
        <v>412</v>
      </c>
      <c r="E124" s="16" t="s">
        <v>474</v>
      </c>
      <c r="F124" s="114">
        <v>169</v>
      </c>
      <c r="G124" s="122">
        <f>0</f>
        <v>0</v>
      </c>
      <c r="H124" s="35">
        <f t="shared" si="6"/>
        <v>169</v>
      </c>
      <c r="I124" s="17">
        <f>IFERROR(VLOOKUP($A124,'2.1 Toteut. op.vuodet'!$A:$Q,COLUMN('2.1 Toteut. op.vuodet'!Q:Q),FALSE),0)</f>
        <v>0.77142966059972207</v>
      </c>
      <c r="J124" s="11">
        <f t="shared" si="7"/>
        <v>130.4</v>
      </c>
      <c r="K124" s="18">
        <f>IFERROR(Ohj.lask.[[#This Row],[Painotetut opiskelija-vuodet]]/Ohj.lask.[[#Totals],[Painotetut opiskelija-vuodet]],0)</f>
        <v>6.5197326909596678E-4</v>
      </c>
      <c r="L124" s="19">
        <f>ROUND(IFERROR('1.1 Jakotaulu'!L$10*Ohj.lask.[[#This Row],[%-osuus 1]],0),0)</f>
        <v>760181</v>
      </c>
      <c r="M124" s="211">
        <f>IFERROR(ROUND(VLOOKUP($A124,'2.2 Tutk. ja osien pain. pist.'!$A:$Q,COLUMN('2.2 Tutk. ja osien pain. pist.'!P:P),FALSE),1),0)</f>
        <v>16440</v>
      </c>
      <c r="N124" s="18">
        <f>IFERROR(Ohj.lask.[[#This Row],[Painotetut pisteet 2]]/Ohj.lask.[[#Totals],[Painotetut pisteet 2]],0)</f>
        <v>1.05058599693096E-3</v>
      </c>
      <c r="O124" s="25">
        <f>ROUND(IFERROR('1.1 Jakotaulu'!K$11*Ohj.lask.[[#This Row],[%-osuus 2]],0),0)</f>
        <v>389008</v>
      </c>
      <c r="P124" s="233">
        <f>IFERROR(ROUND(VLOOKUP($A124,'2.3 Työll. ja jatko-opisk.'!$A:$K,COLUMN('2.3 Työll. ja jatko-opisk.'!I:I),FALSE),1),0)</f>
        <v>212</v>
      </c>
      <c r="Q124" s="18">
        <f>IFERROR(Ohj.lask.[[#This Row],[Painotetut pisteet 3]]/Ohj.lask.[[#Totals],[Painotetut pisteet 3]],0)</f>
        <v>1.1191540040374009E-3</v>
      </c>
      <c r="R124" s="19">
        <f>ROUND(IFERROR('1.1 Jakotaulu'!L$13*Ohj.lask.[[#This Row],[%-osuus 3]],0),0)</f>
        <v>155399</v>
      </c>
      <c r="S124" s="211">
        <f>IFERROR(ROUND(VLOOKUP($A124,'2.4 Aloittaneet palaute'!$A:$K,COLUMN('2.4 Aloittaneet palaute'!J:J),FALSE),1),0)</f>
        <v>2388.6</v>
      </c>
      <c r="T124" s="22">
        <f>IFERROR(Ohj.lask.[[#This Row],[Painotetut pisteet 4]]/Ohj.lask.[[#Totals],[Painotetut pisteet 4]],0)</f>
        <v>1.9184975094712056E-3</v>
      </c>
      <c r="U124" s="25">
        <f>ROUND(IFERROR('1.1 Jakotaulu'!M$16*Ohj.lask.[[#This Row],[%-osuus 4]],0),0)</f>
        <v>22199</v>
      </c>
      <c r="V124" s="235">
        <f>IFERROR(ROUND(VLOOKUP($A124,'2.5 Päättäneet palaute'!$A:$AC,COLUMN('2.5 Päättäneet palaute'!AB:AB),FALSE),1),0)</f>
        <v>21186.2</v>
      </c>
      <c r="W124" s="22">
        <f>IFERROR(Ohj.lask.[[#This Row],[Painotetut pisteet 5]]/Ohj.lask.[[#Totals],[Painotetut pisteet 5]],0)</f>
        <v>3.199319949330837E-3</v>
      </c>
      <c r="X124" s="19">
        <f>ROUND(IFERROR('1.1 Jakotaulu'!M$17*Ohj.lask.[[#This Row],[%-osuus 5]],0),0)</f>
        <v>111059</v>
      </c>
      <c r="Y124" s="21">
        <f>IFERROR(Ohj.lask.[[#This Row],[Jaettava € 6]]/Ohj.lask.[[#Totals],[Jaettava € 6]],"")</f>
        <v>8.3528438147869666E-4</v>
      </c>
      <c r="Z124" s="25">
        <f>IFERROR(Ohj.lask.[[#This Row],[Jaettava € 1]]+Ohj.lask.[[#This Row],[Jaettava € 2]]+Ohj.lask.[[#This Row],[Jaettava € 3]]+Ohj.lask.[[#This Row],[Jaettava € 4]]+Ohj.lask.[[#This Row],[Jaettava € 5]],"")</f>
        <v>1437846</v>
      </c>
      <c r="AA124" s="123">
        <f>0</f>
        <v>0</v>
      </c>
      <c r="AB124" s="19">
        <f>Ohj.lask.[[#This Row],[Jaettava € 1]]+Ohj.lask.[[#This Row],[Jaettava €]]</f>
        <v>760181</v>
      </c>
      <c r="AC124" s="107">
        <f>Ohj.lask.[[#This Row],[Jaettava € 2]]</f>
        <v>389008</v>
      </c>
      <c r="AD124" s="19">
        <f>Ohj.lask.[[#This Row],[Jaettava € 3]]+Ohj.lask.[[#This Row],[Jaettava € 4]]+Ohj.lask.[[#This Row],[Jaettava € 5]]</f>
        <v>288657</v>
      </c>
      <c r="AE124" s="36">
        <f>Ohj.lask.[[#This Row],[Jaettava € 6]]+Ohj.lask.[[#This Row],[Jaettava €]]</f>
        <v>1437846</v>
      </c>
      <c r="AF124" s="36">
        <f>IFERROR(VLOOKUP(Ohj.lask.[[#This Row],[Y-tunnus]],'3.1 Alv vahvistettu'!A:Y,COLUMN(C:C),FALSE),0)</f>
        <v>73405.759999999995</v>
      </c>
      <c r="AG124" s="25">
        <f>Ohj.lask.[[#This Row],[Perus-, suoritus- ja vaikuttavuusrahoitus yhteensä, €]]+Ohj.lask.[[#This Row],[Alv-korvaus, €]]</f>
        <v>1511251.76</v>
      </c>
    </row>
    <row r="125" spans="1:33" x14ac:dyDescent="0.2">
      <c r="A125" s="131" t="s">
        <v>279</v>
      </c>
      <c r="B125" s="16" t="s">
        <v>127</v>
      </c>
      <c r="C125" s="16" t="s">
        <v>269</v>
      </c>
      <c r="D125" s="16" t="s">
        <v>412</v>
      </c>
      <c r="E125" s="16" t="s">
        <v>474</v>
      </c>
      <c r="F125" s="114">
        <v>488</v>
      </c>
      <c r="G125" s="122">
        <f>0</f>
        <v>0</v>
      </c>
      <c r="H125" s="35">
        <f t="shared" si="6"/>
        <v>488</v>
      </c>
      <c r="I125" s="17">
        <f>IFERROR(VLOOKUP($A125,'2.1 Toteut. op.vuodet'!$A:$Q,COLUMN('2.1 Toteut. op.vuodet'!Q:Q),FALSE),0)</f>
        <v>0.69861567967588301</v>
      </c>
      <c r="J125" s="11">
        <f t="shared" si="7"/>
        <v>340.9</v>
      </c>
      <c r="K125" s="18">
        <f>IFERROR(Ohj.lask.[[#This Row],[Painotetut opiskelija-vuodet]]/Ohj.lask.[[#Totals],[Painotetut opiskelija-vuodet]],0)</f>
        <v>1.7044301183651461E-3</v>
      </c>
      <c r="L125" s="19">
        <f>ROUND(IFERROR('1.1 Jakotaulu'!L$10*Ohj.lask.[[#This Row],[%-osuus 1]],0),0)</f>
        <v>1987314</v>
      </c>
      <c r="M125" s="211">
        <f>IFERROR(ROUND(VLOOKUP($A125,'2.2 Tutk. ja osien pain. pist.'!$A:$Q,COLUMN('2.2 Tutk. ja osien pain. pist.'!P:P),FALSE),1),0)</f>
        <v>46368.9</v>
      </c>
      <c r="N125" s="18">
        <f>IFERROR(Ohj.lask.[[#This Row],[Painotetut pisteet 2]]/Ohj.lask.[[#Totals],[Painotetut pisteet 2]],0)</f>
        <v>2.9631701358328465E-3</v>
      </c>
      <c r="O125" s="25">
        <f>ROUND(IFERROR('1.1 Jakotaulu'!K$11*Ohj.lask.[[#This Row],[%-osuus 2]],0),0)</f>
        <v>1097194</v>
      </c>
      <c r="P125" s="233">
        <f>IFERROR(ROUND(VLOOKUP($A125,'2.3 Työll. ja jatko-opisk.'!$A:$K,COLUMN('2.3 Työll. ja jatko-opisk.'!I:I),FALSE),1),0)</f>
        <v>864.2</v>
      </c>
      <c r="Q125" s="18">
        <f>IFERROR(Ohj.lask.[[#This Row],[Painotetut pisteet 3]]/Ohj.lask.[[#Totals],[Painotetut pisteet 3]],0)</f>
        <v>4.5621362749486884E-3</v>
      </c>
      <c r="R125" s="19">
        <f>ROUND(IFERROR('1.1 Jakotaulu'!L$13*Ohj.lask.[[#This Row],[%-osuus 3]],0),0)</f>
        <v>633470</v>
      </c>
      <c r="S125" s="211">
        <f>IFERROR(ROUND(VLOOKUP($A125,'2.4 Aloittaneet palaute'!$A:$K,COLUMN('2.4 Aloittaneet palaute'!J:J),FALSE),1),0)</f>
        <v>6120.4</v>
      </c>
      <c r="T125" s="22">
        <f>IFERROR(Ohj.lask.[[#This Row],[Painotetut pisteet 4]]/Ohj.lask.[[#Totals],[Painotetut pisteet 4]],0)</f>
        <v>4.915838632239624E-3</v>
      </c>
      <c r="U125" s="25">
        <f>ROUND(IFERROR('1.1 Jakotaulu'!M$16*Ohj.lask.[[#This Row],[%-osuus 4]],0),0)</f>
        <v>56882</v>
      </c>
      <c r="V125" s="235">
        <f>IFERROR(ROUND(VLOOKUP($A125,'2.5 Päättäneet palaute'!$A:$AC,COLUMN('2.5 Päättäneet palaute'!AB:AB),FALSE),1),0)</f>
        <v>54837.2</v>
      </c>
      <c r="W125" s="22">
        <f>IFERROR(Ohj.lask.[[#This Row],[Painotetut pisteet 5]]/Ohj.lask.[[#Totals],[Painotetut pisteet 5]],0)</f>
        <v>8.2809445736113582E-3</v>
      </c>
      <c r="X125" s="19">
        <f>ROUND(IFERROR('1.1 Jakotaulu'!M$17*Ohj.lask.[[#This Row],[%-osuus 5]],0),0)</f>
        <v>287460</v>
      </c>
      <c r="Y125" s="21">
        <f>IFERROR(Ohj.lask.[[#This Row],[Jaettava € 6]]/Ohj.lask.[[#Totals],[Jaettava € 6]],"")</f>
        <v>2.3599136823891703E-3</v>
      </c>
      <c r="Z125" s="25">
        <f>IFERROR(Ohj.lask.[[#This Row],[Jaettava € 1]]+Ohj.lask.[[#This Row],[Jaettava € 2]]+Ohj.lask.[[#This Row],[Jaettava € 3]]+Ohj.lask.[[#This Row],[Jaettava € 4]]+Ohj.lask.[[#This Row],[Jaettava € 5]],"")</f>
        <v>4062320</v>
      </c>
      <c r="AA125" s="123">
        <f>0</f>
        <v>0</v>
      </c>
      <c r="AB125" s="19">
        <f>Ohj.lask.[[#This Row],[Jaettava € 1]]+Ohj.lask.[[#This Row],[Jaettava €]]</f>
        <v>1987314</v>
      </c>
      <c r="AC125" s="107">
        <f>Ohj.lask.[[#This Row],[Jaettava € 2]]</f>
        <v>1097194</v>
      </c>
      <c r="AD125" s="19">
        <f>Ohj.lask.[[#This Row],[Jaettava € 3]]+Ohj.lask.[[#This Row],[Jaettava € 4]]+Ohj.lask.[[#This Row],[Jaettava € 5]]</f>
        <v>977812</v>
      </c>
      <c r="AE125" s="36">
        <f>Ohj.lask.[[#This Row],[Jaettava € 6]]+Ohj.lask.[[#This Row],[Jaettava €]]</f>
        <v>4062320</v>
      </c>
      <c r="AF125" s="36">
        <f>IFERROR(VLOOKUP(Ohj.lask.[[#This Row],[Y-tunnus]],'3.1 Alv vahvistettu'!A:Y,COLUMN(C:C),FALSE),0)</f>
        <v>216501.93</v>
      </c>
      <c r="AG125" s="25">
        <f>Ohj.lask.[[#This Row],[Perus-, suoritus- ja vaikuttavuusrahoitus yhteensä, €]]+Ohj.lask.[[#This Row],[Alv-korvaus, €]]</f>
        <v>4278821.93</v>
      </c>
    </row>
    <row r="126" spans="1:33" x14ac:dyDescent="0.2">
      <c r="A126" s="131" t="s">
        <v>278</v>
      </c>
      <c r="B126" s="16" t="s">
        <v>128</v>
      </c>
      <c r="C126" s="16" t="s">
        <v>269</v>
      </c>
      <c r="D126" s="16" t="s">
        <v>411</v>
      </c>
      <c r="E126" s="16" t="s">
        <v>474</v>
      </c>
      <c r="F126" s="114">
        <v>563</v>
      </c>
      <c r="G126" s="122">
        <f>0</f>
        <v>0</v>
      </c>
      <c r="H126" s="35">
        <f t="shared" si="6"/>
        <v>563</v>
      </c>
      <c r="I126" s="17">
        <f>IFERROR(VLOOKUP($A126,'2.1 Toteut. op.vuodet'!$A:$Q,COLUMN('2.1 Toteut. op.vuodet'!Q:Q),FALSE),0)</f>
        <v>1.1747874902883373</v>
      </c>
      <c r="J126" s="11">
        <f t="shared" si="7"/>
        <v>661.4</v>
      </c>
      <c r="K126" s="18">
        <f>IFERROR(Ohj.lask.[[#This Row],[Painotetut opiskelija-vuodet]]/Ohj.lask.[[#Totals],[Painotetut opiskelija-vuodet]],0)</f>
        <v>3.3068644185588374E-3</v>
      </c>
      <c r="L126" s="19">
        <f>ROUND(IFERROR('1.1 Jakotaulu'!L$10*Ohj.lask.[[#This Row],[%-osuus 1]],0),0)</f>
        <v>3855703</v>
      </c>
      <c r="M126" s="211">
        <f>IFERROR(ROUND(VLOOKUP($A126,'2.2 Tutk. ja osien pain. pist.'!$A:$Q,COLUMN('2.2 Tutk. ja osien pain. pist.'!P:P),FALSE),1),0)</f>
        <v>50039.7</v>
      </c>
      <c r="N126" s="18">
        <f>IFERROR(Ohj.lask.[[#This Row],[Painotetut pisteet 2]]/Ohj.lask.[[#Totals],[Painotetut pisteet 2]],0)</f>
        <v>3.1977498850745841E-3</v>
      </c>
      <c r="O126" s="25">
        <f>ROUND(IFERROR('1.1 Jakotaulu'!K$11*Ohj.lask.[[#This Row],[%-osuus 2]],0),0)</f>
        <v>1184053</v>
      </c>
      <c r="P126" s="233">
        <f>IFERROR(ROUND(VLOOKUP($A126,'2.3 Työll. ja jatko-opisk.'!$A:$K,COLUMN('2.3 Työll. ja jatko-opisk.'!I:I),FALSE),1),0)</f>
        <v>767.4</v>
      </c>
      <c r="Q126" s="18">
        <f>IFERROR(Ohj.lask.[[#This Row],[Painotetut pisteet 3]]/Ohj.lask.[[#Totals],[Painotetut pisteet 3]],0)</f>
        <v>4.0511263334825536E-3</v>
      </c>
      <c r="R126" s="19">
        <f>ROUND(IFERROR('1.1 Jakotaulu'!L$13*Ohj.lask.[[#This Row],[%-osuus 3]],0),0)</f>
        <v>562515</v>
      </c>
      <c r="S126" s="211">
        <f>IFERROR(ROUND(VLOOKUP($A126,'2.4 Aloittaneet palaute'!$A:$K,COLUMN('2.4 Aloittaneet palaute'!J:J),FALSE),1),0)</f>
        <v>2351</v>
      </c>
      <c r="T126" s="22">
        <f>IFERROR(Ohj.lask.[[#This Row],[Painotetut pisteet 4]]/Ohj.lask.[[#Totals],[Painotetut pisteet 4]],0)</f>
        <v>1.8882975989143449E-3</v>
      </c>
      <c r="U126" s="25">
        <f>ROUND(IFERROR('1.1 Jakotaulu'!M$16*Ohj.lask.[[#This Row],[%-osuus 4]],0),0)</f>
        <v>21850</v>
      </c>
      <c r="V126" s="235">
        <f>IFERROR(ROUND(VLOOKUP($A126,'2.5 Päättäneet palaute'!$A:$AC,COLUMN('2.5 Päättäneet palaute'!AB:AB),FALSE),1),0)</f>
        <v>21733.7</v>
      </c>
      <c r="W126" s="22">
        <f>IFERROR(Ohj.lask.[[#This Row],[Painotetut pisteet 5]]/Ohj.lask.[[#Totals],[Painotetut pisteet 5]],0)</f>
        <v>3.2819977146808588E-3</v>
      </c>
      <c r="X126" s="19">
        <f>ROUND(IFERROR('1.1 Jakotaulu'!M$17*Ohj.lask.[[#This Row],[%-osuus 5]],0),0)</f>
        <v>113930</v>
      </c>
      <c r="Y126" s="21">
        <f>IFERROR(Ohj.lask.[[#This Row],[Jaettava € 6]]/Ohj.lask.[[#Totals],[Jaettava € 6]],"")</f>
        <v>3.3333920186363608E-3</v>
      </c>
      <c r="Z126" s="25">
        <f>IFERROR(Ohj.lask.[[#This Row],[Jaettava € 1]]+Ohj.lask.[[#This Row],[Jaettava € 2]]+Ohj.lask.[[#This Row],[Jaettava € 3]]+Ohj.lask.[[#This Row],[Jaettava € 4]]+Ohj.lask.[[#This Row],[Jaettava € 5]],"")</f>
        <v>5738051</v>
      </c>
      <c r="AA126" s="123">
        <f>0</f>
        <v>0</v>
      </c>
      <c r="AB126" s="19">
        <f>Ohj.lask.[[#This Row],[Jaettava € 1]]+Ohj.lask.[[#This Row],[Jaettava €]]</f>
        <v>3855703</v>
      </c>
      <c r="AC126" s="107">
        <f>Ohj.lask.[[#This Row],[Jaettava € 2]]</f>
        <v>1184053</v>
      </c>
      <c r="AD126" s="19">
        <f>Ohj.lask.[[#This Row],[Jaettava € 3]]+Ohj.lask.[[#This Row],[Jaettava € 4]]+Ohj.lask.[[#This Row],[Jaettava € 5]]</f>
        <v>698295</v>
      </c>
      <c r="AE126" s="36">
        <f>Ohj.lask.[[#This Row],[Jaettava € 6]]+Ohj.lask.[[#This Row],[Jaettava €]]</f>
        <v>5738051</v>
      </c>
      <c r="AF126" s="36">
        <f>IFERROR(VLOOKUP(Ohj.lask.[[#This Row],[Y-tunnus]],'3.1 Alv vahvistettu'!A:Y,COLUMN(C:C),FALSE),0)</f>
        <v>0</v>
      </c>
      <c r="AG126" s="25">
        <f>Ohj.lask.[[#This Row],[Perus-, suoritus- ja vaikuttavuusrahoitus yhteensä, €]]+Ohj.lask.[[#This Row],[Alv-korvaus, €]]</f>
        <v>5738051</v>
      </c>
    </row>
    <row r="127" spans="1:33" x14ac:dyDescent="0.2">
      <c r="A127" s="131" t="s">
        <v>277</v>
      </c>
      <c r="B127" s="16" t="s">
        <v>129</v>
      </c>
      <c r="C127" s="16" t="s">
        <v>236</v>
      </c>
      <c r="D127" s="16" t="s">
        <v>412</v>
      </c>
      <c r="E127" s="16" t="s">
        <v>475</v>
      </c>
      <c r="F127" s="114">
        <v>1087</v>
      </c>
      <c r="G127" s="122">
        <f>0</f>
        <v>0</v>
      </c>
      <c r="H127" s="35">
        <f t="shared" si="6"/>
        <v>1087</v>
      </c>
      <c r="I127" s="17">
        <f>IFERROR(VLOOKUP($A127,'2.1 Toteut. op.vuodet'!$A:$Q,COLUMN('2.1 Toteut. op.vuodet'!Q:Q),FALSE),0)</f>
        <v>1.0418491321278893</v>
      </c>
      <c r="J127" s="11">
        <f t="shared" si="7"/>
        <v>1132.5</v>
      </c>
      <c r="K127" s="18">
        <f>IFERROR(Ohj.lask.[[#This Row],[Painotetut opiskelija-vuodet]]/Ohj.lask.[[#Totals],[Painotetut opiskelija-vuodet]],0)</f>
        <v>5.6622678470182692E-3</v>
      </c>
      <c r="L127" s="19">
        <f>ROUND(IFERROR('1.1 Jakotaulu'!L$10*Ohj.lask.[[#This Row],[%-osuus 1]],0),0)</f>
        <v>6602032</v>
      </c>
      <c r="M127" s="211">
        <f>IFERROR(ROUND(VLOOKUP($A127,'2.2 Tutk. ja osien pain. pist.'!$A:$Q,COLUMN('2.2 Tutk. ja osien pain. pist.'!P:P),FALSE),1),0)</f>
        <v>87651.3</v>
      </c>
      <c r="N127" s="18">
        <f>IFERROR(Ohj.lask.[[#This Row],[Painotetut pisteet 2]]/Ohj.lask.[[#Totals],[Painotetut pisteet 2]],0)</f>
        <v>5.6012912647685322E-3</v>
      </c>
      <c r="O127" s="25">
        <f>ROUND(IFERROR('1.1 Jakotaulu'!K$11*Ohj.lask.[[#This Row],[%-osuus 2]],0),0)</f>
        <v>2074029</v>
      </c>
      <c r="P127" s="233">
        <f>IFERROR(ROUND(VLOOKUP($A127,'2.3 Työll. ja jatko-opisk.'!$A:$K,COLUMN('2.3 Työll. ja jatko-opisk.'!I:I),FALSE),1),0)</f>
        <v>1163</v>
      </c>
      <c r="Q127" s="18">
        <f>IFERROR(Ohj.lask.[[#This Row],[Painotetut pisteet 3]]/Ohj.lask.[[#Totals],[Painotetut pisteet 3]],0)</f>
        <v>6.1395099372429113E-3</v>
      </c>
      <c r="R127" s="19">
        <f>ROUND(IFERROR('1.1 Jakotaulu'!L$13*Ohj.lask.[[#This Row],[%-osuus 3]],0),0)</f>
        <v>852495</v>
      </c>
      <c r="S127" s="211">
        <f>IFERROR(ROUND(VLOOKUP($A127,'2.4 Aloittaneet palaute'!$A:$K,COLUMN('2.4 Aloittaneet palaute'!J:J),FALSE),1),0)</f>
        <v>5187.5</v>
      </c>
      <c r="T127" s="22">
        <f>IFERROR(Ohj.lask.[[#This Row],[Painotetut pisteet 4]]/Ohj.lask.[[#Totals],[Painotetut pisteet 4]],0)</f>
        <v>4.1665435110030472E-3</v>
      </c>
      <c r="U127" s="25">
        <f>ROUND(IFERROR('1.1 Jakotaulu'!M$16*Ohj.lask.[[#This Row],[%-osuus 4]],0),0)</f>
        <v>48212</v>
      </c>
      <c r="V127" s="235">
        <f>IFERROR(ROUND(VLOOKUP($A127,'2.5 Päättäneet palaute'!$A:$AC,COLUMN('2.5 Päättäneet palaute'!AB:AB),FALSE),1),0)</f>
        <v>41712.300000000003</v>
      </c>
      <c r="W127" s="22">
        <f>IFERROR(Ohj.lask.[[#This Row],[Painotetut pisteet 5]]/Ohj.lask.[[#Totals],[Painotetut pisteet 5]],0)</f>
        <v>6.2989584504287068E-3</v>
      </c>
      <c r="X127" s="19">
        <f>ROUND(IFERROR('1.1 Jakotaulu'!M$17*Ohj.lask.[[#This Row],[%-osuus 5]],0),0)</f>
        <v>218659</v>
      </c>
      <c r="Y127" s="21">
        <f>IFERROR(Ohj.lask.[[#This Row],[Jaettava € 6]]/Ohj.lask.[[#Totals],[Jaettava € 6]],"")</f>
        <v>5.6904335951240437E-3</v>
      </c>
      <c r="Z127" s="25">
        <f>IFERROR(Ohj.lask.[[#This Row],[Jaettava € 1]]+Ohj.lask.[[#This Row],[Jaettava € 2]]+Ohj.lask.[[#This Row],[Jaettava € 3]]+Ohj.lask.[[#This Row],[Jaettava € 4]]+Ohj.lask.[[#This Row],[Jaettava € 5]],"")</f>
        <v>9795427</v>
      </c>
      <c r="AA127" s="123">
        <f>0</f>
        <v>0</v>
      </c>
      <c r="AB127" s="19">
        <f>Ohj.lask.[[#This Row],[Jaettava € 1]]+Ohj.lask.[[#This Row],[Jaettava €]]</f>
        <v>6602032</v>
      </c>
      <c r="AC127" s="107">
        <f>Ohj.lask.[[#This Row],[Jaettava € 2]]</f>
        <v>2074029</v>
      </c>
      <c r="AD127" s="19">
        <f>Ohj.lask.[[#This Row],[Jaettava € 3]]+Ohj.lask.[[#This Row],[Jaettava € 4]]+Ohj.lask.[[#This Row],[Jaettava € 5]]</f>
        <v>1119366</v>
      </c>
      <c r="AE127" s="36">
        <f>Ohj.lask.[[#This Row],[Jaettava € 6]]+Ohj.lask.[[#This Row],[Jaettava €]]</f>
        <v>9795427</v>
      </c>
      <c r="AF127" s="36">
        <f>IFERROR(VLOOKUP(Ohj.lask.[[#This Row],[Y-tunnus]],'3.1 Alv vahvistettu'!A:Y,COLUMN(C:C),FALSE),0)</f>
        <v>614617.88</v>
      </c>
      <c r="AG127" s="25">
        <f>Ohj.lask.[[#This Row],[Perus-, suoritus- ja vaikuttavuusrahoitus yhteensä, €]]+Ohj.lask.[[#This Row],[Alv-korvaus, €]]</f>
        <v>10410044.880000001</v>
      </c>
    </row>
    <row r="128" spans="1:33" x14ac:dyDescent="0.2">
      <c r="A128" s="131" t="s">
        <v>276</v>
      </c>
      <c r="B128" s="16" t="s">
        <v>130</v>
      </c>
      <c r="C128" s="16" t="s">
        <v>242</v>
      </c>
      <c r="D128" s="16" t="s">
        <v>411</v>
      </c>
      <c r="E128" s="16" t="s">
        <v>475</v>
      </c>
      <c r="F128" s="114">
        <v>1394</v>
      </c>
      <c r="G128" s="122">
        <f>0</f>
        <v>0</v>
      </c>
      <c r="H128" s="35">
        <f t="shared" si="6"/>
        <v>1394</v>
      </c>
      <c r="I128" s="17">
        <f>IFERROR(VLOOKUP($A128,'2.1 Toteut. op.vuodet'!$A:$Q,COLUMN('2.1 Toteut. op.vuodet'!Q:Q),FALSE),0)</f>
        <v>1.1388284584800907</v>
      </c>
      <c r="J128" s="11">
        <f t="shared" si="7"/>
        <v>1587.5</v>
      </c>
      <c r="K128" s="18">
        <f>IFERROR(Ohj.lask.[[#This Row],[Painotetut opiskelija-vuodet]]/Ohj.lask.[[#Totals],[Painotetut opiskelija-vuodet]],0)</f>
        <v>7.9371745758423859E-3</v>
      </c>
      <c r="L128" s="19">
        <f>ROUND(IFERROR('1.1 Jakotaulu'!L$10*Ohj.lask.[[#This Row],[%-osuus 1]],0),0)</f>
        <v>9254503</v>
      </c>
      <c r="M128" s="211">
        <f>IFERROR(ROUND(VLOOKUP($A128,'2.2 Tutk. ja osien pain. pist.'!$A:$Q,COLUMN('2.2 Tutk. ja osien pain. pist.'!P:P),FALSE),1),0)</f>
        <v>153933.70000000001</v>
      </c>
      <c r="N128" s="18">
        <f>IFERROR(Ohj.lask.[[#This Row],[Painotetut pisteet 2]]/Ohj.lask.[[#Totals],[Painotetut pisteet 2]],0)</f>
        <v>9.8370188367257506E-3</v>
      </c>
      <c r="O128" s="25">
        <f>ROUND(IFERROR('1.1 Jakotaulu'!K$11*Ohj.lask.[[#This Row],[%-osuus 2]],0),0)</f>
        <v>3642422</v>
      </c>
      <c r="P128" s="233">
        <f>IFERROR(ROUND(VLOOKUP($A128,'2.3 Työll. ja jatko-opisk.'!$A:$K,COLUMN('2.3 Työll. ja jatko-opisk.'!I:I),FALSE),1),0)</f>
        <v>1708.1</v>
      </c>
      <c r="Q128" s="18">
        <f>IFERROR(Ohj.lask.[[#This Row],[Painotetut pisteet 3]]/Ohj.lask.[[#Totals],[Painotetut pisteet 3]],0)</f>
        <v>9.0171082749824737E-3</v>
      </c>
      <c r="R128" s="19">
        <f>ROUND(IFERROR('1.1 Jakotaulu'!L$13*Ohj.lask.[[#This Row],[%-osuus 3]],0),0)</f>
        <v>1252060</v>
      </c>
      <c r="S128" s="211">
        <f>IFERROR(ROUND(VLOOKUP($A128,'2.4 Aloittaneet palaute'!$A:$K,COLUMN('2.4 Aloittaneet palaute'!J:J),FALSE),1),0)</f>
        <v>11682.5</v>
      </c>
      <c r="T128" s="22">
        <f>IFERROR(Ohj.lask.[[#This Row],[Painotetut pisteet 4]]/Ohj.lask.[[#Totals],[Painotetut pisteet 4]],0)</f>
        <v>9.3832567840565016E-3</v>
      </c>
      <c r="U128" s="25">
        <f>ROUND(IFERROR('1.1 Jakotaulu'!M$16*Ohj.lask.[[#This Row],[%-osuus 4]],0),0)</f>
        <v>108575</v>
      </c>
      <c r="V128" s="235">
        <f>IFERROR(ROUND(VLOOKUP($A128,'2.5 Päättäneet palaute'!$A:$AC,COLUMN('2.5 Päättäneet palaute'!AB:AB),FALSE),1),0)</f>
        <v>47071.5</v>
      </c>
      <c r="W128" s="22">
        <f>IFERROR(Ohj.lask.[[#This Row],[Painotetut pisteet 5]]/Ohj.lask.[[#Totals],[Painotetut pisteet 5]],0)</f>
        <v>7.1082491902713313E-3</v>
      </c>
      <c r="X128" s="19">
        <f>ROUND(IFERROR('1.1 Jakotaulu'!M$17*Ohj.lask.[[#This Row],[%-osuus 5]],0),0)</f>
        <v>246752</v>
      </c>
      <c r="Y128" s="21">
        <f>IFERROR(Ohj.lask.[[#This Row],[Jaettava € 6]]/Ohj.lask.[[#Totals],[Jaettava € 6]],"")</f>
        <v>8.4259547112097103E-3</v>
      </c>
      <c r="Z128" s="25">
        <f>IFERROR(Ohj.lask.[[#This Row],[Jaettava € 1]]+Ohj.lask.[[#This Row],[Jaettava € 2]]+Ohj.lask.[[#This Row],[Jaettava € 3]]+Ohj.lask.[[#This Row],[Jaettava € 4]]+Ohj.lask.[[#This Row],[Jaettava € 5]],"")</f>
        <v>14504312</v>
      </c>
      <c r="AA128" s="123">
        <f>0</f>
        <v>0</v>
      </c>
      <c r="AB128" s="19">
        <f>Ohj.lask.[[#This Row],[Jaettava € 1]]+Ohj.lask.[[#This Row],[Jaettava €]]</f>
        <v>9254503</v>
      </c>
      <c r="AC128" s="107">
        <f>Ohj.lask.[[#This Row],[Jaettava € 2]]</f>
        <v>3642422</v>
      </c>
      <c r="AD128" s="19">
        <f>Ohj.lask.[[#This Row],[Jaettava € 3]]+Ohj.lask.[[#This Row],[Jaettava € 4]]+Ohj.lask.[[#This Row],[Jaettava € 5]]</f>
        <v>1607387</v>
      </c>
      <c r="AE128" s="36">
        <f>Ohj.lask.[[#This Row],[Jaettava € 6]]+Ohj.lask.[[#This Row],[Jaettava €]]</f>
        <v>14504312</v>
      </c>
      <c r="AF128" s="36">
        <f>IFERROR(VLOOKUP(Ohj.lask.[[#This Row],[Y-tunnus]],'3.1 Alv vahvistettu'!A:Y,COLUMN(C:C),FALSE),0)</f>
        <v>0</v>
      </c>
      <c r="AG128" s="25">
        <f>Ohj.lask.[[#This Row],[Perus-, suoritus- ja vaikuttavuusrahoitus yhteensä, €]]+Ohj.lask.[[#This Row],[Alv-korvaus, €]]</f>
        <v>14504312</v>
      </c>
    </row>
    <row r="129" spans="1:33" x14ac:dyDescent="0.2">
      <c r="A129" s="131" t="s">
        <v>275</v>
      </c>
      <c r="B129" s="16" t="s">
        <v>131</v>
      </c>
      <c r="C129" s="98" t="s">
        <v>247</v>
      </c>
      <c r="D129" s="98" t="s">
        <v>412</v>
      </c>
      <c r="E129" s="98" t="s">
        <v>474</v>
      </c>
      <c r="F129" s="113">
        <v>956</v>
      </c>
      <c r="G129" s="122">
        <f>0</f>
        <v>0</v>
      </c>
      <c r="H129" s="35">
        <f t="shared" si="6"/>
        <v>956</v>
      </c>
      <c r="I129" s="17">
        <f>IFERROR(VLOOKUP($A129,'2.1 Toteut. op.vuodet'!$A:$Q,COLUMN('2.1 Toteut. op.vuodet'!Q:Q),FALSE),0)</f>
        <v>0.83638782889159302</v>
      </c>
      <c r="J129" s="11">
        <f t="shared" si="7"/>
        <v>799.6</v>
      </c>
      <c r="K129" s="18">
        <f>IFERROR(Ohj.lask.[[#This Row],[Painotetut opiskelija-vuodet]]/Ohj.lask.[[#Totals],[Painotetut opiskelija-vuodet]],0)</f>
        <v>3.9978360887203603E-3</v>
      </c>
      <c r="L129" s="19">
        <f>ROUND(IFERROR('1.1 Jakotaulu'!L$10*Ohj.lask.[[#This Row],[%-osuus 1]],0),0)</f>
        <v>4661355</v>
      </c>
      <c r="M129" s="211">
        <f>IFERROR(ROUND(VLOOKUP($A129,'2.2 Tutk. ja osien pain. pist.'!$A:$Q,COLUMN('2.2 Tutk. ja osien pain. pist.'!P:P),FALSE),1),0)</f>
        <v>113047.9</v>
      </c>
      <c r="N129" s="18">
        <f>IFERROR(Ohj.lask.[[#This Row],[Painotetut pisteet 2]]/Ohj.lask.[[#Totals],[Painotetut pisteet 2]],0)</f>
        <v>7.2242421364021583E-3</v>
      </c>
      <c r="O129" s="25">
        <f>ROUND(IFERROR('1.1 Jakotaulu'!K$11*Ohj.lask.[[#This Row],[%-osuus 2]],0),0)</f>
        <v>2674971</v>
      </c>
      <c r="P129" s="233">
        <f>IFERROR(ROUND(VLOOKUP($A129,'2.3 Työll. ja jatko-opisk.'!$A:$K,COLUMN('2.3 Työll. ja jatko-opisk.'!I:I),FALSE),1),0)</f>
        <v>2021.6</v>
      </c>
      <c r="Q129" s="22">
        <f>IFERROR(Ohj.lask.[[#This Row],[Painotetut pisteet 3]]/Ohj.lask.[[#Totals],[Painotetut pisteet 3]],0)</f>
        <v>1.0672083653594386E-2</v>
      </c>
      <c r="R129" s="19">
        <f>ROUND(IFERROR('1.1 Jakotaulu'!L$13*Ohj.lask.[[#This Row],[%-osuus 3]],0),0)</f>
        <v>1481860</v>
      </c>
      <c r="S129" s="211">
        <f>IFERROR(ROUND(VLOOKUP($A129,'2.4 Aloittaneet palaute'!$A:$K,COLUMN('2.4 Aloittaneet palaute'!J:J),FALSE),1),0)</f>
        <v>20088.5</v>
      </c>
      <c r="T129" s="22">
        <f>IFERROR(Ohj.lask.[[#This Row],[Painotetut pisteet 4]]/Ohj.lask.[[#Totals],[Painotetut pisteet 4]],0)</f>
        <v>1.6134864447380187E-2</v>
      </c>
      <c r="U129" s="25">
        <f>ROUND(IFERROR('1.1 Jakotaulu'!M$16*Ohj.lask.[[#This Row],[%-osuus 4]],0),0)</f>
        <v>186699</v>
      </c>
      <c r="V129" s="235">
        <f>IFERROR(ROUND(VLOOKUP($A129,'2.5 Päättäneet palaute'!$A:$AC,COLUMN('2.5 Päättäneet palaute'!AB:AB),FALSE),1),0)</f>
        <v>109969.7</v>
      </c>
      <c r="W129" s="22">
        <f>IFERROR(Ohj.lask.[[#This Row],[Painotetut pisteet 5]]/Ohj.lask.[[#Totals],[Painotetut pisteet 5]],0)</f>
        <v>1.660648228714575E-2</v>
      </c>
      <c r="X129" s="19">
        <f>ROUND(IFERROR('1.1 Jakotaulu'!M$17*Ohj.lask.[[#This Row],[%-osuus 5]],0),0)</f>
        <v>576469</v>
      </c>
      <c r="Y129" s="21">
        <f>IFERROR(Ohj.lask.[[#This Row],[Jaettava € 6]]/Ohj.lask.[[#Totals],[Jaettava € 6]],"")</f>
        <v>5.5660726876302722E-3</v>
      </c>
      <c r="Z129" s="25">
        <f>IFERROR(Ohj.lask.[[#This Row],[Jaettava € 1]]+Ohj.lask.[[#This Row],[Jaettava € 2]]+Ohj.lask.[[#This Row],[Jaettava € 3]]+Ohj.lask.[[#This Row],[Jaettava € 4]]+Ohj.lask.[[#This Row],[Jaettava € 5]],"")</f>
        <v>9581354</v>
      </c>
      <c r="AA129" s="123">
        <f>0</f>
        <v>0</v>
      </c>
      <c r="AB129" s="19">
        <f>Ohj.lask.[[#This Row],[Jaettava € 1]]+Ohj.lask.[[#This Row],[Jaettava €]]</f>
        <v>4661355</v>
      </c>
      <c r="AC129" s="107">
        <f>Ohj.lask.[[#This Row],[Jaettava € 2]]</f>
        <v>2674971</v>
      </c>
      <c r="AD129" s="19">
        <f>Ohj.lask.[[#This Row],[Jaettava € 3]]+Ohj.lask.[[#This Row],[Jaettava € 4]]+Ohj.lask.[[#This Row],[Jaettava € 5]]</f>
        <v>2245028</v>
      </c>
      <c r="AE129" s="36">
        <f>Ohj.lask.[[#This Row],[Jaettava € 6]]+Ohj.lask.[[#This Row],[Jaettava €]]</f>
        <v>9581354</v>
      </c>
      <c r="AF129" s="36">
        <f>IFERROR(VLOOKUP(Ohj.lask.[[#This Row],[Y-tunnus]],'3.1 Alv vahvistettu'!A:Y,COLUMN(C:C),FALSE),0)</f>
        <v>714159.39</v>
      </c>
      <c r="AG129" s="25">
        <f>Ohj.lask.[[#This Row],[Perus-, suoritus- ja vaikuttavuusrahoitus yhteensä, €]]+Ohj.lask.[[#This Row],[Alv-korvaus, €]]</f>
        <v>10295513.390000001</v>
      </c>
    </row>
    <row r="130" spans="1:33" x14ac:dyDescent="0.2">
      <c r="A130" s="131" t="s">
        <v>274</v>
      </c>
      <c r="B130" s="16" t="s">
        <v>132</v>
      </c>
      <c r="C130" s="16" t="s">
        <v>247</v>
      </c>
      <c r="D130" s="16" t="s">
        <v>413</v>
      </c>
      <c r="E130" s="16" t="s">
        <v>474</v>
      </c>
      <c r="F130" s="114">
        <v>8065</v>
      </c>
      <c r="G130" s="122">
        <f>0</f>
        <v>0</v>
      </c>
      <c r="H130" s="35">
        <f t="shared" si="6"/>
        <v>8065</v>
      </c>
      <c r="I130" s="17">
        <f>IFERROR(VLOOKUP($A130,'2.1 Toteut. op.vuodet'!$A:$Q,COLUMN('2.1 Toteut. op.vuodet'!Q:Q),FALSE),0)</f>
        <v>1.0582435230079013</v>
      </c>
      <c r="J130" s="11">
        <f t="shared" si="7"/>
        <v>8534.7000000000007</v>
      </c>
      <c r="K130" s="18">
        <f>IFERROR(Ohj.lask.[[#This Row],[Painotetut opiskelija-vuodet]]/Ohj.lask.[[#Totals],[Painotetut opiskelija-vuodet]],0)</f>
        <v>4.2671750458231197E-2</v>
      </c>
      <c r="L130" s="19">
        <f>ROUND(IFERROR('1.1 Jakotaulu'!L$10*Ohj.lask.[[#This Row],[%-osuus 1]],0),0)</f>
        <v>49753960</v>
      </c>
      <c r="M130" s="211">
        <f>IFERROR(ROUND(VLOOKUP($A130,'2.2 Tutk. ja osien pain. pist.'!$A:$Q,COLUMN('2.2 Tutk. ja osien pain. pist.'!P:P),FALSE),1),0)</f>
        <v>753169</v>
      </c>
      <c r="N130" s="18">
        <f>IFERROR(Ohj.lask.[[#This Row],[Painotetut pisteet 2]]/Ohj.lask.[[#Totals],[Painotetut pisteet 2]],0)</f>
        <v>4.8130705883363399E-2</v>
      </c>
      <c r="O130" s="25">
        <f>ROUND(IFERROR('1.1 Jakotaulu'!K$11*Ohj.lask.[[#This Row],[%-osuus 2]],0),0)</f>
        <v>17821693</v>
      </c>
      <c r="P130" s="233">
        <f>IFERROR(ROUND(VLOOKUP($A130,'2.3 Työll. ja jatko-opisk.'!$A:$K,COLUMN('2.3 Työll. ja jatko-opisk.'!I:I),FALSE),1),0)</f>
        <v>10741.9</v>
      </c>
      <c r="Q130" s="18">
        <f>IFERROR(Ohj.lask.[[#This Row],[Painotetut pisteet 3]]/Ohj.lask.[[#Totals],[Painotetut pisteet 3]],0)</f>
        <v>5.6706794320610175E-2</v>
      </c>
      <c r="R130" s="19">
        <f>ROUND(IFERROR('1.1 Jakotaulu'!L$13*Ohj.lask.[[#This Row],[%-osuus 3]],0),0)</f>
        <v>7873958</v>
      </c>
      <c r="S130" s="211">
        <f>IFERROR(ROUND(VLOOKUP($A130,'2.4 Aloittaneet palaute'!$A:$K,COLUMN('2.4 Aloittaneet palaute'!J:J),FALSE),1),0)</f>
        <v>58420.1</v>
      </c>
      <c r="T130" s="22">
        <f>IFERROR(Ohj.lask.[[#This Row],[Painotetut pisteet 4]]/Ohj.lask.[[#Totals],[Painotetut pisteet 4]],0)</f>
        <v>4.6922388157522719E-2</v>
      </c>
      <c r="U130" s="25">
        <f>ROUND(IFERROR('1.1 Jakotaulu'!M$16*Ohj.lask.[[#This Row],[%-osuus 4]],0),0)</f>
        <v>542946</v>
      </c>
      <c r="V130" s="235">
        <f>IFERROR(ROUND(VLOOKUP($A130,'2.5 Päättäneet palaute'!$A:$AC,COLUMN('2.5 Päättäneet palaute'!AB:AB),FALSE),1),0)</f>
        <v>305025.7</v>
      </c>
      <c r="W130" s="22">
        <f>IFERROR(Ohj.lask.[[#This Row],[Painotetut pisteet 5]]/Ohj.lask.[[#Totals],[Painotetut pisteet 5]],0)</f>
        <v>4.6061814155846877E-2</v>
      </c>
      <c r="X130" s="19">
        <f>ROUND(IFERROR('1.1 Jakotaulu'!M$17*Ohj.lask.[[#This Row],[%-osuus 5]],0),0)</f>
        <v>1598965</v>
      </c>
      <c r="Y130" s="21">
        <f>IFERROR(Ohj.lask.[[#This Row],[Jaettava € 6]]/Ohj.lask.[[#Totals],[Jaettava € 6]],"")</f>
        <v>4.5075054255991731E-2</v>
      </c>
      <c r="Z130" s="25">
        <f>IFERROR(Ohj.lask.[[#This Row],[Jaettava € 1]]+Ohj.lask.[[#This Row],[Jaettava € 2]]+Ohj.lask.[[#This Row],[Jaettava € 3]]+Ohj.lask.[[#This Row],[Jaettava € 4]]+Ohj.lask.[[#This Row],[Jaettava € 5]],"")</f>
        <v>77591522</v>
      </c>
      <c r="AA130" s="123">
        <f>0</f>
        <v>0</v>
      </c>
      <c r="AB130" s="19">
        <f>Ohj.lask.[[#This Row],[Jaettava € 1]]+Ohj.lask.[[#This Row],[Jaettava €]]</f>
        <v>49753960</v>
      </c>
      <c r="AC130" s="107">
        <f>Ohj.lask.[[#This Row],[Jaettava € 2]]</f>
        <v>17821693</v>
      </c>
      <c r="AD130" s="19">
        <f>Ohj.lask.[[#This Row],[Jaettava € 3]]+Ohj.lask.[[#This Row],[Jaettava € 4]]+Ohj.lask.[[#This Row],[Jaettava € 5]]</f>
        <v>10015869</v>
      </c>
      <c r="AE130" s="36">
        <f>Ohj.lask.[[#This Row],[Jaettava € 6]]+Ohj.lask.[[#This Row],[Jaettava €]]</f>
        <v>77591522</v>
      </c>
      <c r="AF130" s="36">
        <f>IFERROR(VLOOKUP(Ohj.lask.[[#This Row],[Y-tunnus]],'3.1 Alv vahvistettu'!A:Y,COLUMN(C:C),FALSE),0)</f>
        <v>0</v>
      </c>
      <c r="AG130" s="25">
        <f>Ohj.lask.[[#This Row],[Perus-, suoritus- ja vaikuttavuusrahoitus yhteensä, €]]+Ohj.lask.[[#This Row],[Alv-korvaus, €]]</f>
        <v>77591522</v>
      </c>
    </row>
    <row r="131" spans="1:33" x14ac:dyDescent="0.2">
      <c r="A131" s="131" t="s">
        <v>273</v>
      </c>
      <c r="B131" s="16" t="s">
        <v>133</v>
      </c>
      <c r="C131" s="16" t="s">
        <v>247</v>
      </c>
      <c r="D131" s="16" t="s">
        <v>412</v>
      </c>
      <c r="E131" s="16" t="s">
        <v>474</v>
      </c>
      <c r="F131" s="114">
        <v>61</v>
      </c>
      <c r="G131" s="122">
        <f>0</f>
        <v>0</v>
      </c>
      <c r="H131" s="35">
        <f t="shared" si="6"/>
        <v>61</v>
      </c>
      <c r="I131" s="17">
        <f>IFERROR(VLOOKUP($A131,'2.1 Toteut. op.vuodet'!$A:$Q,COLUMN('2.1 Toteut. op.vuodet'!Q:Q),FALSE),0)</f>
        <v>1.4942816356850723</v>
      </c>
      <c r="J131" s="11">
        <f t="shared" si="7"/>
        <v>91.2</v>
      </c>
      <c r="K131" s="18">
        <f>IFERROR(Ohj.lask.[[#This Row],[Painotetut opiskelija-vuodet]]/Ohj.lask.[[#Totals],[Painotetut opiskelija-vuodet]],0)</f>
        <v>4.5598130476650435E-4</v>
      </c>
      <c r="L131" s="19">
        <f>ROUND(IFERROR('1.1 Jakotaulu'!L$10*Ohj.lask.[[#This Row],[%-osuus 1]],0),0)</f>
        <v>531660</v>
      </c>
      <c r="M131" s="211">
        <f>IFERROR(ROUND(VLOOKUP($A131,'2.2 Tutk. ja osien pain. pist.'!$A:$Q,COLUMN('2.2 Tutk. ja osien pain. pist.'!P:P),FALSE),1),0)</f>
        <v>9698.6</v>
      </c>
      <c r="N131" s="18">
        <f>IFERROR(Ohj.lask.[[#This Row],[Painotetut pisteet 2]]/Ohj.lask.[[#Totals],[Painotetut pisteet 2]],0)</f>
        <v>6.1978183393154558E-4</v>
      </c>
      <c r="O131" s="25">
        <f>ROUND(IFERROR('1.1 Jakotaulu'!K$11*Ohj.lask.[[#This Row],[%-osuus 2]],0),0)</f>
        <v>229491</v>
      </c>
      <c r="P131" s="233">
        <f>IFERROR(ROUND(VLOOKUP($A131,'2.3 Työll. ja jatko-opisk.'!$A:$K,COLUMN('2.3 Työll. ja jatko-opisk.'!I:I),FALSE),1),0)</f>
        <v>62.9</v>
      </c>
      <c r="Q131" s="18">
        <f>IFERROR(Ohj.lask.[[#This Row],[Painotetut pisteet 3]]/Ohj.lask.[[#Totals],[Painotetut pisteet 3]],0)</f>
        <v>3.3205088138656846E-4</v>
      </c>
      <c r="R131" s="19">
        <f>ROUND(IFERROR('1.1 Jakotaulu'!L$13*Ohj.lask.[[#This Row],[%-osuus 3]],0),0)</f>
        <v>46107</v>
      </c>
      <c r="S131" s="211">
        <f>IFERROR(ROUND(VLOOKUP($A131,'2.4 Aloittaneet palaute'!$A:$K,COLUMN('2.4 Aloittaneet palaute'!J:J),FALSE),1),0)</f>
        <v>631.70000000000005</v>
      </c>
      <c r="T131" s="22">
        <f>IFERROR(Ohj.lask.[[#This Row],[Painotetut pisteet 4]]/Ohj.lask.[[#Totals],[Painotetut pisteet 4]],0)</f>
        <v>5.0737456113746993E-4</v>
      </c>
      <c r="U131" s="25">
        <f>ROUND(IFERROR('1.1 Jakotaulu'!M$16*Ohj.lask.[[#This Row],[%-osuus 4]],0),0)</f>
        <v>5871</v>
      </c>
      <c r="V131" s="235">
        <f>IFERROR(ROUND(VLOOKUP($A131,'2.5 Päättäneet palaute'!$A:$AC,COLUMN('2.5 Päättäneet palaute'!AB:AB),FALSE),1),0)</f>
        <v>4127</v>
      </c>
      <c r="W131" s="22">
        <f>IFERROR(Ohj.lask.[[#This Row],[Painotetut pisteet 5]]/Ohj.lask.[[#Totals],[Painotetut pisteet 5]],0)</f>
        <v>6.2321668967952552E-4</v>
      </c>
      <c r="X131" s="19">
        <f>ROUND(IFERROR('1.1 Jakotaulu'!M$17*Ohj.lask.[[#This Row],[%-osuus 5]],0),0)</f>
        <v>21634</v>
      </c>
      <c r="Y131" s="21">
        <f>IFERROR(Ohj.lask.[[#This Row],[Jaettava € 6]]/Ohj.lask.[[#Totals],[Jaettava € 6]],"")</f>
        <v>4.8493684034055197E-4</v>
      </c>
      <c r="Z131" s="25">
        <f>IFERROR(Ohj.lask.[[#This Row],[Jaettava € 1]]+Ohj.lask.[[#This Row],[Jaettava € 2]]+Ohj.lask.[[#This Row],[Jaettava € 3]]+Ohj.lask.[[#This Row],[Jaettava € 4]]+Ohj.lask.[[#This Row],[Jaettava € 5]],"")</f>
        <v>834763</v>
      </c>
      <c r="AA131" s="123">
        <f>0</f>
        <v>0</v>
      </c>
      <c r="AB131" s="19">
        <f>Ohj.lask.[[#This Row],[Jaettava € 1]]+Ohj.lask.[[#This Row],[Jaettava €]]</f>
        <v>531660</v>
      </c>
      <c r="AC131" s="107">
        <f>Ohj.lask.[[#This Row],[Jaettava € 2]]</f>
        <v>229491</v>
      </c>
      <c r="AD131" s="19">
        <f>Ohj.lask.[[#This Row],[Jaettava € 3]]+Ohj.lask.[[#This Row],[Jaettava € 4]]+Ohj.lask.[[#This Row],[Jaettava € 5]]</f>
        <v>73612</v>
      </c>
      <c r="AE131" s="36">
        <f>Ohj.lask.[[#This Row],[Jaettava € 6]]+Ohj.lask.[[#This Row],[Jaettava €]]</f>
        <v>834763</v>
      </c>
      <c r="AF131" s="36">
        <f>IFERROR(VLOOKUP(Ohj.lask.[[#This Row],[Y-tunnus]],'3.1 Alv vahvistettu'!A:Y,COLUMN(C:C),FALSE),0)</f>
        <v>28808.02</v>
      </c>
      <c r="AG131" s="25">
        <f>Ohj.lask.[[#This Row],[Perus-, suoritus- ja vaikuttavuusrahoitus yhteensä, €]]+Ohj.lask.[[#This Row],[Alv-korvaus, €]]</f>
        <v>863571.02</v>
      </c>
    </row>
    <row r="132" spans="1:33" x14ac:dyDescent="0.2">
      <c r="A132" s="131" t="s">
        <v>271</v>
      </c>
      <c r="B132" s="16" t="s">
        <v>134</v>
      </c>
      <c r="C132" s="16" t="s">
        <v>270</v>
      </c>
      <c r="D132" s="16" t="s">
        <v>412</v>
      </c>
      <c r="E132" s="16" t="s">
        <v>474</v>
      </c>
      <c r="F132" s="114">
        <v>66</v>
      </c>
      <c r="G132" s="122">
        <f>0</f>
        <v>0</v>
      </c>
      <c r="H132" s="35">
        <f t="shared" si="6"/>
        <v>66</v>
      </c>
      <c r="I132" s="17">
        <f>IFERROR(VLOOKUP($A132,'2.1 Toteut. op.vuodet'!$A:$Q,COLUMN('2.1 Toteut. op.vuodet'!Q:Q),FALSE),0)</f>
        <v>1.5896765703321101</v>
      </c>
      <c r="J132" s="11">
        <f t="shared" si="7"/>
        <v>104.9</v>
      </c>
      <c r="K132" s="18">
        <f>IFERROR(Ohj.lask.[[#This Row],[Painotetut opiskelija-vuodet]]/Ohj.lask.[[#Totals],[Painotetut opiskelija-vuodet]],0)</f>
        <v>5.2447849638164812E-4</v>
      </c>
      <c r="L132" s="19">
        <f>ROUND(IFERROR('1.1 Jakotaulu'!L$10*Ohj.lask.[[#This Row],[%-osuus 1]],0),0)</f>
        <v>611526</v>
      </c>
      <c r="M132" s="211">
        <f>IFERROR(ROUND(VLOOKUP($A132,'2.2 Tutk. ja osien pain. pist.'!$A:$Q,COLUMN('2.2 Tutk. ja osien pain. pist.'!P:P),FALSE),1),0)</f>
        <v>13996</v>
      </c>
      <c r="N132" s="18">
        <f>IFERROR(Ohj.lask.[[#This Row],[Painotetut pisteet 2]]/Ohj.lask.[[#Totals],[Painotetut pisteet 2]],0)</f>
        <v>8.9440399106117507E-4</v>
      </c>
      <c r="O132" s="25">
        <f>ROUND(IFERROR('1.1 Jakotaulu'!K$11*Ohj.lask.[[#This Row],[%-osuus 2]],0),0)</f>
        <v>331177</v>
      </c>
      <c r="P132" s="233">
        <f>IFERROR(ROUND(VLOOKUP($A132,'2.3 Työll. ja jatko-opisk.'!$A:$K,COLUMN('2.3 Työll. ja jatko-opisk.'!I:I),FALSE),1),0)</f>
        <v>92.5</v>
      </c>
      <c r="Q132" s="18">
        <f>IFERROR(Ohj.lask.[[#This Row],[Painotetut pisteet 3]]/Ohj.lask.[[#Totals],[Painotetut pisteet 3]],0)</f>
        <v>4.8831011968613008E-4</v>
      </c>
      <c r="R132" s="19">
        <f>ROUND(IFERROR('1.1 Jakotaulu'!L$13*Ohj.lask.[[#This Row],[%-osuus 3]],0),0)</f>
        <v>67804</v>
      </c>
      <c r="S132" s="211">
        <f>IFERROR(ROUND(VLOOKUP($A132,'2.4 Aloittaneet palaute'!$A:$K,COLUMN('2.4 Aloittaneet palaute'!J:J),FALSE),1),0)</f>
        <v>537.9</v>
      </c>
      <c r="T132" s="22">
        <f>IFERROR(Ohj.lask.[[#This Row],[Painotetut pisteet 4]]/Ohj.lask.[[#Totals],[Painotetut pisteet 4]],0)</f>
        <v>4.3203542256742923E-4</v>
      </c>
      <c r="U132" s="25">
        <f>ROUND(IFERROR('1.1 Jakotaulu'!M$16*Ohj.lask.[[#This Row],[%-osuus 4]],0),0)</f>
        <v>4999</v>
      </c>
      <c r="V132" s="235">
        <f>IFERROR(ROUND(VLOOKUP($A132,'2.5 Päättäneet palaute'!$A:$AC,COLUMN('2.5 Päättäneet palaute'!AB:AB),FALSE),1),0)</f>
        <v>0</v>
      </c>
      <c r="W132" s="22">
        <f>IFERROR(Ohj.lask.[[#This Row],[Painotetut pisteet 5]]/Ohj.lask.[[#Totals],[Painotetut pisteet 5]],0)</f>
        <v>0</v>
      </c>
      <c r="X132" s="19">
        <f>ROUND(IFERROR('1.1 Jakotaulu'!M$17*Ohj.lask.[[#This Row],[%-osuus 5]],0),0)</f>
        <v>0</v>
      </c>
      <c r="Y132" s="21">
        <f>IFERROR(Ohj.lask.[[#This Row],[Jaettava € 6]]/Ohj.lask.[[#Totals],[Jaettava € 6]],"")</f>
        <v>5.8993543195718138E-4</v>
      </c>
      <c r="Z132" s="25">
        <f>IFERROR(Ohj.lask.[[#This Row],[Jaettava € 1]]+Ohj.lask.[[#This Row],[Jaettava € 2]]+Ohj.lask.[[#This Row],[Jaettava € 3]]+Ohj.lask.[[#This Row],[Jaettava € 4]]+Ohj.lask.[[#This Row],[Jaettava € 5]],"")</f>
        <v>1015506</v>
      </c>
      <c r="AA132" s="123">
        <f>0</f>
        <v>0</v>
      </c>
      <c r="AB132" s="19">
        <f>Ohj.lask.[[#This Row],[Jaettava € 1]]+Ohj.lask.[[#This Row],[Jaettava €]]</f>
        <v>611526</v>
      </c>
      <c r="AC132" s="107">
        <f>Ohj.lask.[[#This Row],[Jaettava € 2]]</f>
        <v>331177</v>
      </c>
      <c r="AD132" s="19">
        <f>Ohj.lask.[[#This Row],[Jaettava € 3]]+Ohj.lask.[[#This Row],[Jaettava € 4]]+Ohj.lask.[[#This Row],[Jaettava € 5]]</f>
        <v>72803</v>
      </c>
      <c r="AE132" s="36">
        <f>Ohj.lask.[[#This Row],[Jaettava € 6]]+Ohj.lask.[[#This Row],[Jaettava €]]</f>
        <v>1015506</v>
      </c>
      <c r="AF132" s="36">
        <f>IFERROR(VLOOKUP(Ohj.lask.[[#This Row],[Y-tunnus]],'3.1 Alv vahvistettu'!A:Y,COLUMN(C:C),FALSE),0)</f>
        <v>44480.91</v>
      </c>
      <c r="AG132" s="25">
        <f>Ohj.lask.[[#This Row],[Perus-, suoritus- ja vaikuttavuusrahoitus yhteensä, €]]+Ohj.lask.[[#This Row],[Alv-korvaus, €]]</f>
        <v>1059986.9099999999</v>
      </c>
    </row>
    <row r="133" spans="1:33" x14ac:dyDescent="0.2">
      <c r="A133" s="131" t="s">
        <v>266</v>
      </c>
      <c r="B133" s="16" t="s">
        <v>135</v>
      </c>
      <c r="C133" s="16" t="s">
        <v>240</v>
      </c>
      <c r="D133" s="16" t="s">
        <v>412</v>
      </c>
      <c r="E133" s="16" t="s">
        <v>474</v>
      </c>
      <c r="F133" s="114">
        <v>184</v>
      </c>
      <c r="G133" s="122">
        <f>0</f>
        <v>0</v>
      </c>
      <c r="H133" s="35">
        <f t="shared" si="6"/>
        <v>184</v>
      </c>
      <c r="I133" s="17">
        <f>IFERROR(VLOOKUP($A133,'2.1 Toteut. op.vuodet'!$A:$Q,COLUMN('2.1 Toteut. op.vuodet'!Q:Q),FALSE),0)</f>
        <v>1.4130168599609065</v>
      </c>
      <c r="J133" s="11">
        <f t="shared" si="7"/>
        <v>260</v>
      </c>
      <c r="K133" s="18">
        <f>IFERROR(Ohj.lask.[[#This Row],[Painotetut opiskelija-vuodet]]/Ohj.lask.[[#Totals],[Painotetut opiskelija-vuodet]],0)</f>
        <v>1.2999467021852097E-3</v>
      </c>
      <c r="L133" s="19">
        <f>ROUND(IFERROR('1.1 Jakotaulu'!L$10*Ohj.lask.[[#This Row],[%-osuus 1]],0),0)</f>
        <v>1515698</v>
      </c>
      <c r="M133" s="211">
        <f>IFERROR(ROUND(VLOOKUP($A133,'2.2 Tutk. ja osien pain. pist.'!$A:$Q,COLUMN('2.2 Tutk. ja osien pain. pist.'!P:P),FALSE),1),0)</f>
        <v>23461.1</v>
      </c>
      <c r="N133" s="18">
        <f>IFERROR(Ohj.lask.[[#This Row],[Painotetut pisteet 2]]/Ohj.lask.[[#Totals],[Painotetut pisteet 2]],0)</f>
        <v>1.4992641808148994E-3</v>
      </c>
      <c r="O133" s="25">
        <f>ROUND(IFERROR('1.1 Jakotaulu'!K$11*Ohj.lask.[[#This Row],[%-osuus 2]],0),0)</f>
        <v>555143</v>
      </c>
      <c r="P133" s="233">
        <f>IFERROR(ROUND(VLOOKUP($A133,'2.3 Työll. ja jatko-opisk.'!$A:$K,COLUMN('2.3 Työll. ja jatko-opisk.'!I:I),FALSE),1),0)</f>
        <v>184</v>
      </c>
      <c r="Q133" s="18">
        <f>IFERROR(Ohj.lask.[[#This Row],[Painotetut pisteet 3]]/Ohj.lask.[[#Totals],[Painotetut pisteet 3]],0)</f>
        <v>9.7134121105132911E-4</v>
      </c>
      <c r="R133" s="19">
        <f>ROUND(IFERROR('1.1 Jakotaulu'!L$13*Ohj.lask.[[#This Row],[%-osuus 3]],0),0)</f>
        <v>134874</v>
      </c>
      <c r="S133" s="211">
        <f>IFERROR(ROUND(VLOOKUP($A133,'2.4 Aloittaneet palaute'!$A:$K,COLUMN('2.4 Aloittaneet palaute'!J:J),FALSE),1),0)</f>
        <v>1428.2</v>
      </c>
      <c r="T133" s="22">
        <f>IFERROR(Ohj.lask.[[#This Row],[Painotetut pisteet 4]]/Ohj.lask.[[#Totals],[Painotetut pisteet 4]],0)</f>
        <v>1.1471146876943716E-3</v>
      </c>
      <c r="U133" s="25">
        <f>ROUND(IFERROR('1.1 Jakotaulu'!M$16*Ohj.lask.[[#This Row],[%-osuus 4]],0),0)</f>
        <v>13273</v>
      </c>
      <c r="V133" s="235">
        <f>IFERROR(ROUND(VLOOKUP($A133,'2.5 Päättäneet palaute'!$A:$AC,COLUMN('2.5 Päättäneet palaute'!AB:AB),FALSE),1),0)</f>
        <v>10920.4</v>
      </c>
      <c r="W133" s="22">
        <f>IFERROR(Ohj.lask.[[#This Row],[Painotetut pisteet 5]]/Ohj.lask.[[#Totals],[Painotetut pisteet 5]],0)</f>
        <v>1.6490854223349383E-3</v>
      </c>
      <c r="X133" s="19">
        <f>ROUND(IFERROR('1.1 Jakotaulu'!M$17*Ohj.lask.[[#This Row],[%-osuus 5]],0),0)</f>
        <v>57245</v>
      </c>
      <c r="Y133" s="21">
        <f>IFERROR(Ohj.lask.[[#This Row],[Jaettava € 6]]/Ohj.lask.[[#Totals],[Jaettava € 6]],"")</f>
        <v>1.3223265033295625E-3</v>
      </c>
      <c r="Z133" s="25">
        <f>IFERROR(Ohj.lask.[[#This Row],[Jaettava € 1]]+Ohj.lask.[[#This Row],[Jaettava € 2]]+Ohj.lask.[[#This Row],[Jaettava € 3]]+Ohj.lask.[[#This Row],[Jaettava € 4]]+Ohj.lask.[[#This Row],[Jaettava € 5]],"")</f>
        <v>2276233</v>
      </c>
      <c r="AA133" s="123">
        <f>0</f>
        <v>0</v>
      </c>
      <c r="AB133" s="19">
        <f>Ohj.lask.[[#This Row],[Jaettava € 1]]+Ohj.lask.[[#This Row],[Jaettava €]]</f>
        <v>1515698</v>
      </c>
      <c r="AC133" s="107">
        <f>Ohj.lask.[[#This Row],[Jaettava € 2]]</f>
        <v>555143</v>
      </c>
      <c r="AD133" s="19">
        <f>Ohj.lask.[[#This Row],[Jaettava € 3]]+Ohj.lask.[[#This Row],[Jaettava € 4]]+Ohj.lask.[[#This Row],[Jaettava € 5]]</f>
        <v>205392</v>
      </c>
      <c r="AE133" s="36">
        <f>Ohj.lask.[[#This Row],[Jaettava € 6]]+Ohj.lask.[[#This Row],[Jaettava €]]</f>
        <v>2276233</v>
      </c>
      <c r="AF133" s="36">
        <f>IFERROR(VLOOKUP(Ohj.lask.[[#This Row],[Y-tunnus]],'3.1 Alv vahvistettu'!A:Y,COLUMN(C:C),FALSE),0)</f>
        <v>144639.41</v>
      </c>
      <c r="AG133" s="25">
        <f>Ohj.lask.[[#This Row],[Perus-, suoritus- ja vaikuttavuusrahoitus yhteensä, €]]+Ohj.lask.[[#This Row],[Alv-korvaus, €]]</f>
        <v>2420872.41</v>
      </c>
    </row>
    <row r="134" spans="1:33" x14ac:dyDescent="0.2">
      <c r="A134" s="131" t="s">
        <v>268</v>
      </c>
      <c r="B134" s="16" t="s">
        <v>177</v>
      </c>
      <c r="C134" s="16" t="s">
        <v>236</v>
      </c>
      <c r="D134" s="16" t="s">
        <v>412</v>
      </c>
      <c r="E134" s="16" t="s">
        <v>474</v>
      </c>
      <c r="F134" s="114">
        <v>35</v>
      </c>
      <c r="G134" s="122">
        <f>0</f>
        <v>0</v>
      </c>
      <c r="H134" s="35">
        <f t="shared" ref="H134:H156" si="8">IFERROR(F134+G134,0)</f>
        <v>35</v>
      </c>
      <c r="I134" s="17">
        <f>IFERROR(VLOOKUP($A134,'2.1 Toteut. op.vuodet'!$A:$Q,COLUMN('2.1 Toteut. op.vuodet'!Q:Q),FALSE),0)</f>
        <v>0.76229999999999976</v>
      </c>
      <c r="J134" s="11">
        <f t="shared" ref="J134:J156" si="9">IFERROR(ROUND(H134*I134,1),0)</f>
        <v>26.7</v>
      </c>
      <c r="K134" s="18">
        <f>IFERROR(Ohj.lask.[[#This Row],[Painotetut opiskelija-vuodet]]/Ohj.lask.[[#Totals],[Painotetut opiskelija-vuodet]],0)</f>
        <v>1.3349452672440423E-4</v>
      </c>
      <c r="L134" s="19">
        <f>ROUND(IFERROR('1.1 Jakotaulu'!L$10*Ohj.lask.[[#This Row],[%-osuus 1]],0),0)</f>
        <v>155651</v>
      </c>
      <c r="M134" s="211">
        <f>IFERROR(ROUND(VLOOKUP($A134,'2.2 Tutk. ja osien pain. pist.'!$A:$Q,COLUMN('2.2 Tutk. ja osien pain. pist.'!P:P),FALSE),1),0)</f>
        <v>2265.1999999999998</v>
      </c>
      <c r="N134" s="18">
        <f>IFERROR(Ohj.lask.[[#This Row],[Painotetut pisteet 2]]/Ohj.lask.[[#Totals],[Painotetut pisteet 2]],0)</f>
        <v>1.4475592458929504E-4</v>
      </c>
      <c r="O134" s="25">
        <f>ROUND(IFERROR('1.1 Jakotaulu'!K$11*Ohj.lask.[[#This Row],[%-osuus 2]],0),0)</f>
        <v>53600</v>
      </c>
      <c r="P134" s="233">
        <f>IFERROR(ROUND(VLOOKUP($A134,'2.3 Työll. ja jatko-opisk.'!$A:$K,COLUMN('2.3 Työll. ja jatko-opisk.'!I:I),FALSE),1),0)</f>
        <v>83.6</v>
      </c>
      <c r="Q134" s="18">
        <f>IFERROR(Ohj.lask.[[#This Row],[Painotetut pisteet 3]]/Ohj.lask.[[#Totals],[Painotetut pisteet 3]],0)</f>
        <v>4.4132676762984296E-4</v>
      </c>
      <c r="R134" s="19">
        <f>ROUND(IFERROR('1.1 Jakotaulu'!L$13*Ohj.lask.[[#This Row],[%-osuus 3]],0),0)</f>
        <v>61280</v>
      </c>
      <c r="S134" s="211">
        <f>IFERROR(ROUND(VLOOKUP($A134,'2.4 Aloittaneet palaute'!$A:$K,COLUMN('2.4 Aloittaneet palaute'!J:J),FALSE),1),0)</f>
        <v>0</v>
      </c>
      <c r="T134" s="22">
        <f>IFERROR(Ohj.lask.[[#This Row],[Painotetut pisteet 4]]/Ohj.lask.[[#Totals],[Painotetut pisteet 4]],0)</f>
        <v>0</v>
      </c>
      <c r="U134" s="25">
        <f>ROUND(IFERROR('1.1 Jakotaulu'!M$16*Ohj.lask.[[#This Row],[%-osuus 4]],0),0)</f>
        <v>0</v>
      </c>
      <c r="V134" s="235">
        <f>IFERROR(ROUND(VLOOKUP($A134,'2.5 Päättäneet palaute'!$A:$AC,COLUMN('2.5 Päättäneet palaute'!AB:AB),FALSE),1),0)</f>
        <v>0</v>
      </c>
      <c r="W134" s="22">
        <f>IFERROR(Ohj.lask.[[#This Row],[Painotetut pisteet 5]]/Ohj.lask.[[#Totals],[Painotetut pisteet 5]],0)</f>
        <v>0</v>
      </c>
      <c r="X134" s="19">
        <f>ROUND(IFERROR('1.1 Jakotaulu'!M$17*Ohj.lask.[[#This Row],[%-osuus 5]],0),0)</f>
        <v>0</v>
      </c>
      <c r="Y134" s="21">
        <f>IFERROR(Ohj.lask.[[#This Row],[Jaettava € 6]]/Ohj.lask.[[#Totals],[Jaettava € 6]],"")</f>
        <v>1.5715891618839104E-4</v>
      </c>
      <c r="Z134" s="25">
        <f>IFERROR(Ohj.lask.[[#This Row],[Jaettava € 1]]+Ohj.lask.[[#This Row],[Jaettava € 2]]+Ohj.lask.[[#This Row],[Jaettava € 3]]+Ohj.lask.[[#This Row],[Jaettava € 4]]+Ohj.lask.[[#This Row],[Jaettava € 5]],"")</f>
        <v>270531</v>
      </c>
      <c r="AA134" s="123">
        <f>0</f>
        <v>0</v>
      </c>
      <c r="AB134" s="19">
        <f>Ohj.lask.[[#This Row],[Jaettava € 1]]+Ohj.lask.[[#This Row],[Jaettava €]]</f>
        <v>155651</v>
      </c>
      <c r="AC134" s="107">
        <f>Ohj.lask.[[#This Row],[Jaettava € 2]]</f>
        <v>53600</v>
      </c>
      <c r="AD134" s="19">
        <f>Ohj.lask.[[#This Row],[Jaettava € 3]]+Ohj.lask.[[#This Row],[Jaettava € 4]]+Ohj.lask.[[#This Row],[Jaettava € 5]]</f>
        <v>61280</v>
      </c>
      <c r="AE134" s="36">
        <f>Ohj.lask.[[#This Row],[Jaettava € 6]]+Ohj.lask.[[#This Row],[Jaettava €]]</f>
        <v>270531</v>
      </c>
      <c r="AF134" s="36">
        <f>IFERROR(VLOOKUP(Ohj.lask.[[#This Row],[Y-tunnus]],'3.1 Alv vahvistettu'!A:Y,COLUMN(C:C),FALSE),0)</f>
        <v>0</v>
      </c>
      <c r="AG134" s="25">
        <f>Ohj.lask.[[#This Row],[Perus-, suoritus- ja vaikuttavuusrahoitus yhteensä, €]]+Ohj.lask.[[#This Row],[Alv-korvaus, €]]</f>
        <v>270531</v>
      </c>
    </row>
    <row r="135" spans="1:33" x14ac:dyDescent="0.2">
      <c r="A135" s="131" t="s">
        <v>267</v>
      </c>
      <c r="B135" s="16" t="s">
        <v>136</v>
      </c>
      <c r="C135" s="16" t="s">
        <v>240</v>
      </c>
      <c r="D135" s="16" t="s">
        <v>412</v>
      </c>
      <c r="E135" s="16" t="s">
        <v>474</v>
      </c>
      <c r="F135" s="114">
        <v>0</v>
      </c>
      <c r="G135" s="122">
        <f>0</f>
        <v>0</v>
      </c>
      <c r="H135" s="35">
        <f t="shared" si="8"/>
        <v>0</v>
      </c>
      <c r="I135" s="17">
        <f>IFERROR(VLOOKUP($A135,'2.1 Toteut. op.vuodet'!$A:$Q,COLUMN('2.1 Toteut. op.vuodet'!Q:Q),FALSE),0)</f>
        <v>1.0227959697733</v>
      </c>
      <c r="J135" s="11">
        <f t="shared" si="9"/>
        <v>0</v>
      </c>
      <c r="K135" s="18">
        <f>IFERROR(Ohj.lask.[[#This Row],[Painotetut opiskelija-vuodet]]/Ohj.lask.[[#Totals],[Painotetut opiskelija-vuodet]],0)</f>
        <v>0</v>
      </c>
      <c r="L135" s="19">
        <f>ROUND(IFERROR('1.1 Jakotaulu'!L$10*Ohj.lask.[[#This Row],[%-osuus 1]],0),0)</f>
        <v>0</v>
      </c>
      <c r="M135" s="211">
        <f>IFERROR(ROUND(VLOOKUP($A135,'2.2 Tutk. ja osien pain. pist.'!$A:$Q,COLUMN('2.2 Tutk. ja osien pain. pist.'!P:P),FALSE),1),0)</f>
        <v>282.39999999999998</v>
      </c>
      <c r="N135" s="18">
        <f>IFERROR(Ohj.lask.[[#This Row],[Painotetut pisteet 2]]/Ohj.lask.[[#Totals],[Painotetut pisteet 2]],0)</f>
        <v>1.8046562380371235E-5</v>
      </c>
      <c r="O135" s="25">
        <f>ROUND(IFERROR('1.1 Jakotaulu'!K$11*Ohj.lask.[[#This Row],[%-osuus 2]],0),0)</f>
        <v>6682</v>
      </c>
      <c r="P135" s="233">
        <f>IFERROR(ROUND(VLOOKUP($A135,'2.3 Työll. ja jatko-opisk.'!$A:$K,COLUMN('2.3 Työll. ja jatko-opisk.'!I:I),FALSE),1),0)</f>
        <v>0</v>
      </c>
      <c r="Q135" s="18">
        <f>IFERROR(Ohj.lask.[[#This Row],[Painotetut pisteet 3]]/Ohj.lask.[[#Totals],[Painotetut pisteet 3]],0)</f>
        <v>0</v>
      </c>
      <c r="R135" s="19">
        <f>ROUND(IFERROR('1.1 Jakotaulu'!L$13*Ohj.lask.[[#This Row],[%-osuus 3]],0),0)</f>
        <v>0</v>
      </c>
      <c r="S135" s="211">
        <f>IFERROR(ROUND(VLOOKUP($A135,'2.4 Aloittaneet palaute'!$A:$K,COLUMN('2.4 Aloittaneet palaute'!J:J),FALSE),1),0)</f>
        <v>1048.3</v>
      </c>
      <c r="T135" s="22">
        <f>IFERROR(Ohj.lask.[[#This Row],[Painotetut pisteet 4]]/Ohj.lask.[[#Totals],[Painotetut pisteet 4]],0)</f>
        <v>8.419831445946013E-4</v>
      </c>
      <c r="U135" s="25">
        <f>ROUND(IFERROR('1.1 Jakotaulu'!M$16*Ohj.lask.[[#This Row],[%-osuus 4]],0),0)</f>
        <v>9743</v>
      </c>
      <c r="V135" s="235">
        <f>IFERROR(ROUND(VLOOKUP($A135,'2.5 Päättäneet palaute'!$A:$AC,COLUMN('2.5 Päättäneet palaute'!AB:AB),FALSE),1),0)</f>
        <v>2711.8</v>
      </c>
      <c r="W135" s="22">
        <f>IFERROR(Ohj.lask.[[#This Row],[Painotetut pisteet 5]]/Ohj.lask.[[#Totals],[Painotetut pisteet 5]],0)</f>
        <v>4.0950787959121332E-4</v>
      </c>
      <c r="X135" s="19">
        <f>ROUND(IFERROR('1.1 Jakotaulu'!M$17*Ohj.lask.[[#This Row],[%-osuus 5]],0),0)</f>
        <v>14215</v>
      </c>
      <c r="Y135" s="21">
        <f>IFERROR(Ohj.lask.[[#This Row],[Jaettava € 6]]/Ohj.lask.[[#Totals],[Jaettava € 6]],"")</f>
        <v>1.7799620716340462E-5</v>
      </c>
      <c r="Z135" s="25">
        <f>IFERROR(Ohj.lask.[[#This Row],[Jaettava € 1]]+Ohj.lask.[[#This Row],[Jaettava € 2]]+Ohj.lask.[[#This Row],[Jaettava € 3]]+Ohj.lask.[[#This Row],[Jaettava € 4]]+Ohj.lask.[[#This Row],[Jaettava € 5]],"")</f>
        <v>30640</v>
      </c>
      <c r="AA135" s="123">
        <f>0</f>
        <v>0</v>
      </c>
      <c r="AB135" s="19">
        <f>Ohj.lask.[[#This Row],[Jaettava € 1]]+Ohj.lask.[[#This Row],[Jaettava €]]</f>
        <v>0</v>
      </c>
      <c r="AC135" s="107">
        <f>Ohj.lask.[[#This Row],[Jaettava € 2]]</f>
        <v>6682</v>
      </c>
      <c r="AD135" s="19">
        <f>Ohj.lask.[[#This Row],[Jaettava € 3]]+Ohj.lask.[[#This Row],[Jaettava € 4]]+Ohj.lask.[[#This Row],[Jaettava € 5]]</f>
        <v>23958</v>
      </c>
      <c r="AE135" s="36">
        <f>Ohj.lask.[[#This Row],[Jaettava € 6]]+Ohj.lask.[[#This Row],[Jaettava €]]</f>
        <v>30640</v>
      </c>
      <c r="AF135" s="36">
        <f>IFERROR(VLOOKUP(Ohj.lask.[[#This Row],[Y-tunnus]],'3.1 Alv vahvistettu'!A:Y,COLUMN(C:C),FALSE),0)</f>
        <v>27143.75</v>
      </c>
      <c r="AG135" s="25">
        <f>Ohj.lask.[[#This Row],[Perus-, suoritus- ja vaikuttavuusrahoitus yhteensä, €]]+Ohj.lask.[[#This Row],[Alv-korvaus, €]]</f>
        <v>57783.75</v>
      </c>
    </row>
    <row r="136" spans="1:33" x14ac:dyDescent="0.2">
      <c r="A136" s="131" t="s">
        <v>265</v>
      </c>
      <c r="B136" s="16" t="s">
        <v>178</v>
      </c>
      <c r="C136" s="16" t="s">
        <v>236</v>
      </c>
      <c r="D136" s="16" t="s">
        <v>412</v>
      </c>
      <c r="E136" s="16" t="s">
        <v>474</v>
      </c>
      <c r="F136" s="114">
        <v>5</v>
      </c>
      <c r="G136" s="122">
        <f>0</f>
        <v>0</v>
      </c>
      <c r="H136" s="35">
        <f t="shared" si="8"/>
        <v>5</v>
      </c>
      <c r="I136" s="17">
        <f>IFERROR(VLOOKUP($A136,'2.1 Toteut. op.vuodet'!$A:$Q,COLUMN('2.1 Toteut. op.vuodet'!Q:Q),FALSE),0)</f>
        <v>0.76229999999999998</v>
      </c>
      <c r="J136" s="11">
        <f t="shared" si="9"/>
        <v>3.8</v>
      </c>
      <c r="K136" s="18">
        <f>IFERROR(Ohj.lask.[[#This Row],[Painotetut opiskelija-vuodet]]/Ohj.lask.[[#Totals],[Painotetut opiskelija-vuodet]],0)</f>
        <v>1.8999221031937679E-5</v>
      </c>
      <c r="L136" s="19">
        <f>ROUND(IFERROR('1.1 Jakotaulu'!L$10*Ohj.lask.[[#This Row],[%-osuus 1]],0),0)</f>
        <v>22153</v>
      </c>
      <c r="M136" s="211">
        <f>IFERROR(ROUND(VLOOKUP($A136,'2.2 Tutk. ja osien pain. pist.'!$A:$Q,COLUMN('2.2 Tutk. ja osien pain. pist.'!P:P),FALSE),1),0)</f>
        <v>397.7</v>
      </c>
      <c r="N136" s="18">
        <f>IFERROR(Ohj.lask.[[#This Row],[Painotetut pisteet 2]]/Ohj.lask.[[#Totals],[Painotetut pisteet 2]],0)</f>
        <v>2.5414723295586545E-5</v>
      </c>
      <c r="O136" s="25">
        <f>ROUND(IFERROR('1.1 Jakotaulu'!K$11*Ohj.lask.[[#This Row],[%-osuus 2]],0),0)</f>
        <v>9410</v>
      </c>
      <c r="P136" s="233">
        <f>IFERROR(ROUND(VLOOKUP($A136,'2.3 Työll. ja jatko-opisk.'!$A:$K,COLUMN('2.3 Työll. ja jatko-opisk.'!I:I),FALSE),1),0)</f>
        <v>17.5</v>
      </c>
      <c r="Q136" s="18">
        <f>IFERROR(Ohj.lask.[[#This Row],[Painotetut pisteet 3]]/Ohj.lask.[[#Totals],[Painotetut pisteet 3]],0)</f>
        <v>9.238299561629489E-5</v>
      </c>
      <c r="R136" s="19">
        <f>ROUND(IFERROR('1.1 Jakotaulu'!L$13*Ohj.lask.[[#This Row],[%-osuus 3]],0),0)</f>
        <v>12828</v>
      </c>
      <c r="S136" s="211">
        <f>IFERROR(ROUND(VLOOKUP($A136,'2.4 Aloittaneet palaute'!$A:$K,COLUMN('2.4 Aloittaneet palaute'!J:J),FALSE),1),0)</f>
        <v>0</v>
      </c>
      <c r="T136" s="22">
        <f>IFERROR(Ohj.lask.[[#This Row],[Painotetut pisteet 4]]/Ohj.lask.[[#Totals],[Painotetut pisteet 4]],0)</f>
        <v>0</v>
      </c>
      <c r="U136" s="25">
        <f>ROUND(IFERROR('1.1 Jakotaulu'!M$16*Ohj.lask.[[#This Row],[%-osuus 4]],0),0)</f>
        <v>0</v>
      </c>
      <c r="V136" s="235">
        <f>IFERROR(ROUND(VLOOKUP($A136,'2.5 Päättäneet palaute'!$A:$AC,COLUMN('2.5 Päättäneet palaute'!AB:AB),FALSE),1),0)</f>
        <v>0</v>
      </c>
      <c r="W136" s="22">
        <f>IFERROR(Ohj.lask.[[#This Row],[Painotetut pisteet 5]]/Ohj.lask.[[#Totals],[Painotetut pisteet 5]],0)</f>
        <v>0</v>
      </c>
      <c r="X136" s="19">
        <f>ROUND(IFERROR('1.1 Jakotaulu'!M$17*Ohj.lask.[[#This Row],[%-osuus 5]],0),0)</f>
        <v>0</v>
      </c>
      <c r="Y136" s="21">
        <f>IFERROR(Ohj.lask.[[#This Row],[Jaettava € 6]]/Ohj.lask.[[#Totals],[Jaettava € 6]],"")</f>
        <v>2.5787955718638034E-5</v>
      </c>
      <c r="Z136" s="25">
        <f>IFERROR(Ohj.lask.[[#This Row],[Jaettava € 1]]+Ohj.lask.[[#This Row],[Jaettava € 2]]+Ohj.lask.[[#This Row],[Jaettava € 3]]+Ohj.lask.[[#This Row],[Jaettava € 4]]+Ohj.lask.[[#This Row],[Jaettava € 5]],"")</f>
        <v>44391</v>
      </c>
      <c r="AA136" s="123">
        <f>0</f>
        <v>0</v>
      </c>
      <c r="AB136" s="19">
        <f>Ohj.lask.[[#This Row],[Jaettava € 1]]+Ohj.lask.[[#This Row],[Jaettava €]]</f>
        <v>22153</v>
      </c>
      <c r="AC136" s="107">
        <f>Ohj.lask.[[#This Row],[Jaettava € 2]]</f>
        <v>9410</v>
      </c>
      <c r="AD136" s="19">
        <f>Ohj.lask.[[#This Row],[Jaettava € 3]]+Ohj.lask.[[#This Row],[Jaettava € 4]]+Ohj.lask.[[#This Row],[Jaettava € 5]]</f>
        <v>12828</v>
      </c>
      <c r="AE136" s="36">
        <f>Ohj.lask.[[#This Row],[Jaettava € 6]]+Ohj.lask.[[#This Row],[Jaettava €]]</f>
        <v>44391</v>
      </c>
      <c r="AF136" s="36">
        <f>IFERROR(VLOOKUP(Ohj.lask.[[#This Row],[Y-tunnus]],'3.1 Alv vahvistettu'!A:Y,COLUMN(C:C),FALSE),0)</f>
        <v>1341.6</v>
      </c>
      <c r="AG136" s="25">
        <f>Ohj.lask.[[#This Row],[Perus-, suoritus- ja vaikuttavuusrahoitus yhteensä, €]]+Ohj.lask.[[#This Row],[Alv-korvaus, €]]</f>
        <v>45732.6</v>
      </c>
    </row>
    <row r="137" spans="1:33" x14ac:dyDescent="0.2">
      <c r="A137" s="131" t="s">
        <v>264</v>
      </c>
      <c r="B137" s="16" t="s">
        <v>137</v>
      </c>
      <c r="C137" s="16" t="s">
        <v>252</v>
      </c>
      <c r="D137" s="16" t="s">
        <v>412</v>
      </c>
      <c r="E137" s="16" t="s">
        <v>474</v>
      </c>
      <c r="F137" s="114">
        <v>610</v>
      </c>
      <c r="G137" s="122">
        <f>0</f>
        <v>0</v>
      </c>
      <c r="H137" s="35">
        <f t="shared" si="8"/>
        <v>610</v>
      </c>
      <c r="I137" s="17">
        <f>IFERROR(VLOOKUP($A137,'2.1 Toteut. op.vuodet'!$A:$Q,COLUMN('2.1 Toteut. op.vuodet'!Q:Q),FALSE),0)</f>
        <v>0.86117896208940192</v>
      </c>
      <c r="J137" s="11">
        <f t="shared" si="9"/>
        <v>525.29999999999995</v>
      </c>
      <c r="K137" s="18">
        <f>IFERROR(Ohj.lask.[[#This Row],[Painotetut opiskelija-vuodet]]/Ohj.lask.[[#Totals],[Painotetut opiskelija-vuodet]],0)</f>
        <v>2.6263923179149638E-3</v>
      </c>
      <c r="L137" s="19">
        <f>ROUND(IFERROR('1.1 Jakotaulu'!L$10*Ohj.lask.[[#This Row],[%-osuus 1]],0),0)</f>
        <v>3062293</v>
      </c>
      <c r="M137" s="211">
        <f>IFERROR(ROUND(VLOOKUP($A137,'2.2 Tutk. ja osien pain. pist.'!$A:$Q,COLUMN('2.2 Tutk. ja osien pain. pist.'!P:P),FALSE),1),0)</f>
        <v>96364.6</v>
      </c>
      <c r="N137" s="18">
        <f>IFERROR(Ohj.lask.[[#This Row],[Painotetut pisteet 2]]/Ohj.lask.[[#Totals],[Painotetut pisteet 2]],0)</f>
        <v>6.1581082335677127E-3</v>
      </c>
      <c r="O137" s="25">
        <f>ROUND(IFERROR('1.1 Jakotaulu'!K$11*Ohj.lask.[[#This Row],[%-osuus 2]],0),0)</f>
        <v>2280206</v>
      </c>
      <c r="P137" s="233">
        <f>IFERROR(ROUND(VLOOKUP($A137,'2.3 Työll. ja jatko-opisk.'!$A:$K,COLUMN('2.3 Työll. ja jatko-opisk.'!I:I),FALSE),1),0)</f>
        <v>1514.8</v>
      </c>
      <c r="Q137" s="18">
        <f>IFERROR(Ohj.lask.[[#This Row],[Painotetut pisteet 3]]/Ohj.lask.[[#Totals],[Painotetut pisteet 3]],0)</f>
        <v>7.9966721005464859E-3</v>
      </c>
      <c r="R137" s="19">
        <f>ROUND(IFERROR('1.1 Jakotaulu'!L$13*Ohj.lask.[[#This Row],[%-osuus 3]],0),0)</f>
        <v>1110369</v>
      </c>
      <c r="S137" s="211">
        <f>IFERROR(ROUND(VLOOKUP($A137,'2.4 Aloittaneet palaute'!$A:$K,COLUMN('2.4 Aloittaneet palaute'!J:J),FALSE),1),0)</f>
        <v>11096.4</v>
      </c>
      <c r="T137" s="22">
        <f>IFERROR(Ohj.lask.[[#This Row],[Painotetut pisteet 4]]/Ohj.lask.[[#Totals],[Painotetut pisteet 4]],0)</f>
        <v>8.9125076463603299E-3</v>
      </c>
      <c r="U137" s="25">
        <f>ROUND(IFERROR('1.1 Jakotaulu'!M$16*Ohj.lask.[[#This Row],[%-osuus 4]],0),0)</f>
        <v>103128</v>
      </c>
      <c r="V137" s="235">
        <f>IFERROR(ROUND(VLOOKUP($A137,'2.5 Päättäneet palaute'!$A:$AC,COLUMN('2.5 Päättäneet palaute'!AB:AB),FALSE),1),0)</f>
        <v>57979.7</v>
      </c>
      <c r="W137" s="22">
        <f>IFERROR(Ohj.lask.[[#This Row],[Painotetut pisteet 5]]/Ohj.lask.[[#Totals],[Painotetut pisteet 5]],0)</f>
        <v>8.755492295277922E-3</v>
      </c>
      <c r="X137" s="19">
        <f>ROUND(IFERROR('1.1 Jakotaulu'!M$17*Ohj.lask.[[#This Row],[%-osuus 5]],0),0)</f>
        <v>303934</v>
      </c>
      <c r="Y137" s="21">
        <f>IFERROR(Ohj.lask.[[#This Row],[Jaettava € 6]]/Ohj.lask.[[#Totals],[Jaettava € 6]],"")</f>
        <v>3.9851224588983488E-3</v>
      </c>
      <c r="Z137" s="25">
        <f>IFERROR(Ohj.lask.[[#This Row],[Jaettava € 1]]+Ohj.lask.[[#This Row],[Jaettava € 2]]+Ohj.lask.[[#This Row],[Jaettava € 3]]+Ohj.lask.[[#This Row],[Jaettava € 4]]+Ohj.lask.[[#This Row],[Jaettava € 5]],"")</f>
        <v>6859930</v>
      </c>
      <c r="AA137" s="123">
        <f>0</f>
        <v>0</v>
      </c>
      <c r="AB137" s="19">
        <f>Ohj.lask.[[#This Row],[Jaettava € 1]]+Ohj.lask.[[#This Row],[Jaettava €]]</f>
        <v>3062293</v>
      </c>
      <c r="AC137" s="107">
        <f>Ohj.lask.[[#This Row],[Jaettava € 2]]</f>
        <v>2280206</v>
      </c>
      <c r="AD137" s="19">
        <f>Ohj.lask.[[#This Row],[Jaettava € 3]]+Ohj.lask.[[#This Row],[Jaettava € 4]]+Ohj.lask.[[#This Row],[Jaettava € 5]]</f>
        <v>1517431</v>
      </c>
      <c r="AE137" s="36">
        <f>Ohj.lask.[[#This Row],[Jaettava € 6]]+Ohj.lask.[[#This Row],[Jaettava €]]</f>
        <v>6859930</v>
      </c>
      <c r="AF137" s="36">
        <f>IFERROR(VLOOKUP(Ohj.lask.[[#This Row],[Y-tunnus]],'3.1 Alv vahvistettu'!A:Y,COLUMN(C:C),FALSE),0)</f>
        <v>444661.51</v>
      </c>
      <c r="AG137" s="25">
        <f>Ohj.lask.[[#This Row],[Perus-, suoritus- ja vaikuttavuusrahoitus yhteensä, €]]+Ohj.lask.[[#This Row],[Alv-korvaus, €]]</f>
        <v>7304591.5099999998</v>
      </c>
    </row>
    <row r="138" spans="1:33" x14ac:dyDescent="0.2">
      <c r="A138" s="131" t="s">
        <v>263</v>
      </c>
      <c r="B138" s="16" t="s">
        <v>138</v>
      </c>
      <c r="C138" s="98" t="s">
        <v>252</v>
      </c>
      <c r="D138" s="98" t="s">
        <v>412</v>
      </c>
      <c r="E138" s="98" t="s">
        <v>474</v>
      </c>
      <c r="F138" s="113">
        <v>302</v>
      </c>
      <c r="G138" s="122">
        <f>0</f>
        <v>0</v>
      </c>
      <c r="H138" s="19">
        <f t="shared" si="8"/>
        <v>302</v>
      </c>
      <c r="I138" s="17">
        <f>IFERROR(VLOOKUP($A138,'2.1 Toteut. op.vuodet'!$A:$Q,COLUMN('2.1 Toteut. op.vuodet'!Q:Q),FALSE),0)</f>
        <v>1.1542896959572388</v>
      </c>
      <c r="J138" s="11">
        <f t="shared" si="9"/>
        <v>348.6</v>
      </c>
      <c r="K138" s="18">
        <f>IFERROR(Ohj.lask.[[#This Row],[Painotetut opiskelija-vuodet]]/Ohj.lask.[[#Totals],[Painotetut opiskelija-vuodet]],0)</f>
        <v>1.742928539929862E-3</v>
      </c>
      <c r="L138" s="19">
        <f>ROUND(IFERROR('1.1 Jakotaulu'!L$10*Ohj.lask.[[#This Row],[%-osuus 1]],0),0)</f>
        <v>2032202</v>
      </c>
      <c r="M138" s="211">
        <f>IFERROR(ROUND(VLOOKUP($A138,'2.2 Tutk. ja osien pain. pist.'!$A:$Q,COLUMN('2.2 Tutk. ja osien pain. pist.'!P:P),FALSE),1),0)</f>
        <v>18746.2</v>
      </c>
      <c r="N138" s="18">
        <f>IFERROR(Ohj.lask.[[#This Row],[Painotetut pisteet 2]]/Ohj.lask.[[#Totals],[Painotetut pisteet 2]],0)</f>
        <v>1.1979619960868105E-3</v>
      </c>
      <c r="O138" s="25">
        <f>ROUND(IFERROR('1.1 Jakotaulu'!K$11*Ohj.lask.[[#This Row],[%-osuus 2]],0),0)</f>
        <v>443578</v>
      </c>
      <c r="P138" s="233">
        <f>IFERROR(ROUND(VLOOKUP($A138,'2.3 Työll. ja jatko-opisk.'!$A:$K,COLUMN('2.3 Työll. ja jatko-opisk.'!I:I),FALSE),1),0)</f>
        <v>271</v>
      </c>
      <c r="Q138" s="22">
        <f>IFERROR(Ohj.lask.[[#This Row],[Painotetut pisteet 3]]/Ohj.lask.[[#Totals],[Painotetut pisteet 3]],0)</f>
        <v>1.430616674972338E-3</v>
      </c>
      <c r="R138" s="19">
        <f>ROUND(IFERROR('1.1 Jakotaulu'!L$13*Ohj.lask.[[#This Row],[%-osuus 3]],0),0)</f>
        <v>198647</v>
      </c>
      <c r="S138" s="211">
        <f>IFERROR(ROUND(VLOOKUP($A138,'2.4 Aloittaneet palaute'!$A:$K,COLUMN('2.4 Aloittaneet palaute'!J:J),FALSE),1),0)</f>
        <v>2583.1</v>
      </c>
      <c r="T138" s="22">
        <f>IFERROR(Ohj.lask.[[#This Row],[Painotetut pisteet 4]]/Ohj.lask.[[#Totals],[Painotetut pisteet 4]],0)</f>
        <v>2.0747177914741148E-3</v>
      </c>
      <c r="U138" s="25">
        <f>ROUND(IFERROR('1.1 Jakotaulu'!M$16*Ohj.lask.[[#This Row],[%-osuus 4]],0),0)</f>
        <v>24007</v>
      </c>
      <c r="V138" s="235">
        <f>IFERROR(ROUND(VLOOKUP($A138,'2.5 Päättäneet palaute'!$A:$AC,COLUMN('2.5 Päättäneet palaute'!AB:AB),FALSE),1),0)</f>
        <v>12323.2</v>
      </c>
      <c r="W138" s="22">
        <f>IFERROR(Ohj.lask.[[#This Row],[Painotetut pisteet 5]]/Ohj.lask.[[#Totals],[Painotetut pisteet 5]],0)</f>
        <v>1.8609217131714875E-3</v>
      </c>
      <c r="X138" s="19">
        <f>ROUND(IFERROR('1.1 Jakotaulu'!M$17*Ohj.lask.[[#This Row],[%-osuus 5]],0),0)</f>
        <v>64599</v>
      </c>
      <c r="Y138" s="21">
        <f>IFERROR(Ohj.lask.[[#This Row],[Jaettava € 6]]/Ohj.lask.[[#Totals],[Jaettava € 6]],"")</f>
        <v>1.6051220439534052E-3</v>
      </c>
      <c r="Z138" s="25">
        <f>IFERROR(Ohj.lask.[[#This Row],[Jaettava € 1]]+Ohj.lask.[[#This Row],[Jaettava € 2]]+Ohj.lask.[[#This Row],[Jaettava € 3]]+Ohj.lask.[[#This Row],[Jaettava € 4]]+Ohj.lask.[[#This Row],[Jaettava € 5]],"")</f>
        <v>2763033</v>
      </c>
      <c r="AA138" s="123">
        <f>0</f>
        <v>0</v>
      </c>
      <c r="AB138" s="19">
        <f>Ohj.lask.[[#This Row],[Jaettava € 1]]+Ohj.lask.[[#This Row],[Jaettava €]]</f>
        <v>2032202</v>
      </c>
      <c r="AC138" s="107">
        <f>Ohj.lask.[[#This Row],[Jaettava € 2]]</f>
        <v>443578</v>
      </c>
      <c r="AD138" s="19">
        <f>Ohj.lask.[[#This Row],[Jaettava € 3]]+Ohj.lask.[[#This Row],[Jaettava € 4]]+Ohj.lask.[[#This Row],[Jaettava € 5]]</f>
        <v>287253</v>
      </c>
      <c r="AE138" s="36">
        <f>Ohj.lask.[[#This Row],[Jaettava € 6]]+Ohj.lask.[[#This Row],[Jaettava €]]</f>
        <v>2763033</v>
      </c>
      <c r="AF138" s="36">
        <f>IFERROR(VLOOKUP(Ohj.lask.[[#This Row],[Y-tunnus]],'3.1 Alv vahvistettu'!A:Y,COLUMN(C:C),FALSE),0)</f>
        <v>139000</v>
      </c>
      <c r="AG138" s="25">
        <f>Ohj.lask.[[#This Row],[Perus-, suoritus- ja vaikuttavuusrahoitus yhteensä, €]]+Ohj.lask.[[#This Row],[Alv-korvaus, €]]</f>
        <v>2902033</v>
      </c>
    </row>
    <row r="139" spans="1:33" x14ac:dyDescent="0.2">
      <c r="A139" s="131" t="s">
        <v>262</v>
      </c>
      <c r="B139" s="16" t="s">
        <v>139</v>
      </c>
      <c r="C139" s="98" t="s">
        <v>252</v>
      </c>
      <c r="D139" s="98" t="s">
        <v>413</v>
      </c>
      <c r="E139" s="98" t="s">
        <v>476</v>
      </c>
      <c r="F139" s="113">
        <v>4466</v>
      </c>
      <c r="G139" s="122">
        <f>0</f>
        <v>0</v>
      </c>
      <c r="H139" s="35">
        <f t="shared" si="8"/>
        <v>4466</v>
      </c>
      <c r="I139" s="17">
        <f>IFERROR(VLOOKUP($A139,'2.1 Toteut. op.vuodet'!$A:$Q,COLUMN('2.1 Toteut. op.vuodet'!Q:Q),FALSE),0)</f>
        <v>0.98272576163675673</v>
      </c>
      <c r="J139" s="11">
        <f t="shared" si="9"/>
        <v>4388.8999999999996</v>
      </c>
      <c r="K139" s="18">
        <f>IFERROR(Ohj.lask.[[#This Row],[Painotetut opiskelija-vuodet]]/Ohj.lask.[[#Totals],[Painotetut opiskelija-vuodet]],0)</f>
        <v>2.1943600312387179E-2</v>
      </c>
      <c r="L139" s="19">
        <f>ROUND(IFERROR('1.1 Jakotaulu'!L$10*Ohj.lask.[[#This Row],[%-osuus 1]],0),0)</f>
        <v>25585569</v>
      </c>
      <c r="M139" s="211">
        <f>IFERROR(ROUND(VLOOKUP($A139,'2.2 Tutk. ja osien pain. pist.'!$A:$Q,COLUMN('2.2 Tutk. ja osien pain. pist.'!P:P),FALSE),1),0)</f>
        <v>402977.4</v>
      </c>
      <c r="N139" s="18">
        <f>IFERROR(Ohj.lask.[[#This Row],[Painotetut pisteet 2]]/Ohj.lask.[[#Totals],[Painotetut pisteet 2]],0)</f>
        <v>2.5751971625282623E-2</v>
      </c>
      <c r="O139" s="25">
        <f>ROUND(IFERROR('1.1 Jakotaulu'!K$11*Ohj.lask.[[#This Row],[%-osuus 2]],0),0)</f>
        <v>9535363</v>
      </c>
      <c r="P139" s="233">
        <f>IFERROR(ROUND(VLOOKUP($A139,'2.3 Työll. ja jatko-opisk.'!$A:$K,COLUMN('2.3 Työll. ja jatko-opisk.'!I:I),FALSE),1),0)</f>
        <v>5090.3</v>
      </c>
      <c r="Q139" s="22">
        <f>IFERROR(Ohj.lask.[[#This Row],[Painotetut pisteet 3]]/Ohj.lask.[[#Totals],[Painotetut pisteet 3]],0)</f>
        <v>2.6871837862035765E-2</v>
      </c>
      <c r="R139" s="19">
        <f>ROUND(IFERROR('1.1 Jakotaulu'!L$13*Ohj.lask.[[#This Row],[%-osuus 3]],0),0)</f>
        <v>3731259</v>
      </c>
      <c r="S139" s="211">
        <f>IFERROR(ROUND(VLOOKUP($A139,'2.4 Aloittaneet palaute'!$A:$K,COLUMN('2.4 Aloittaneet palaute'!J:J),FALSE),1),0)</f>
        <v>35925.300000000003</v>
      </c>
      <c r="T139" s="22">
        <f>IFERROR(Ohj.lask.[[#This Row],[Painotetut pisteet 4]]/Ohj.lask.[[#Totals],[Painotetut pisteet 4]],0)</f>
        <v>2.8854809753414513E-2</v>
      </c>
      <c r="U139" s="25">
        <f>ROUND(IFERROR('1.1 Jakotaulu'!M$16*Ohj.lask.[[#This Row],[%-osuus 4]],0),0)</f>
        <v>333884</v>
      </c>
      <c r="V139" s="235">
        <f>IFERROR(ROUND(VLOOKUP($A139,'2.5 Päättäneet palaute'!$A:$AC,COLUMN('2.5 Päättäneet palaute'!AB:AB),FALSE),1),0)</f>
        <v>148030.39999999999</v>
      </c>
      <c r="W139" s="22">
        <f>IFERROR(Ohj.lask.[[#This Row],[Painotetut pisteet 5]]/Ohj.lask.[[#Totals],[Painotetut pisteet 5]],0)</f>
        <v>2.2354014019853655E-2</v>
      </c>
      <c r="X139" s="19">
        <f>ROUND(IFERROR('1.1 Jakotaulu'!M$17*Ohj.lask.[[#This Row],[%-osuus 5]],0),0)</f>
        <v>775985</v>
      </c>
      <c r="Y139" s="21">
        <f>IFERROR(Ohj.lask.[[#This Row],[Jaettava € 6]]/Ohj.lask.[[#Totals],[Jaettava € 6]],"")</f>
        <v>2.3215062370875995E-2</v>
      </c>
      <c r="Z139" s="25">
        <f>IFERROR(Ohj.lask.[[#This Row],[Jaettava € 1]]+Ohj.lask.[[#This Row],[Jaettava € 2]]+Ohj.lask.[[#This Row],[Jaettava € 3]]+Ohj.lask.[[#This Row],[Jaettava € 4]]+Ohj.lask.[[#This Row],[Jaettava € 5]],"")</f>
        <v>39962060</v>
      </c>
      <c r="AA139" s="123">
        <f>0</f>
        <v>0</v>
      </c>
      <c r="AB139" s="19">
        <f>Ohj.lask.[[#This Row],[Jaettava € 1]]+Ohj.lask.[[#This Row],[Jaettava €]]</f>
        <v>25585569</v>
      </c>
      <c r="AC139" s="107">
        <f>Ohj.lask.[[#This Row],[Jaettava € 2]]</f>
        <v>9535363</v>
      </c>
      <c r="AD139" s="19">
        <f>Ohj.lask.[[#This Row],[Jaettava € 3]]+Ohj.lask.[[#This Row],[Jaettava € 4]]+Ohj.lask.[[#This Row],[Jaettava € 5]]</f>
        <v>4841128</v>
      </c>
      <c r="AE139" s="36">
        <f>Ohj.lask.[[#This Row],[Jaettava € 6]]+Ohj.lask.[[#This Row],[Jaettava €]]</f>
        <v>39962060</v>
      </c>
      <c r="AF139" s="36">
        <f>IFERROR(VLOOKUP(Ohj.lask.[[#This Row],[Y-tunnus]],'3.1 Alv vahvistettu'!A:Y,COLUMN(C:C),FALSE),0)</f>
        <v>0</v>
      </c>
      <c r="AG139" s="25">
        <f>Ohj.lask.[[#This Row],[Perus-, suoritus- ja vaikuttavuusrahoitus yhteensä, €]]+Ohj.lask.[[#This Row],[Alv-korvaus, €]]</f>
        <v>39962060</v>
      </c>
    </row>
    <row r="140" spans="1:33" x14ac:dyDescent="0.2">
      <c r="A140" s="131" t="s">
        <v>261</v>
      </c>
      <c r="B140" s="16" t="s">
        <v>141</v>
      </c>
      <c r="C140" s="16" t="s">
        <v>252</v>
      </c>
      <c r="D140" s="16" t="s">
        <v>412</v>
      </c>
      <c r="E140" s="16" t="s">
        <v>474</v>
      </c>
      <c r="F140" s="114">
        <v>218</v>
      </c>
      <c r="G140" s="122">
        <f>0</f>
        <v>0</v>
      </c>
      <c r="H140" s="35">
        <f t="shared" si="8"/>
        <v>218</v>
      </c>
      <c r="I140" s="17">
        <f>IFERROR(VLOOKUP($A140,'2.1 Toteut. op.vuodet'!$A:$Q,COLUMN('2.1 Toteut. op.vuodet'!Q:Q),FALSE),0)</f>
        <v>1.0126169556453382</v>
      </c>
      <c r="J140" s="11">
        <f t="shared" si="9"/>
        <v>220.8</v>
      </c>
      <c r="K140" s="18">
        <f>IFERROR(Ohj.lask.[[#This Row],[Painotetut opiskelija-vuodet]]/Ohj.lask.[[#Totals],[Painotetut opiskelija-vuodet]],0)</f>
        <v>1.1039547378557475E-3</v>
      </c>
      <c r="L140" s="19">
        <f>ROUND(IFERROR('1.1 Jakotaulu'!L$10*Ohj.lask.[[#This Row],[%-osuus 1]],0),0)</f>
        <v>1287178</v>
      </c>
      <c r="M140" s="211">
        <f>IFERROR(ROUND(VLOOKUP($A140,'2.2 Tutk. ja osien pain. pist.'!$A:$Q,COLUMN('2.2 Tutk. ja osien pain. pist.'!P:P),FALSE),1),0)</f>
        <v>21006.3</v>
      </c>
      <c r="N140" s="18">
        <f>IFERROR(Ohj.lask.[[#This Row],[Painotetut pisteet 2]]/Ohj.lask.[[#Totals],[Painotetut pisteet 2]],0)</f>
        <v>1.3423920089617291E-3</v>
      </c>
      <c r="O140" s="25">
        <f>ROUND(IFERROR('1.1 Jakotaulu'!K$11*Ohj.lask.[[#This Row],[%-osuus 2]],0),0)</f>
        <v>497057</v>
      </c>
      <c r="P140" s="233">
        <f>IFERROR(ROUND(VLOOKUP($A140,'2.3 Työll. ja jatko-opisk.'!$A:$K,COLUMN('2.3 Työll. ja jatko-opisk.'!I:I),FALSE),1),0)</f>
        <v>237.4</v>
      </c>
      <c r="Q140" s="18">
        <f>IFERROR(Ohj.lask.[[#This Row],[Painotetut pisteet 3]]/Ohj.lask.[[#Totals],[Painotetut pisteet 3]],0)</f>
        <v>1.2532413233890519E-3</v>
      </c>
      <c r="R140" s="19">
        <f>ROUND(IFERROR('1.1 Jakotaulu'!L$13*Ohj.lask.[[#This Row],[%-osuus 3]],0),0)</f>
        <v>174017</v>
      </c>
      <c r="S140" s="211">
        <f>IFERROR(ROUND(VLOOKUP($A140,'2.4 Aloittaneet palaute'!$A:$K,COLUMN('2.4 Aloittaneet palaute'!J:J),FALSE),1),0)</f>
        <v>2381.1</v>
      </c>
      <c r="T140" s="22">
        <f>IFERROR(Ohj.lask.[[#This Row],[Painotetut pisteet 4]]/Ohj.lask.[[#Totals],[Painotetut pisteet 4]],0)</f>
        <v>1.9124735911420444E-3</v>
      </c>
      <c r="U140" s="25">
        <f>ROUND(IFERROR('1.1 Jakotaulu'!M$16*Ohj.lask.[[#This Row],[%-osuus 4]],0),0)</f>
        <v>22130</v>
      </c>
      <c r="V140" s="235">
        <f>IFERROR(ROUND(VLOOKUP($A140,'2.5 Päättäneet palaute'!$A:$AC,COLUMN('2.5 Päättäneet palaute'!AB:AB),FALSE),1),0)</f>
        <v>18166.599999999999</v>
      </c>
      <c r="W140" s="22">
        <f>IFERROR(Ohj.lask.[[#This Row],[Painotetut pisteet 5]]/Ohj.lask.[[#Totals],[Painotetut pisteet 5]],0)</f>
        <v>2.7433313096031178E-3</v>
      </c>
      <c r="X140" s="19">
        <f>ROUND(IFERROR('1.1 Jakotaulu'!M$17*Ohj.lask.[[#This Row],[%-osuus 5]],0),0)</f>
        <v>95231</v>
      </c>
      <c r="Y140" s="21">
        <f>IFERROR(Ohj.lask.[[#This Row],[Jaettava € 6]]/Ohj.lask.[[#Totals],[Jaettava € 6]],"")</f>
        <v>1.2057808144225056E-3</v>
      </c>
      <c r="Z140" s="25">
        <f>IFERROR(Ohj.lask.[[#This Row],[Jaettava € 1]]+Ohj.lask.[[#This Row],[Jaettava € 2]]+Ohj.lask.[[#This Row],[Jaettava € 3]]+Ohj.lask.[[#This Row],[Jaettava € 4]]+Ohj.lask.[[#This Row],[Jaettava € 5]],"")</f>
        <v>2075613</v>
      </c>
      <c r="AA140" s="123">
        <f>0</f>
        <v>0</v>
      </c>
      <c r="AB140" s="19">
        <f>Ohj.lask.[[#This Row],[Jaettava € 1]]+Ohj.lask.[[#This Row],[Jaettava €]]</f>
        <v>1287178</v>
      </c>
      <c r="AC140" s="107">
        <f>Ohj.lask.[[#This Row],[Jaettava € 2]]</f>
        <v>497057</v>
      </c>
      <c r="AD140" s="19">
        <f>Ohj.lask.[[#This Row],[Jaettava € 3]]+Ohj.lask.[[#This Row],[Jaettava € 4]]+Ohj.lask.[[#This Row],[Jaettava € 5]]</f>
        <v>291378</v>
      </c>
      <c r="AE140" s="36">
        <f>Ohj.lask.[[#This Row],[Jaettava € 6]]+Ohj.lask.[[#This Row],[Jaettava €]]</f>
        <v>2075613</v>
      </c>
      <c r="AF140" s="36">
        <f>IFERROR(VLOOKUP(Ohj.lask.[[#This Row],[Y-tunnus]],'3.1 Alv vahvistettu'!A:Y,COLUMN(C:C),FALSE),0)</f>
        <v>118830</v>
      </c>
      <c r="AG140" s="25">
        <f>Ohj.lask.[[#This Row],[Perus-, suoritus- ja vaikuttavuusrahoitus yhteensä, €]]+Ohj.lask.[[#This Row],[Alv-korvaus, €]]</f>
        <v>2194443</v>
      </c>
    </row>
    <row r="141" spans="1:33" x14ac:dyDescent="0.2">
      <c r="A141" s="131" t="s">
        <v>585</v>
      </c>
      <c r="B141" s="16" t="s">
        <v>586</v>
      </c>
      <c r="C141" s="98" t="s">
        <v>252</v>
      </c>
      <c r="D141" s="98" t="s">
        <v>412</v>
      </c>
      <c r="E141" s="98" t="s">
        <v>474</v>
      </c>
      <c r="F141" s="113">
        <v>79</v>
      </c>
      <c r="G141" s="122">
        <f>0</f>
        <v>0</v>
      </c>
      <c r="H141" s="35">
        <f t="shared" si="8"/>
        <v>79</v>
      </c>
      <c r="I141" s="17">
        <f>IFERROR(VLOOKUP($A141,'2.1 Toteut. op.vuodet'!$A:$Q,COLUMN('2.1 Toteut. op.vuodet'!Q:Q),FALSE),0)</f>
        <v>1.5787943774818158</v>
      </c>
      <c r="J141" s="11">
        <f t="shared" si="9"/>
        <v>124.7</v>
      </c>
      <c r="K141" s="18">
        <f>IFERROR(Ohj.lask.[[#This Row],[Painotetut opiskelija-vuodet]]/Ohj.lask.[[#Totals],[Painotetut opiskelija-vuodet]],0)</f>
        <v>6.2347443754806023E-4</v>
      </c>
      <c r="L141" s="19">
        <f>ROUND(IFERROR('1.1 Jakotaulu'!L$10*Ohj.lask.[[#This Row],[%-osuus 1]],0),0)</f>
        <v>726952</v>
      </c>
      <c r="M141" s="211">
        <f>IFERROR(ROUND(VLOOKUP($A141,'2.2 Tutk. ja osien pain. pist.'!$A:$Q,COLUMN('2.2 Tutk. ja osien pain. pist.'!P:P),FALSE),1),0)</f>
        <v>13919.6</v>
      </c>
      <c r="N141" s="18">
        <f>IFERROR(Ohj.lask.[[#This Row],[Painotetut pisteet 2]]/Ohj.lask.[[#Totals],[Painotetut pisteet 2]],0)</f>
        <v>8.8952170577130121E-4</v>
      </c>
      <c r="O141" s="25">
        <f>ROUND(IFERROR('1.1 Jakotaulu'!K$11*Ohj.lask.[[#This Row],[%-osuus 2]],0),0)</f>
        <v>329369</v>
      </c>
      <c r="P141" s="233">
        <f>IFERROR(ROUND(VLOOKUP($A141,'2.3 Työll. ja jatko-opisk.'!$A:$K,COLUMN('2.3 Työll. ja jatko-opisk.'!I:I),FALSE),1),0)</f>
        <v>86.5</v>
      </c>
      <c r="Q141" s="22">
        <f>IFERROR(Ohj.lask.[[#This Row],[Painotetut pisteet 3]]/Ohj.lask.[[#Totals],[Painotetut pisteet 3]],0)</f>
        <v>4.5663594976054332E-4</v>
      </c>
      <c r="R141" s="19">
        <f>ROUND(IFERROR('1.1 Jakotaulu'!L$13*Ohj.lask.[[#This Row],[%-osuus 3]],0),0)</f>
        <v>63406</v>
      </c>
      <c r="S141" s="211">
        <f>IFERROR(ROUND(VLOOKUP($A141,'2.4 Aloittaneet palaute'!$A:$K,COLUMN('2.4 Aloittaneet palaute'!J:J),FALSE),1),0)</f>
        <v>871.7</v>
      </c>
      <c r="T141" s="22">
        <f>IFERROR(Ohj.lask.[[#This Row],[Painotetut pisteet 4]]/Ohj.lask.[[#Totals],[Painotetut pisteet 4]],0)</f>
        <v>7.0013994767062298E-4</v>
      </c>
      <c r="U141" s="25">
        <f>ROUND(IFERROR('1.1 Jakotaulu'!M$16*Ohj.lask.[[#This Row],[%-osuus 4]],0),0)</f>
        <v>8101</v>
      </c>
      <c r="V141" s="235">
        <f>IFERROR(ROUND(VLOOKUP($A141,'2.5 Päättäneet palaute'!$A:$AC,COLUMN('2.5 Päättäneet palaute'!AB:AB),FALSE),1),0)</f>
        <v>2670</v>
      </c>
      <c r="W141" s="22">
        <f>IFERROR(Ohj.lask.[[#This Row],[Painotetut pisteet 5]]/Ohj.lask.[[#Totals],[Painotetut pisteet 5]],0)</f>
        <v>4.0319567759736685E-4</v>
      </c>
      <c r="X141" s="19">
        <f>ROUND(IFERROR('1.1 Jakotaulu'!M$17*Ohj.lask.[[#This Row],[%-osuus 5]],0),0)</f>
        <v>13996</v>
      </c>
      <c r="Y141" s="21">
        <f>IFERROR(Ohj.lask.[[#This Row],[Jaettava € 6]]/Ohj.lask.[[#Totals],[Jaettava € 6]],"")</f>
        <v>6.6331704062711264E-4</v>
      </c>
      <c r="Z141" s="25">
        <f>IFERROR(Ohj.lask.[[#This Row],[Jaettava € 1]]+Ohj.lask.[[#This Row],[Jaettava € 2]]+Ohj.lask.[[#This Row],[Jaettava € 3]]+Ohj.lask.[[#This Row],[Jaettava € 4]]+Ohj.lask.[[#This Row],[Jaettava € 5]],"")</f>
        <v>1141824</v>
      </c>
      <c r="AA141" s="123">
        <f>0</f>
        <v>0</v>
      </c>
      <c r="AB141" s="19">
        <f>Ohj.lask.[[#This Row],[Jaettava € 1]]+Ohj.lask.[[#This Row],[Jaettava €]]</f>
        <v>726952</v>
      </c>
      <c r="AC141" s="107">
        <f>Ohj.lask.[[#This Row],[Jaettava € 2]]</f>
        <v>329369</v>
      </c>
      <c r="AD141" s="19">
        <f>Ohj.lask.[[#This Row],[Jaettava € 3]]+Ohj.lask.[[#This Row],[Jaettava € 4]]+Ohj.lask.[[#This Row],[Jaettava € 5]]</f>
        <v>85503</v>
      </c>
      <c r="AE141" s="36">
        <f>Ohj.lask.[[#This Row],[Jaettava € 6]]+Ohj.lask.[[#This Row],[Jaettava €]]</f>
        <v>1141824</v>
      </c>
      <c r="AF141" s="36">
        <f>IFERROR(VLOOKUP(Ohj.lask.[[#This Row],[Y-tunnus]],'3.1 Alv vahvistettu'!A:Y,COLUMN(C:C),FALSE),0)</f>
        <v>25469.759999999998</v>
      </c>
      <c r="AG141" s="25">
        <f>Ohj.lask.[[#This Row],[Perus-, suoritus- ja vaikuttavuusrahoitus yhteensä, €]]+Ohj.lask.[[#This Row],[Alv-korvaus, €]]</f>
        <v>1167293.76</v>
      </c>
    </row>
    <row r="142" spans="1:33" x14ac:dyDescent="0.2">
      <c r="A142" s="131" t="s">
        <v>328</v>
      </c>
      <c r="B142" s="16" t="s">
        <v>156</v>
      </c>
      <c r="C142" s="16" t="s">
        <v>252</v>
      </c>
      <c r="D142" s="16" t="s">
        <v>412</v>
      </c>
      <c r="E142" s="16" t="s">
        <v>474</v>
      </c>
      <c r="F142" s="114">
        <v>28</v>
      </c>
      <c r="G142" s="122">
        <f>0</f>
        <v>0</v>
      </c>
      <c r="H142" s="35">
        <f t="shared" si="8"/>
        <v>28</v>
      </c>
      <c r="I142" s="17">
        <f>IFERROR(VLOOKUP($A142,'2.1 Toteut. op.vuodet'!$A:$Q,COLUMN('2.1 Toteut. op.vuodet'!Q:Q),FALSE),0)</f>
        <v>0.76229999999999964</v>
      </c>
      <c r="J142" s="11">
        <f t="shared" si="9"/>
        <v>21.3</v>
      </c>
      <c r="K142" s="18">
        <f>IFERROR(Ohj.lask.[[#This Row],[Painotetut opiskelija-vuodet]]/Ohj.lask.[[#Totals],[Painotetut opiskelija-vuodet]],0)</f>
        <v>1.064956336790191E-4</v>
      </c>
      <c r="L142" s="19">
        <f>ROUND(IFERROR('1.1 Jakotaulu'!L$10*Ohj.lask.[[#This Row],[%-osuus 1]],0),0)</f>
        <v>124171</v>
      </c>
      <c r="M142" s="211">
        <f>IFERROR(ROUND(VLOOKUP($A142,'2.2 Tutk. ja osien pain. pist.'!$A:$Q,COLUMN('2.2 Tutk. ja osien pain. pist.'!P:P),FALSE),1),0)</f>
        <v>3066.5</v>
      </c>
      <c r="N142" s="18">
        <f>IFERROR(Ohj.lask.[[#This Row],[Painotetut pisteet 2]]/Ohj.lask.[[#Totals],[Painotetut pisteet 2]],0)</f>
        <v>1.9596240630102122E-4</v>
      </c>
      <c r="O142" s="25">
        <f>ROUND(IFERROR('1.1 Jakotaulu'!K$11*Ohj.lask.[[#This Row],[%-osuus 2]],0),0)</f>
        <v>72560</v>
      </c>
      <c r="P142" s="233">
        <f>IFERROR(ROUND(VLOOKUP($A142,'2.3 Työll. ja jatko-opisk.'!$A:$K,COLUMN('2.3 Työll. ja jatko-opisk.'!I:I),FALSE),1),0)</f>
        <v>0</v>
      </c>
      <c r="Q142" s="18">
        <f>IFERROR(Ohj.lask.[[#This Row],[Painotetut pisteet 3]]/Ohj.lask.[[#Totals],[Painotetut pisteet 3]],0)</f>
        <v>0</v>
      </c>
      <c r="R142" s="19">
        <f>ROUND(IFERROR('1.1 Jakotaulu'!L$13*Ohj.lask.[[#This Row],[%-osuus 3]],0),0)</f>
        <v>0</v>
      </c>
      <c r="S142" s="211">
        <f>IFERROR(ROUND(VLOOKUP($A142,'2.4 Aloittaneet palaute'!$A:$K,COLUMN('2.4 Aloittaneet palaute'!J:J),FALSE),1),0)</f>
        <v>51.3</v>
      </c>
      <c r="T142" s="22">
        <f>IFERROR(Ohj.lask.[[#This Row],[Painotetut pisteet 4]]/Ohj.lask.[[#Totals],[Painotetut pisteet 4]],0)</f>
        <v>4.1203601371461456E-5</v>
      </c>
      <c r="U142" s="25">
        <f>ROUND(IFERROR('1.1 Jakotaulu'!M$16*Ohj.lask.[[#This Row],[%-osuus 4]],0),0)</f>
        <v>477</v>
      </c>
      <c r="V142" s="235">
        <f>IFERROR(ROUND(VLOOKUP($A142,'2.5 Päättäneet palaute'!$A:$AC,COLUMN('2.5 Päättäneet palaute'!AB:AB),FALSE),1),0)</f>
        <v>1871.3</v>
      </c>
      <c r="W142" s="22">
        <f>IFERROR(Ohj.lask.[[#This Row],[Painotetut pisteet 5]]/Ohj.lask.[[#Totals],[Painotetut pisteet 5]],0)</f>
        <v>2.8258429643743542E-4</v>
      </c>
      <c r="X142" s="19">
        <f>ROUND(IFERROR('1.1 Jakotaulu'!M$17*Ohj.lask.[[#This Row],[%-osuus 5]],0),0)</f>
        <v>9809</v>
      </c>
      <c r="Y142" s="21">
        <f>IFERROR(Ohj.lask.[[#This Row],[Jaettava € 6]]/Ohj.lask.[[#Totals],[Jaettava € 6]],"")</f>
        <v>1.2026188256640514E-4</v>
      </c>
      <c r="Z142" s="25">
        <f>IFERROR(Ohj.lask.[[#This Row],[Jaettava € 1]]+Ohj.lask.[[#This Row],[Jaettava € 2]]+Ohj.lask.[[#This Row],[Jaettava € 3]]+Ohj.lask.[[#This Row],[Jaettava € 4]]+Ohj.lask.[[#This Row],[Jaettava € 5]],"")</f>
        <v>207017</v>
      </c>
      <c r="AA142" s="123">
        <f>0</f>
        <v>0</v>
      </c>
      <c r="AB142" s="19">
        <f>Ohj.lask.[[#This Row],[Jaettava € 1]]+Ohj.lask.[[#This Row],[Jaettava €]]</f>
        <v>124171</v>
      </c>
      <c r="AC142" s="107">
        <f>Ohj.lask.[[#This Row],[Jaettava € 2]]</f>
        <v>72560</v>
      </c>
      <c r="AD142" s="19">
        <f>Ohj.lask.[[#This Row],[Jaettava € 3]]+Ohj.lask.[[#This Row],[Jaettava € 4]]+Ohj.lask.[[#This Row],[Jaettava € 5]]</f>
        <v>10286</v>
      </c>
      <c r="AE142" s="36">
        <f>Ohj.lask.[[#This Row],[Jaettava € 6]]+Ohj.lask.[[#This Row],[Jaettava €]]</f>
        <v>207017</v>
      </c>
      <c r="AF142" s="36">
        <f>IFERROR(VLOOKUP(Ohj.lask.[[#This Row],[Y-tunnus]],'3.1 Alv vahvistettu'!A:Y,COLUMN(C:C),FALSE),0)</f>
        <v>12683.2</v>
      </c>
      <c r="AG142" s="25">
        <f>Ohj.lask.[[#This Row],[Perus-, suoritus- ja vaikuttavuusrahoitus yhteensä, €]]+Ohj.lask.[[#This Row],[Alv-korvaus, €]]</f>
        <v>219700.2</v>
      </c>
    </row>
    <row r="143" spans="1:33" x14ac:dyDescent="0.2">
      <c r="A143" s="131" t="s">
        <v>260</v>
      </c>
      <c r="B143" s="16" t="s">
        <v>142</v>
      </c>
      <c r="C143" s="16" t="s">
        <v>236</v>
      </c>
      <c r="D143" s="16" t="s">
        <v>412</v>
      </c>
      <c r="E143" s="16" t="s">
        <v>474</v>
      </c>
      <c r="F143" s="114">
        <v>702</v>
      </c>
      <c r="G143" s="122">
        <f>0</f>
        <v>0</v>
      </c>
      <c r="H143" s="35">
        <f t="shared" si="8"/>
        <v>702</v>
      </c>
      <c r="I143" s="17">
        <f>IFERROR(VLOOKUP($A143,'2.1 Toteut. op.vuodet'!$A:$Q,COLUMN('2.1 Toteut. op.vuodet'!Q:Q),FALSE),0)</f>
        <v>1.1952786067435588</v>
      </c>
      <c r="J143" s="11">
        <f t="shared" si="9"/>
        <v>839.1</v>
      </c>
      <c r="K143" s="18">
        <f>IFERROR(Ohj.lask.[[#This Row],[Painotetut opiskelija-vuodet]]/Ohj.lask.[[#Totals],[Painotetut opiskelija-vuodet]],0)</f>
        <v>4.1953279915523441E-3</v>
      </c>
      <c r="L143" s="19">
        <f>ROUND(IFERROR('1.1 Jakotaulu'!L$10*Ohj.lask.[[#This Row],[%-osuus 1]],0),0)</f>
        <v>4891624</v>
      </c>
      <c r="M143" s="211">
        <f>IFERROR(ROUND(VLOOKUP($A143,'2.2 Tutk. ja osien pain. pist.'!$A:$Q,COLUMN('2.2 Tutk. ja osien pain. pist.'!P:P),FALSE),1),0)</f>
        <v>143178</v>
      </c>
      <c r="N143" s="18">
        <f>IFERROR(Ohj.lask.[[#This Row],[Painotetut pisteet 2]]/Ohj.lask.[[#Totals],[Painotetut pisteet 2]],0)</f>
        <v>9.1496838119574826E-3</v>
      </c>
      <c r="O143" s="25">
        <f>ROUND(IFERROR('1.1 Jakotaulu'!K$11*Ohj.lask.[[#This Row],[%-osuus 2]],0),0)</f>
        <v>3387917</v>
      </c>
      <c r="P143" s="233">
        <f>IFERROR(ROUND(VLOOKUP($A143,'2.3 Työll. ja jatko-opisk.'!$A:$K,COLUMN('2.3 Työll. ja jatko-opisk.'!I:I),FALSE),1),0)</f>
        <v>1266.9000000000001</v>
      </c>
      <c r="Q143" s="18">
        <f>IFERROR(Ohj.lask.[[#This Row],[Painotetut pisteet 3]]/Ohj.lask.[[#Totals],[Painotetut pisteet 3]],0)</f>
        <v>6.6880009797876576E-3</v>
      </c>
      <c r="R143" s="19">
        <f>ROUND(IFERROR('1.1 Jakotaulu'!L$13*Ohj.lask.[[#This Row],[%-osuus 3]],0),0)</f>
        <v>928655</v>
      </c>
      <c r="S143" s="211">
        <f>IFERROR(ROUND(VLOOKUP($A143,'2.4 Aloittaneet palaute'!$A:$K,COLUMN('2.4 Aloittaneet palaute'!J:J),FALSE),1),0)</f>
        <v>12360</v>
      </c>
      <c r="T143" s="22">
        <f>IFERROR(Ohj.lask.[[#This Row],[Painotetut pisteet 4]]/Ohj.lask.[[#Totals],[Painotetut pisteet 4]],0)</f>
        <v>9.9274174064573808E-3</v>
      </c>
      <c r="U143" s="25">
        <f>ROUND(IFERROR('1.1 Jakotaulu'!M$16*Ohj.lask.[[#This Row],[%-osuus 4]],0),0)</f>
        <v>114872</v>
      </c>
      <c r="V143" s="235">
        <f>IFERROR(ROUND(VLOOKUP($A143,'2.5 Päättäneet palaute'!$A:$AC,COLUMN('2.5 Päättäneet palaute'!AB:AB),FALSE),1),0)</f>
        <v>32964.9</v>
      </c>
      <c r="W143" s="22">
        <f>IFERROR(Ohj.lask.[[#This Row],[Painotetut pisteet 5]]/Ohj.lask.[[#Totals],[Painotetut pisteet 5]],0)</f>
        <v>4.9780169260035352E-3</v>
      </c>
      <c r="X143" s="19">
        <f>ROUND(IFERROR('1.1 Jakotaulu'!M$17*Ohj.lask.[[#This Row],[%-osuus 5]],0),0)</f>
        <v>172804</v>
      </c>
      <c r="Y143" s="21">
        <f>IFERROR(Ohj.lask.[[#This Row],[Jaettava € 6]]/Ohj.lask.[[#Totals],[Jaettava € 6]],"")</f>
        <v>5.5164138371709311E-3</v>
      </c>
      <c r="Z143" s="25">
        <f>IFERROR(Ohj.lask.[[#This Row],[Jaettava € 1]]+Ohj.lask.[[#This Row],[Jaettava € 2]]+Ohj.lask.[[#This Row],[Jaettava € 3]]+Ohj.lask.[[#This Row],[Jaettava € 4]]+Ohj.lask.[[#This Row],[Jaettava € 5]],"")</f>
        <v>9495872</v>
      </c>
      <c r="AA143" s="123">
        <f>0</f>
        <v>0</v>
      </c>
      <c r="AB143" s="19">
        <f>Ohj.lask.[[#This Row],[Jaettava € 1]]+Ohj.lask.[[#This Row],[Jaettava €]]</f>
        <v>4891624</v>
      </c>
      <c r="AC143" s="107">
        <f>Ohj.lask.[[#This Row],[Jaettava € 2]]</f>
        <v>3387917</v>
      </c>
      <c r="AD143" s="19">
        <f>Ohj.lask.[[#This Row],[Jaettava € 3]]+Ohj.lask.[[#This Row],[Jaettava € 4]]+Ohj.lask.[[#This Row],[Jaettava € 5]]</f>
        <v>1216331</v>
      </c>
      <c r="AE143" s="36">
        <f>Ohj.lask.[[#This Row],[Jaettava € 6]]+Ohj.lask.[[#This Row],[Jaettava €]]</f>
        <v>9495872</v>
      </c>
      <c r="AF143" s="36">
        <f>IFERROR(VLOOKUP(Ohj.lask.[[#This Row],[Y-tunnus]],'3.1 Alv vahvistettu'!A:Y,COLUMN(C:C),FALSE),0)</f>
        <v>932677.87</v>
      </c>
      <c r="AG143" s="25">
        <f>Ohj.lask.[[#This Row],[Perus-, suoritus- ja vaikuttavuusrahoitus yhteensä, €]]+Ohj.lask.[[#This Row],[Alv-korvaus, €]]</f>
        <v>10428549.869999999</v>
      </c>
    </row>
    <row r="144" spans="1:33" x14ac:dyDescent="0.2">
      <c r="A144" s="131" t="s">
        <v>259</v>
      </c>
      <c r="B144" s="16" t="s">
        <v>193</v>
      </c>
      <c r="C144" s="98" t="s">
        <v>236</v>
      </c>
      <c r="D144" s="98" t="s">
        <v>412</v>
      </c>
      <c r="E144" s="98" t="s">
        <v>474</v>
      </c>
      <c r="F144" s="113">
        <v>0</v>
      </c>
      <c r="G144" s="122">
        <f>0</f>
        <v>0</v>
      </c>
      <c r="H144" s="35">
        <f t="shared" si="8"/>
        <v>0</v>
      </c>
      <c r="I144" s="17">
        <f>IFERROR(VLOOKUP($A144,'2.1 Toteut. op.vuodet'!$A:$Q,COLUMN('2.1 Toteut. op.vuodet'!Q:Q),FALSE),0)</f>
        <v>0.8600000000000001</v>
      </c>
      <c r="J144" s="11">
        <f t="shared" si="9"/>
        <v>0</v>
      </c>
      <c r="K144" s="18">
        <f>IFERROR(Ohj.lask.[[#This Row],[Painotetut opiskelija-vuodet]]/Ohj.lask.[[#Totals],[Painotetut opiskelija-vuodet]],0)</f>
        <v>0</v>
      </c>
      <c r="L144" s="19">
        <f>ROUND(IFERROR('1.1 Jakotaulu'!L$10*Ohj.lask.[[#This Row],[%-osuus 1]],0),0)</f>
        <v>0</v>
      </c>
      <c r="M144" s="211">
        <f>IFERROR(ROUND(VLOOKUP($A144,'2.2 Tutk. ja osien pain. pist.'!$A:$Q,COLUMN('2.2 Tutk. ja osien pain. pist.'!P:P),FALSE),1),0)</f>
        <v>0</v>
      </c>
      <c r="N144" s="18">
        <f>IFERROR(Ohj.lask.[[#This Row],[Painotetut pisteet 2]]/Ohj.lask.[[#Totals],[Painotetut pisteet 2]],0)</f>
        <v>0</v>
      </c>
      <c r="O144" s="25">
        <f>ROUND(IFERROR('1.1 Jakotaulu'!K$11*Ohj.lask.[[#This Row],[%-osuus 2]],0),0)</f>
        <v>0</v>
      </c>
      <c r="P144" s="233">
        <f>IFERROR(ROUND(VLOOKUP($A144,'2.3 Työll. ja jatko-opisk.'!$A:$K,COLUMN('2.3 Työll. ja jatko-opisk.'!I:I),FALSE),1),0)</f>
        <v>0</v>
      </c>
      <c r="Q144" s="22">
        <f>IFERROR(Ohj.lask.[[#This Row],[Painotetut pisteet 3]]/Ohj.lask.[[#Totals],[Painotetut pisteet 3]],0)</f>
        <v>0</v>
      </c>
      <c r="R144" s="19">
        <f>ROUND(IFERROR('1.1 Jakotaulu'!L$13*Ohj.lask.[[#This Row],[%-osuus 3]],0),0)</f>
        <v>0</v>
      </c>
      <c r="S144" s="211">
        <f>IFERROR(ROUND(VLOOKUP($A144,'2.4 Aloittaneet palaute'!$A:$K,COLUMN('2.4 Aloittaneet palaute'!J:J),FALSE),1),0)</f>
        <v>0</v>
      </c>
      <c r="T144" s="22">
        <f>IFERROR(Ohj.lask.[[#This Row],[Painotetut pisteet 4]]/Ohj.lask.[[#Totals],[Painotetut pisteet 4]],0)</f>
        <v>0</v>
      </c>
      <c r="U144" s="25">
        <f>ROUND(IFERROR('1.1 Jakotaulu'!M$16*Ohj.lask.[[#This Row],[%-osuus 4]],0),0)</f>
        <v>0</v>
      </c>
      <c r="V144" s="235">
        <f>IFERROR(ROUND(VLOOKUP($A144,'2.5 Päättäneet palaute'!$A:$AC,COLUMN('2.5 Päättäneet palaute'!AB:AB),FALSE),1),0)</f>
        <v>0</v>
      </c>
      <c r="W144" s="22">
        <f>IFERROR(Ohj.lask.[[#This Row],[Painotetut pisteet 5]]/Ohj.lask.[[#Totals],[Painotetut pisteet 5]],0)</f>
        <v>0</v>
      </c>
      <c r="X144" s="19">
        <f>ROUND(IFERROR('1.1 Jakotaulu'!M$17*Ohj.lask.[[#This Row],[%-osuus 5]],0),0)</f>
        <v>0</v>
      </c>
      <c r="Y144" s="21">
        <f>IFERROR(Ohj.lask.[[#This Row],[Jaettava € 6]]/Ohj.lask.[[#Totals],[Jaettava € 6]],"")</f>
        <v>0</v>
      </c>
      <c r="Z144" s="25">
        <f>IFERROR(Ohj.lask.[[#This Row],[Jaettava € 1]]+Ohj.lask.[[#This Row],[Jaettava € 2]]+Ohj.lask.[[#This Row],[Jaettava € 3]]+Ohj.lask.[[#This Row],[Jaettava € 4]]+Ohj.lask.[[#This Row],[Jaettava € 5]],"")</f>
        <v>0</v>
      </c>
      <c r="AA144" s="123">
        <f>0</f>
        <v>0</v>
      </c>
      <c r="AB144" s="19">
        <f>Ohj.lask.[[#This Row],[Jaettava € 1]]+Ohj.lask.[[#This Row],[Jaettava €]]</f>
        <v>0</v>
      </c>
      <c r="AC144" s="107">
        <f>Ohj.lask.[[#This Row],[Jaettava € 2]]</f>
        <v>0</v>
      </c>
      <c r="AD144" s="19">
        <f>Ohj.lask.[[#This Row],[Jaettava € 3]]+Ohj.lask.[[#This Row],[Jaettava € 4]]+Ohj.lask.[[#This Row],[Jaettava € 5]]</f>
        <v>0</v>
      </c>
      <c r="AE144" s="36">
        <f>Ohj.lask.[[#This Row],[Jaettava € 6]]+Ohj.lask.[[#This Row],[Jaettava €]]</f>
        <v>0</v>
      </c>
      <c r="AF144" s="36">
        <f>IFERROR(VLOOKUP(Ohj.lask.[[#This Row],[Y-tunnus]],'3.1 Alv vahvistettu'!A:Y,COLUMN(C:C),FALSE),0)</f>
        <v>0</v>
      </c>
      <c r="AG144" s="25">
        <f>Ohj.lask.[[#This Row],[Perus-, suoritus- ja vaikuttavuusrahoitus yhteensä, €]]+Ohj.lask.[[#This Row],[Alv-korvaus, €]]</f>
        <v>0</v>
      </c>
    </row>
    <row r="145" spans="1:33" x14ac:dyDescent="0.2">
      <c r="A145" s="131" t="s">
        <v>258</v>
      </c>
      <c r="B145" s="16" t="s">
        <v>185</v>
      </c>
      <c r="C145" s="16" t="s">
        <v>236</v>
      </c>
      <c r="D145" s="16" t="s">
        <v>412</v>
      </c>
      <c r="E145" s="16" t="s">
        <v>474</v>
      </c>
      <c r="F145" s="114">
        <v>0</v>
      </c>
      <c r="G145" s="122">
        <f>0</f>
        <v>0</v>
      </c>
      <c r="H145" s="35">
        <f t="shared" si="8"/>
        <v>0</v>
      </c>
      <c r="I145" s="17">
        <f>IFERROR(VLOOKUP($A145,'2.1 Toteut. op.vuodet'!$A:$Q,COLUMN('2.1 Toteut. op.vuodet'!Q:Q),FALSE),0)</f>
        <v>0.43</v>
      </c>
      <c r="J145" s="11">
        <f t="shared" si="9"/>
        <v>0</v>
      </c>
      <c r="K145" s="18">
        <f>IFERROR(Ohj.lask.[[#This Row],[Painotetut opiskelija-vuodet]]/Ohj.lask.[[#Totals],[Painotetut opiskelija-vuodet]],0)</f>
        <v>0</v>
      </c>
      <c r="L145" s="19">
        <f>ROUND(IFERROR('1.1 Jakotaulu'!L$10*Ohj.lask.[[#This Row],[%-osuus 1]],0),0)</f>
        <v>0</v>
      </c>
      <c r="M145" s="211">
        <f>IFERROR(ROUND(VLOOKUP($A145,'2.2 Tutk. ja osien pain. pist.'!$A:$Q,COLUMN('2.2 Tutk. ja osien pain. pist.'!P:P),FALSE),1),0)</f>
        <v>0</v>
      </c>
      <c r="N145" s="18">
        <f>IFERROR(Ohj.lask.[[#This Row],[Painotetut pisteet 2]]/Ohj.lask.[[#Totals],[Painotetut pisteet 2]],0)</f>
        <v>0</v>
      </c>
      <c r="O145" s="25">
        <f>ROUND(IFERROR('1.1 Jakotaulu'!K$11*Ohj.lask.[[#This Row],[%-osuus 2]],0),0)</f>
        <v>0</v>
      </c>
      <c r="P145" s="233">
        <f>IFERROR(ROUND(VLOOKUP($A145,'2.3 Työll. ja jatko-opisk.'!$A:$K,COLUMN('2.3 Työll. ja jatko-opisk.'!I:I),FALSE),1),0)</f>
        <v>0</v>
      </c>
      <c r="Q145" s="18">
        <f>IFERROR(Ohj.lask.[[#This Row],[Painotetut pisteet 3]]/Ohj.lask.[[#Totals],[Painotetut pisteet 3]],0)</f>
        <v>0</v>
      </c>
      <c r="R145" s="19">
        <f>ROUND(IFERROR('1.1 Jakotaulu'!L$13*Ohj.lask.[[#This Row],[%-osuus 3]],0),0)</f>
        <v>0</v>
      </c>
      <c r="S145" s="211">
        <f>IFERROR(ROUND(VLOOKUP($A145,'2.4 Aloittaneet palaute'!$A:$K,COLUMN('2.4 Aloittaneet palaute'!J:J),FALSE),1),0)</f>
        <v>0</v>
      </c>
      <c r="T145" s="22">
        <f>IFERROR(Ohj.lask.[[#This Row],[Painotetut pisteet 4]]/Ohj.lask.[[#Totals],[Painotetut pisteet 4]],0)</f>
        <v>0</v>
      </c>
      <c r="U145" s="25">
        <f>ROUND(IFERROR('1.1 Jakotaulu'!M$16*Ohj.lask.[[#This Row],[%-osuus 4]],0),0)</f>
        <v>0</v>
      </c>
      <c r="V145" s="235">
        <f>IFERROR(ROUND(VLOOKUP($A145,'2.5 Päättäneet palaute'!$A:$AC,COLUMN('2.5 Päättäneet palaute'!AB:AB),FALSE),1),0)</f>
        <v>0</v>
      </c>
      <c r="W145" s="22">
        <f>IFERROR(Ohj.lask.[[#This Row],[Painotetut pisteet 5]]/Ohj.lask.[[#Totals],[Painotetut pisteet 5]],0)</f>
        <v>0</v>
      </c>
      <c r="X145" s="19">
        <f>ROUND(IFERROR('1.1 Jakotaulu'!M$17*Ohj.lask.[[#This Row],[%-osuus 5]],0),0)</f>
        <v>0</v>
      </c>
      <c r="Y145" s="21">
        <f>IFERROR(Ohj.lask.[[#This Row],[Jaettava € 6]]/Ohj.lask.[[#Totals],[Jaettava € 6]],"")</f>
        <v>0</v>
      </c>
      <c r="Z145" s="25">
        <f>IFERROR(Ohj.lask.[[#This Row],[Jaettava € 1]]+Ohj.lask.[[#This Row],[Jaettava € 2]]+Ohj.lask.[[#This Row],[Jaettava € 3]]+Ohj.lask.[[#This Row],[Jaettava € 4]]+Ohj.lask.[[#This Row],[Jaettava € 5]],"")</f>
        <v>0</v>
      </c>
      <c r="AA145" s="123">
        <f>0</f>
        <v>0</v>
      </c>
      <c r="AB145" s="19">
        <f>Ohj.lask.[[#This Row],[Jaettava € 1]]+Ohj.lask.[[#This Row],[Jaettava €]]</f>
        <v>0</v>
      </c>
      <c r="AC145" s="107">
        <f>Ohj.lask.[[#This Row],[Jaettava € 2]]</f>
        <v>0</v>
      </c>
      <c r="AD145" s="19">
        <f>Ohj.lask.[[#This Row],[Jaettava € 3]]+Ohj.lask.[[#This Row],[Jaettava € 4]]+Ohj.lask.[[#This Row],[Jaettava € 5]]</f>
        <v>0</v>
      </c>
      <c r="AE145" s="36">
        <f>Ohj.lask.[[#This Row],[Jaettava € 6]]+Ohj.lask.[[#This Row],[Jaettava €]]</f>
        <v>0</v>
      </c>
      <c r="AF145" s="36">
        <f>IFERROR(VLOOKUP(Ohj.lask.[[#This Row],[Y-tunnus]],'3.1 Alv vahvistettu'!A:Y,COLUMN(C:C),FALSE),0)</f>
        <v>113902.2</v>
      </c>
      <c r="AG145" s="25">
        <f>Ohj.lask.[[#This Row],[Perus-, suoritus- ja vaikuttavuusrahoitus yhteensä, €]]+Ohj.lask.[[#This Row],[Alv-korvaus, €]]</f>
        <v>113902.2</v>
      </c>
    </row>
    <row r="146" spans="1:33" x14ac:dyDescent="0.2">
      <c r="A146" s="131" t="s">
        <v>257</v>
      </c>
      <c r="B146" s="16" t="s">
        <v>143</v>
      </c>
      <c r="C146" s="16" t="s">
        <v>242</v>
      </c>
      <c r="D146" s="16" t="s">
        <v>413</v>
      </c>
      <c r="E146" s="16" t="s">
        <v>476</v>
      </c>
      <c r="F146" s="114">
        <v>2401</v>
      </c>
      <c r="G146" s="122">
        <f>0</f>
        <v>0</v>
      </c>
      <c r="H146" s="35">
        <f t="shared" si="8"/>
        <v>2401</v>
      </c>
      <c r="I146" s="17">
        <f>IFERROR(VLOOKUP($A146,'2.1 Toteut. op.vuodet'!$A:$Q,COLUMN('2.1 Toteut. op.vuodet'!Q:Q),FALSE),0)</f>
        <v>1.004020735391344</v>
      </c>
      <c r="J146" s="11">
        <f t="shared" si="9"/>
        <v>2410.6999999999998</v>
      </c>
      <c r="K146" s="18">
        <f>IFERROR(Ohj.lask.[[#This Row],[Painotetut opiskelija-vuodet]]/Ohj.lask.[[#Totals],[Painotetut opiskelija-vuodet]],0)</f>
        <v>1.2053005826761096E-2</v>
      </c>
      <c r="L146" s="19">
        <f>ROUND(IFERROR('1.1 Jakotaulu'!L$10*Ohj.lask.[[#This Row],[%-osuus 1]],0),0)</f>
        <v>14053437</v>
      </c>
      <c r="M146" s="211">
        <f>IFERROR(ROUND(VLOOKUP($A146,'2.2 Tutk. ja osien pain. pist.'!$A:$Q,COLUMN('2.2 Tutk. ja osien pain. pist.'!P:P),FALSE),1),0)</f>
        <v>182487.7</v>
      </c>
      <c r="N146" s="18">
        <f>IFERROR(Ohj.lask.[[#This Row],[Painotetut pisteet 2]]/Ohj.lask.[[#Totals],[Painotetut pisteet 2]],0)</f>
        <v>1.1661741011687226E-2</v>
      </c>
      <c r="O146" s="25">
        <f>ROUND(IFERROR('1.1 Jakotaulu'!K$11*Ohj.lask.[[#This Row],[%-osuus 2]],0),0)</f>
        <v>4318074</v>
      </c>
      <c r="P146" s="233">
        <f>IFERROR(ROUND(VLOOKUP($A146,'2.3 Työll. ja jatko-opisk.'!$A:$K,COLUMN('2.3 Työll. ja jatko-opisk.'!I:I),FALSE),1),0)</f>
        <v>3164.1</v>
      </c>
      <c r="Q146" s="18">
        <f>IFERROR(Ohj.lask.[[#This Row],[Painotetut pisteet 3]]/Ohj.lask.[[#Totals],[Painotetut pisteet 3]],0)</f>
        <v>1.6703373510258208E-2</v>
      </c>
      <c r="R146" s="19">
        <f>ROUND(IFERROR('1.1 Jakotaulu'!L$13*Ohj.lask.[[#This Row],[%-osuus 3]],0),0)</f>
        <v>2319328</v>
      </c>
      <c r="S146" s="211">
        <f>IFERROR(ROUND(VLOOKUP($A146,'2.4 Aloittaneet palaute'!$A:$K,COLUMN('2.4 Aloittaneet palaute'!J:J),FALSE),1),0)</f>
        <v>8580.7999999999993</v>
      </c>
      <c r="T146" s="22">
        <f>IFERROR(Ohj.lask.[[#This Row],[Painotetut pisteet 4]]/Ohj.lask.[[#Totals],[Painotetut pisteet 4]],0)</f>
        <v>6.8920051198486645E-3</v>
      </c>
      <c r="U146" s="25">
        <f>ROUND(IFERROR('1.1 Jakotaulu'!M$16*Ohj.lask.[[#This Row],[%-osuus 4]],0),0)</f>
        <v>79748</v>
      </c>
      <c r="V146" s="235">
        <f>IFERROR(ROUND(VLOOKUP($A146,'2.5 Päättäneet palaute'!$A:$AC,COLUMN('2.5 Päättäneet palaute'!AB:AB),FALSE),1),0)</f>
        <v>71516.899999999994</v>
      </c>
      <c r="W146" s="22">
        <f>IFERROR(Ohj.lask.[[#This Row],[Painotetut pisteet 5]]/Ohj.lask.[[#Totals],[Painotetut pisteet 5]],0)</f>
        <v>1.0799739683581694E-2</v>
      </c>
      <c r="X146" s="19">
        <f>ROUND(IFERROR('1.1 Jakotaulu'!M$17*Ohj.lask.[[#This Row],[%-osuus 5]],0),0)</f>
        <v>374896</v>
      </c>
      <c r="Y146" s="21">
        <f>IFERROR(Ohj.lask.[[#This Row],[Jaettava € 6]]/Ohj.lask.[[#Totals],[Jaettava € 6]],"")</f>
        <v>1.2283994036025621E-2</v>
      </c>
      <c r="Z146" s="25">
        <f>IFERROR(Ohj.lask.[[#This Row],[Jaettava € 1]]+Ohj.lask.[[#This Row],[Jaettava € 2]]+Ohj.lask.[[#This Row],[Jaettava € 3]]+Ohj.lask.[[#This Row],[Jaettava € 4]]+Ohj.lask.[[#This Row],[Jaettava € 5]],"")</f>
        <v>21145483</v>
      </c>
      <c r="AA146" s="123">
        <f>0</f>
        <v>0</v>
      </c>
      <c r="AB146" s="19">
        <f>Ohj.lask.[[#This Row],[Jaettava € 1]]+Ohj.lask.[[#This Row],[Jaettava €]]</f>
        <v>14053437</v>
      </c>
      <c r="AC146" s="107">
        <f>Ohj.lask.[[#This Row],[Jaettava € 2]]</f>
        <v>4318074</v>
      </c>
      <c r="AD146" s="19">
        <f>Ohj.lask.[[#This Row],[Jaettava € 3]]+Ohj.lask.[[#This Row],[Jaettava € 4]]+Ohj.lask.[[#This Row],[Jaettava € 5]]</f>
        <v>2773972</v>
      </c>
      <c r="AE146" s="36">
        <f>Ohj.lask.[[#This Row],[Jaettava € 6]]+Ohj.lask.[[#This Row],[Jaettava €]]</f>
        <v>21145483</v>
      </c>
      <c r="AF146" s="36">
        <f>IFERROR(VLOOKUP(Ohj.lask.[[#This Row],[Y-tunnus]],'3.1 Alv vahvistettu'!A:Y,COLUMN(C:C),FALSE),0)</f>
        <v>0</v>
      </c>
      <c r="AG146" s="25">
        <f>Ohj.lask.[[#This Row],[Perus-, suoritus- ja vaikuttavuusrahoitus yhteensä, €]]+Ohj.lask.[[#This Row],[Alv-korvaus, €]]</f>
        <v>21145483</v>
      </c>
    </row>
    <row r="147" spans="1:33" x14ac:dyDescent="0.2">
      <c r="A147" s="131" t="s">
        <v>256</v>
      </c>
      <c r="B147" s="16" t="s">
        <v>144</v>
      </c>
      <c r="C147" s="16" t="s">
        <v>247</v>
      </c>
      <c r="D147" s="16" t="s">
        <v>411</v>
      </c>
      <c r="E147" s="16" t="s">
        <v>474</v>
      </c>
      <c r="F147" s="114">
        <v>1000</v>
      </c>
      <c r="G147" s="122">
        <f>0</f>
        <v>0</v>
      </c>
      <c r="H147" s="35">
        <f t="shared" si="8"/>
        <v>1000</v>
      </c>
      <c r="I147" s="17">
        <f>IFERROR(VLOOKUP($A147,'2.1 Toteut. op.vuodet'!$A:$Q,COLUMN('2.1 Toteut. op.vuodet'!Q:Q),FALSE),0)</f>
        <v>0.98672504152095963</v>
      </c>
      <c r="J147" s="11">
        <f t="shared" si="9"/>
        <v>986.7</v>
      </c>
      <c r="K147" s="18">
        <f>IFERROR(Ohj.lask.[[#This Row],[Painotetut opiskelija-vuodet]]/Ohj.lask.[[#Totals],[Painotetut opiskelija-vuodet]],0)</f>
        <v>4.9332977347928712E-3</v>
      </c>
      <c r="L147" s="19">
        <f>ROUND(IFERROR('1.1 Jakotaulu'!L$10*Ohj.lask.[[#This Row],[%-osuus 1]],0),0)</f>
        <v>5752075</v>
      </c>
      <c r="M147" s="211">
        <f>IFERROR(ROUND(VLOOKUP($A147,'2.2 Tutk. ja osien pain. pist.'!$A:$Q,COLUMN('2.2 Tutk. ja osien pain. pist.'!P:P),FALSE),1),0)</f>
        <v>92978</v>
      </c>
      <c r="N147" s="18">
        <f>IFERROR(Ohj.lask.[[#This Row],[Painotetut pisteet 2]]/Ohj.lask.[[#Totals],[Painotetut pisteet 2]],0)</f>
        <v>5.9416900743702438E-3</v>
      </c>
      <c r="O147" s="25">
        <f>ROUND(IFERROR('1.1 Jakotaulu'!K$11*Ohj.lask.[[#This Row],[%-osuus 2]],0),0)</f>
        <v>2200071</v>
      </c>
      <c r="P147" s="233">
        <f>IFERROR(ROUND(VLOOKUP($A147,'2.3 Työll. ja jatko-opisk.'!$A:$K,COLUMN('2.3 Työll. ja jatko-opisk.'!I:I),FALSE),1),0)</f>
        <v>1100.2</v>
      </c>
      <c r="Q147" s="18">
        <f>IFERROR(Ohj.lask.[[#This Row],[Painotetut pisteet 3]]/Ohj.lask.[[#Totals],[Painotetut pisteet 3]],0)</f>
        <v>5.8079869586884362E-3</v>
      </c>
      <c r="R147" s="19">
        <f>ROUND(IFERROR('1.1 Jakotaulu'!L$13*Ohj.lask.[[#This Row],[%-osuus 3]],0),0)</f>
        <v>806461</v>
      </c>
      <c r="S147" s="211">
        <f>IFERROR(ROUND(VLOOKUP($A147,'2.4 Aloittaneet palaute'!$A:$K,COLUMN('2.4 Aloittaneet palaute'!J:J),FALSE),1),0)</f>
        <v>9347.4</v>
      </c>
      <c r="T147" s="22">
        <f>IFERROR(Ohj.lask.[[#This Row],[Painotetut pisteet 4]]/Ohj.lask.[[#Totals],[Painotetut pisteet 4]],0)</f>
        <v>7.5077298919999777E-3</v>
      </c>
      <c r="U147" s="25">
        <f>ROUND(IFERROR('1.1 Jakotaulu'!M$16*Ohj.lask.[[#This Row],[%-osuus 4]],0),0)</f>
        <v>86873</v>
      </c>
      <c r="V147" s="235">
        <f>IFERROR(ROUND(VLOOKUP($A147,'2.5 Päättäneet palaute'!$A:$AC,COLUMN('2.5 Päättäneet palaute'!AB:AB),FALSE),1),0)</f>
        <v>47154.400000000001</v>
      </c>
      <c r="W147" s="22">
        <f>IFERROR(Ohj.lask.[[#This Row],[Painotetut pisteet 5]]/Ohj.lask.[[#Totals],[Painotetut pisteet 5]],0)</f>
        <v>7.1207678875270701E-3</v>
      </c>
      <c r="X147" s="19">
        <f>ROUND(IFERROR('1.1 Jakotaulu'!M$17*Ohj.lask.[[#This Row],[%-osuus 5]],0),0)</f>
        <v>247187</v>
      </c>
      <c r="Y147" s="21">
        <f>IFERROR(Ohj.lask.[[#This Row],[Jaettava € 6]]/Ohj.lask.[[#Totals],[Jaettava € 6]],"")</f>
        <v>5.2821809366835927E-3</v>
      </c>
      <c r="Z147" s="25">
        <f>IFERROR(Ohj.lask.[[#This Row],[Jaettava € 1]]+Ohj.lask.[[#This Row],[Jaettava € 2]]+Ohj.lask.[[#This Row],[Jaettava € 3]]+Ohj.lask.[[#This Row],[Jaettava € 4]]+Ohj.lask.[[#This Row],[Jaettava € 5]],"")</f>
        <v>9092667</v>
      </c>
      <c r="AA147" s="123">
        <f>0</f>
        <v>0</v>
      </c>
      <c r="AB147" s="19">
        <f>Ohj.lask.[[#This Row],[Jaettava € 1]]+Ohj.lask.[[#This Row],[Jaettava €]]</f>
        <v>5752075</v>
      </c>
      <c r="AC147" s="107">
        <f>Ohj.lask.[[#This Row],[Jaettava € 2]]</f>
        <v>2200071</v>
      </c>
      <c r="AD147" s="19">
        <f>Ohj.lask.[[#This Row],[Jaettava € 3]]+Ohj.lask.[[#This Row],[Jaettava € 4]]+Ohj.lask.[[#This Row],[Jaettava € 5]]</f>
        <v>1140521</v>
      </c>
      <c r="AE147" s="36">
        <f>Ohj.lask.[[#This Row],[Jaettava € 6]]+Ohj.lask.[[#This Row],[Jaettava €]]</f>
        <v>9092667</v>
      </c>
      <c r="AF147" s="36">
        <f>IFERROR(VLOOKUP(Ohj.lask.[[#This Row],[Y-tunnus]],'3.1 Alv vahvistettu'!A:Y,COLUMN(C:C),FALSE),0)</f>
        <v>0</v>
      </c>
      <c r="AG147" s="25">
        <f>Ohj.lask.[[#This Row],[Perus-, suoritus- ja vaikuttavuusrahoitus yhteensä, €]]+Ohj.lask.[[#This Row],[Alv-korvaus, €]]</f>
        <v>9092667</v>
      </c>
    </row>
    <row r="148" spans="1:33" x14ac:dyDescent="0.2">
      <c r="A148" s="131" t="s">
        <v>255</v>
      </c>
      <c r="B148" s="16" t="s">
        <v>145</v>
      </c>
      <c r="C148" s="16" t="s">
        <v>254</v>
      </c>
      <c r="D148" s="16" t="s">
        <v>412</v>
      </c>
      <c r="E148" s="16" t="s">
        <v>474</v>
      </c>
      <c r="F148" s="114">
        <v>17</v>
      </c>
      <c r="G148" s="122">
        <f>0</f>
        <v>0</v>
      </c>
      <c r="H148" s="35">
        <f t="shared" si="8"/>
        <v>17</v>
      </c>
      <c r="I148" s="17">
        <f>IFERROR(VLOOKUP($A148,'2.1 Toteut. op.vuodet'!$A:$Q,COLUMN('2.1 Toteut. op.vuodet'!Q:Q),FALSE),0)</f>
        <v>0.84241283738708694</v>
      </c>
      <c r="J148" s="11">
        <f t="shared" si="9"/>
        <v>14.3</v>
      </c>
      <c r="K148" s="18">
        <f>IFERROR(Ohj.lask.[[#This Row],[Painotetut opiskelija-vuodet]]/Ohj.lask.[[#Totals],[Painotetut opiskelija-vuodet]],0)</f>
        <v>7.1497068620186542E-5</v>
      </c>
      <c r="L148" s="19">
        <f>ROUND(IFERROR('1.1 Jakotaulu'!L$10*Ohj.lask.[[#This Row],[%-osuus 1]],0),0)</f>
        <v>83363</v>
      </c>
      <c r="M148" s="211">
        <f>IFERROR(ROUND(VLOOKUP($A148,'2.2 Tutk. ja osien pain. pist.'!$A:$Q,COLUMN('2.2 Tutk. ja osien pain. pist.'!P:P),FALSE),1),0)</f>
        <v>200.5</v>
      </c>
      <c r="N148" s="18">
        <f>IFERROR(Ohj.lask.[[#This Row],[Painotetut pisteet 2]]/Ohj.lask.[[#Totals],[Painotetut pisteet 2]],0)</f>
        <v>1.2812803673032695E-5</v>
      </c>
      <c r="O148" s="25">
        <f>ROUND(IFERROR('1.1 Jakotaulu'!K$11*Ohj.lask.[[#This Row],[%-osuus 2]],0),0)</f>
        <v>4744</v>
      </c>
      <c r="P148" s="233">
        <f>IFERROR(ROUND(VLOOKUP($A148,'2.3 Työll. ja jatko-opisk.'!$A:$K,COLUMN('2.3 Työll. ja jatko-opisk.'!I:I),FALSE),1),0)</f>
        <v>53.5</v>
      </c>
      <c r="Q148" s="18">
        <f>IFERROR(Ohj.lask.[[#This Row],[Painotetut pisteet 3]]/Ohj.lask.[[#Totals],[Painotetut pisteet 3]],0)</f>
        <v>2.824280151698158E-4</v>
      </c>
      <c r="R148" s="19">
        <f>ROUND(IFERROR('1.1 Jakotaulu'!L$13*Ohj.lask.[[#This Row],[%-osuus 3]],0),0)</f>
        <v>39216</v>
      </c>
      <c r="S148" s="211">
        <f>IFERROR(ROUND(VLOOKUP($A148,'2.4 Aloittaneet palaute'!$A:$K,COLUMN('2.4 Aloittaneet palaute'!J:J),FALSE),1),0)</f>
        <v>256</v>
      </c>
      <c r="T148" s="22">
        <f>IFERROR(Ohj.lask.[[#This Row],[Painotetut pisteet 4]]/Ohj.lask.[[#Totals],[Painotetut pisteet 4]],0)</f>
        <v>2.0561641230202991E-4</v>
      </c>
      <c r="U148" s="25">
        <f>ROUND(IFERROR('1.1 Jakotaulu'!M$16*Ohj.lask.[[#This Row],[%-osuus 4]],0),0)</f>
        <v>2379</v>
      </c>
      <c r="V148" s="235">
        <f>IFERROR(ROUND(VLOOKUP($A148,'2.5 Päättäneet palaute'!$A:$AC,COLUMN('2.5 Päättäneet palaute'!AB:AB),FALSE),1),0)</f>
        <v>3755.6</v>
      </c>
      <c r="W148" s="22">
        <f>IFERROR(Ohj.lask.[[#This Row],[Painotetut pisteet 5]]/Ohj.lask.[[#Totals],[Painotetut pisteet 5]],0)</f>
        <v>5.6713171789688052E-4</v>
      </c>
      <c r="X148" s="19">
        <f>ROUND(IFERROR('1.1 Jakotaulu'!M$17*Ohj.lask.[[#This Row],[%-osuus 5]],0),0)</f>
        <v>19687</v>
      </c>
      <c r="Y148" s="21">
        <f>IFERROR(Ohj.lask.[[#This Row],[Jaettava € 6]]/Ohj.lask.[[#Totals],[Jaettava € 6]],"")</f>
        <v>8.6784188615972099E-5</v>
      </c>
      <c r="Z148" s="25">
        <f>IFERROR(Ohj.lask.[[#This Row],[Jaettava € 1]]+Ohj.lask.[[#This Row],[Jaettava € 2]]+Ohj.lask.[[#This Row],[Jaettava € 3]]+Ohj.lask.[[#This Row],[Jaettava € 4]]+Ohj.lask.[[#This Row],[Jaettava € 5]],"")</f>
        <v>149389</v>
      </c>
      <c r="AA148" s="123">
        <f>0</f>
        <v>0</v>
      </c>
      <c r="AB148" s="19">
        <f>Ohj.lask.[[#This Row],[Jaettava € 1]]+Ohj.lask.[[#This Row],[Jaettava €]]</f>
        <v>83363</v>
      </c>
      <c r="AC148" s="107">
        <f>Ohj.lask.[[#This Row],[Jaettava € 2]]</f>
        <v>4744</v>
      </c>
      <c r="AD148" s="19">
        <f>Ohj.lask.[[#This Row],[Jaettava € 3]]+Ohj.lask.[[#This Row],[Jaettava € 4]]+Ohj.lask.[[#This Row],[Jaettava € 5]]</f>
        <v>61282</v>
      </c>
      <c r="AE148" s="36">
        <f>Ohj.lask.[[#This Row],[Jaettava € 6]]+Ohj.lask.[[#This Row],[Jaettava €]]</f>
        <v>149389</v>
      </c>
      <c r="AF148" s="36">
        <f>IFERROR(VLOOKUP(Ohj.lask.[[#This Row],[Y-tunnus]],'3.1 Alv vahvistettu'!A:Y,COLUMN(C:C),FALSE),0)</f>
        <v>0</v>
      </c>
      <c r="AG148" s="25">
        <f>Ohj.lask.[[#This Row],[Perus-, suoritus- ja vaikuttavuusrahoitus yhteensä, €]]+Ohj.lask.[[#This Row],[Alv-korvaus, €]]</f>
        <v>149389</v>
      </c>
    </row>
    <row r="149" spans="1:33" x14ac:dyDescent="0.2">
      <c r="A149" s="131" t="s">
        <v>253</v>
      </c>
      <c r="B149" s="16" t="s">
        <v>186</v>
      </c>
      <c r="C149" s="16" t="s">
        <v>252</v>
      </c>
      <c r="D149" s="16" t="s">
        <v>412</v>
      </c>
      <c r="E149" s="16" t="s">
        <v>474</v>
      </c>
      <c r="F149" s="114">
        <v>0</v>
      </c>
      <c r="G149" s="122">
        <f>0</f>
        <v>0</v>
      </c>
      <c r="H149" s="35">
        <f t="shared" si="8"/>
        <v>0</v>
      </c>
      <c r="I149" s="17">
        <f>IFERROR(VLOOKUP($A149,'2.1 Toteut. op.vuodet'!$A:$Q,COLUMN('2.1 Toteut. op.vuodet'!Q:Q),FALSE),0)</f>
        <v>0</v>
      </c>
      <c r="J149" s="11">
        <f t="shared" si="9"/>
        <v>0</v>
      </c>
      <c r="K149" s="18">
        <f>IFERROR(Ohj.lask.[[#This Row],[Painotetut opiskelija-vuodet]]/Ohj.lask.[[#Totals],[Painotetut opiskelija-vuodet]],0)</f>
        <v>0</v>
      </c>
      <c r="L149" s="19">
        <f>ROUND(IFERROR('1.1 Jakotaulu'!L$10*Ohj.lask.[[#This Row],[%-osuus 1]],0),0)</f>
        <v>0</v>
      </c>
      <c r="M149" s="211">
        <f>IFERROR(ROUND(VLOOKUP($A149,'2.2 Tutk. ja osien pain. pist.'!$A:$Q,COLUMN('2.2 Tutk. ja osien pain. pist.'!P:P),FALSE),1),0)</f>
        <v>0</v>
      </c>
      <c r="N149" s="18">
        <f>IFERROR(Ohj.lask.[[#This Row],[Painotetut pisteet 2]]/Ohj.lask.[[#Totals],[Painotetut pisteet 2]],0)</f>
        <v>0</v>
      </c>
      <c r="O149" s="25">
        <f>ROUND(IFERROR('1.1 Jakotaulu'!K$11*Ohj.lask.[[#This Row],[%-osuus 2]],0),0)</f>
        <v>0</v>
      </c>
      <c r="P149" s="233">
        <f>IFERROR(ROUND(VLOOKUP($A149,'2.3 Työll. ja jatko-opisk.'!$A:$K,COLUMN('2.3 Työll. ja jatko-opisk.'!I:I),FALSE),1),0)</f>
        <v>0</v>
      </c>
      <c r="Q149" s="18">
        <f>IFERROR(Ohj.lask.[[#This Row],[Painotetut pisteet 3]]/Ohj.lask.[[#Totals],[Painotetut pisteet 3]],0)</f>
        <v>0</v>
      </c>
      <c r="R149" s="19">
        <f>ROUND(IFERROR('1.1 Jakotaulu'!L$13*Ohj.lask.[[#This Row],[%-osuus 3]],0),0)</f>
        <v>0</v>
      </c>
      <c r="S149" s="211">
        <f>IFERROR(ROUND(VLOOKUP($A149,'2.4 Aloittaneet palaute'!$A:$K,COLUMN('2.4 Aloittaneet palaute'!J:J),FALSE),1),0)</f>
        <v>0</v>
      </c>
      <c r="T149" s="22">
        <f>IFERROR(Ohj.lask.[[#This Row],[Painotetut pisteet 4]]/Ohj.lask.[[#Totals],[Painotetut pisteet 4]],0)</f>
        <v>0</v>
      </c>
      <c r="U149" s="25">
        <f>ROUND(IFERROR('1.1 Jakotaulu'!M$16*Ohj.lask.[[#This Row],[%-osuus 4]],0),0)</f>
        <v>0</v>
      </c>
      <c r="V149" s="235">
        <f>IFERROR(ROUND(VLOOKUP($A149,'2.5 Päättäneet palaute'!$A:$AC,COLUMN('2.5 Päättäneet palaute'!AB:AB),FALSE),1),0)</f>
        <v>0</v>
      </c>
      <c r="W149" s="22">
        <f>IFERROR(Ohj.lask.[[#This Row],[Painotetut pisteet 5]]/Ohj.lask.[[#Totals],[Painotetut pisteet 5]],0)</f>
        <v>0</v>
      </c>
      <c r="X149" s="19">
        <f>ROUND(IFERROR('1.1 Jakotaulu'!M$17*Ohj.lask.[[#This Row],[%-osuus 5]],0),0)</f>
        <v>0</v>
      </c>
      <c r="Y149" s="21">
        <f>IFERROR(Ohj.lask.[[#This Row],[Jaettava € 6]]/Ohj.lask.[[#Totals],[Jaettava € 6]],"")</f>
        <v>0</v>
      </c>
      <c r="Z149" s="25">
        <f>IFERROR(Ohj.lask.[[#This Row],[Jaettava € 1]]+Ohj.lask.[[#This Row],[Jaettava € 2]]+Ohj.lask.[[#This Row],[Jaettava € 3]]+Ohj.lask.[[#This Row],[Jaettava € 4]]+Ohj.lask.[[#This Row],[Jaettava € 5]],"")</f>
        <v>0</v>
      </c>
      <c r="AA149" s="123">
        <f>0</f>
        <v>0</v>
      </c>
      <c r="AB149" s="19">
        <f>Ohj.lask.[[#This Row],[Jaettava € 1]]+Ohj.lask.[[#This Row],[Jaettava €]]</f>
        <v>0</v>
      </c>
      <c r="AC149" s="107">
        <f>Ohj.lask.[[#This Row],[Jaettava € 2]]</f>
        <v>0</v>
      </c>
      <c r="AD149" s="19">
        <f>Ohj.lask.[[#This Row],[Jaettava € 3]]+Ohj.lask.[[#This Row],[Jaettava € 4]]+Ohj.lask.[[#This Row],[Jaettava € 5]]</f>
        <v>0</v>
      </c>
      <c r="AE149" s="36">
        <f>Ohj.lask.[[#This Row],[Jaettava € 6]]+Ohj.lask.[[#This Row],[Jaettava €]]</f>
        <v>0</v>
      </c>
      <c r="AF149" s="36">
        <f>IFERROR(VLOOKUP(Ohj.lask.[[#This Row],[Y-tunnus]],'3.1 Alv vahvistettu'!A:Y,COLUMN(C:C),FALSE),0)</f>
        <v>0</v>
      </c>
      <c r="AG149" s="25">
        <f>Ohj.lask.[[#This Row],[Perus-, suoritus- ja vaikuttavuusrahoitus yhteensä, €]]+Ohj.lask.[[#This Row],[Alv-korvaus, €]]</f>
        <v>0</v>
      </c>
    </row>
    <row r="150" spans="1:33" x14ac:dyDescent="0.2">
      <c r="A150" s="131" t="s">
        <v>251</v>
      </c>
      <c r="B150" s="16" t="s">
        <v>146</v>
      </c>
      <c r="C150" s="16" t="s">
        <v>250</v>
      </c>
      <c r="D150" s="16" t="s">
        <v>412</v>
      </c>
      <c r="E150" s="16" t="s">
        <v>474</v>
      </c>
      <c r="F150" s="114">
        <v>158</v>
      </c>
      <c r="G150" s="122">
        <f>0</f>
        <v>0</v>
      </c>
      <c r="H150" s="35">
        <f t="shared" si="8"/>
        <v>158</v>
      </c>
      <c r="I150" s="17">
        <f>IFERROR(VLOOKUP($A150,'2.1 Toteut. op.vuodet'!$A:$Q,COLUMN('2.1 Toteut. op.vuodet'!Q:Q),FALSE),0)</f>
        <v>1.4781056053298072</v>
      </c>
      <c r="J150" s="11">
        <f t="shared" si="9"/>
        <v>233.5</v>
      </c>
      <c r="K150" s="18">
        <f>IFERROR(Ohj.lask.[[#This Row],[Painotetut opiskelija-vuodet]]/Ohj.lask.[[#Totals],[Painotetut opiskelija-vuodet]],0)</f>
        <v>1.1674521344624865E-3</v>
      </c>
      <c r="L150" s="19">
        <f>ROUND(IFERROR('1.1 Jakotaulu'!L$10*Ohj.lask.[[#This Row],[%-osuus 1]],0),0)</f>
        <v>1361214</v>
      </c>
      <c r="M150" s="211">
        <f>IFERROR(ROUND(VLOOKUP($A150,'2.2 Tutk. ja osien pain. pist.'!$A:$Q,COLUMN('2.2 Tutk. ja osien pain. pist.'!P:P),FALSE),1),0)</f>
        <v>26830.3</v>
      </c>
      <c r="N150" s="18">
        <f>IFERROR(Ohj.lask.[[#This Row],[Painotetut pisteet 2]]/Ohj.lask.[[#Totals],[Painotetut pisteet 2]],0)</f>
        <v>1.7145704059280255E-3</v>
      </c>
      <c r="O150" s="25">
        <f>ROUND(IFERROR('1.1 Jakotaulu'!K$11*Ohj.lask.[[#This Row],[%-osuus 2]],0),0)</f>
        <v>634866</v>
      </c>
      <c r="P150" s="233">
        <f>IFERROR(ROUND(VLOOKUP($A150,'2.3 Työll. ja jatko-opisk.'!$A:$K,COLUMN('2.3 Työll. ja jatko-opisk.'!I:I),FALSE),1),0)</f>
        <v>94.1</v>
      </c>
      <c r="Q150" s="18">
        <f>IFERROR(Ohj.lask.[[#This Row],[Painotetut pisteet 3]]/Ohj.lask.[[#Totals],[Painotetut pisteet 3]],0)</f>
        <v>4.967565649996199E-4</v>
      </c>
      <c r="R150" s="19">
        <f>ROUND(IFERROR('1.1 Jakotaulu'!L$13*Ohj.lask.[[#This Row],[%-osuus 3]],0),0)</f>
        <v>68977</v>
      </c>
      <c r="S150" s="211">
        <f>IFERROR(ROUND(VLOOKUP($A150,'2.4 Aloittaneet palaute'!$A:$K,COLUMN('2.4 Aloittaneet palaute'!J:J),FALSE),1),0)</f>
        <v>1359</v>
      </c>
      <c r="T150" s="22">
        <f>IFERROR(Ohj.lask.[[#This Row],[Painotetut pisteet 4]]/Ohj.lask.[[#Totals],[Painotetut pisteet 4]],0)</f>
        <v>1.091534001243979E-3</v>
      </c>
      <c r="U150" s="25">
        <f>ROUND(IFERROR('1.1 Jakotaulu'!M$16*Ohj.lask.[[#This Row],[%-osuus 4]],0),0)</f>
        <v>12630</v>
      </c>
      <c r="V150" s="235">
        <f>IFERROR(ROUND(VLOOKUP($A150,'2.5 Päättäneet palaute'!$A:$AC,COLUMN('2.5 Päättäneet palaute'!AB:AB),FALSE),1),0)</f>
        <v>5805</v>
      </c>
      <c r="W150" s="22">
        <f>IFERROR(Ohj.lask.[[#This Row],[Painotetut pisteet 5]]/Ohj.lask.[[#Totals],[Painotetut pisteet 5]],0)</f>
        <v>8.766108271358482E-4</v>
      </c>
      <c r="X150" s="19">
        <f>ROUND(IFERROR('1.1 Jakotaulu'!M$17*Ohj.lask.[[#This Row],[%-osuus 5]],0),0)</f>
        <v>30430</v>
      </c>
      <c r="Y150" s="21">
        <f>IFERROR(Ohj.lask.[[#This Row],[Jaettava € 6]]/Ohj.lask.[[#Totals],[Jaettava € 6]],"")</f>
        <v>1.2246632841275947E-3</v>
      </c>
      <c r="Z150" s="25">
        <f>IFERROR(Ohj.lask.[[#This Row],[Jaettava € 1]]+Ohj.lask.[[#This Row],[Jaettava € 2]]+Ohj.lask.[[#This Row],[Jaettava € 3]]+Ohj.lask.[[#This Row],[Jaettava € 4]]+Ohj.lask.[[#This Row],[Jaettava € 5]],"")</f>
        <v>2108117</v>
      </c>
      <c r="AA150" s="123">
        <f>0</f>
        <v>0</v>
      </c>
      <c r="AB150" s="19">
        <f>Ohj.lask.[[#This Row],[Jaettava € 1]]+Ohj.lask.[[#This Row],[Jaettava €]]</f>
        <v>1361214</v>
      </c>
      <c r="AC150" s="107">
        <f>Ohj.lask.[[#This Row],[Jaettava € 2]]</f>
        <v>634866</v>
      </c>
      <c r="AD150" s="19">
        <f>Ohj.lask.[[#This Row],[Jaettava € 3]]+Ohj.lask.[[#This Row],[Jaettava € 4]]+Ohj.lask.[[#This Row],[Jaettava € 5]]</f>
        <v>112037</v>
      </c>
      <c r="AE150" s="36">
        <f>Ohj.lask.[[#This Row],[Jaettava € 6]]+Ohj.lask.[[#This Row],[Jaettava €]]</f>
        <v>2108117</v>
      </c>
      <c r="AF150" s="36">
        <f>IFERROR(VLOOKUP(Ohj.lask.[[#This Row],[Y-tunnus]],'3.1 Alv vahvistettu'!A:Y,COLUMN(C:C),FALSE),0)</f>
        <v>105869</v>
      </c>
      <c r="AG150" s="25">
        <f>Ohj.lask.[[#This Row],[Perus-, suoritus- ja vaikuttavuusrahoitus yhteensä, €]]+Ohj.lask.[[#This Row],[Alv-korvaus, €]]</f>
        <v>2213986</v>
      </c>
    </row>
    <row r="151" spans="1:33" x14ac:dyDescent="0.2">
      <c r="A151" s="131" t="s">
        <v>249</v>
      </c>
      <c r="B151" s="16" t="s">
        <v>147</v>
      </c>
      <c r="C151" s="16" t="s">
        <v>236</v>
      </c>
      <c r="D151" s="16" t="s">
        <v>413</v>
      </c>
      <c r="E151" s="16" t="s">
        <v>476</v>
      </c>
      <c r="F151" s="114">
        <v>3063</v>
      </c>
      <c r="G151" s="122">
        <f>0</f>
        <v>0</v>
      </c>
      <c r="H151" s="35">
        <f t="shared" si="8"/>
        <v>3063</v>
      </c>
      <c r="I151" s="17">
        <f>IFERROR(VLOOKUP($A151,'2.1 Toteut. op.vuodet'!$A:$Q,COLUMN('2.1 Toteut. op.vuodet'!Q:Q),FALSE),0)</f>
        <v>1.0505995195423898</v>
      </c>
      <c r="J151" s="11">
        <f t="shared" si="9"/>
        <v>3218</v>
      </c>
      <c r="K151" s="18">
        <f>IFERROR(Ohj.lask.[[#This Row],[Painotetut opiskelija-vuodet]]/Ohj.lask.[[#Totals],[Painotetut opiskelija-vuodet]],0)</f>
        <v>1.6089340337046173E-2</v>
      </c>
      <c r="L151" s="19">
        <f>ROUND(IFERROR('1.1 Jakotaulu'!L$10*Ohj.lask.[[#This Row],[%-osuus 1]],0),0)</f>
        <v>18759680</v>
      </c>
      <c r="M151" s="211">
        <f>IFERROR(ROUND(VLOOKUP($A151,'2.2 Tutk. ja osien pain. pist.'!$A:$Q,COLUMN('2.2 Tutk. ja osien pain. pist.'!P:P),FALSE),1),0)</f>
        <v>290120.3</v>
      </c>
      <c r="N151" s="18">
        <f>IFERROR(Ohj.lask.[[#This Row],[Painotetut pisteet 2]]/Ohj.lask.[[#Totals],[Painotetut pisteet 2]],0)</f>
        <v>1.8539922421253602E-2</v>
      </c>
      <c r="O151" s="25">
        <f>ROUND(IFERROR('1.1 Jakotaulu'!K$11*Ohj.lask.[[#This Row],[%-osuus 2]],0),0)</f>
        <v>6864907</v>
      </c>
      <c r="P151" s="233">
        <f>IFERROR(ROUND(VLOOKUP($A151,'2.3 Työll. ja jatko-opisk.'!$A:$K,COLUMN('2.3 Työll. ja jatko-opisk.'!I:I),FALSE),1),0)</f>
        <v>2882.5</v>
      </c>
      <c r="Q151" s="18">
        <f>IFERROR(Ohj.lask.[[#This Row],[Painotetut pisteet 3]]/Ohj.lask.[[#Totals],[Painotetut pisteet 3]],0)</f>
        <v>1.5216799135084001E-2</v>
      </c>
      <c r="R151" s="19">
        <f>ROUND(IFERROR('1.1 Jakotaulu'!L$13*Ohj.lask.[[#This Row],[%-osuus 3]],0),0)</f>
        <v>2112912</v>
      </c>
      <c r="S151" s="211">
        <f>IFERROR(ROUND(VLOOKUP($A151,'2.4 Aloittaneet palaute'!$A:$K,COLUMN('2.4 Aloittaneet palaute'!J:J),FALSE),1),0)</f>
        <v>26548.7</v>
      </c>
      <c r="T151" s="22">
        <f>IFERROR(Ohj.lask.[[#This Row],[Painotetut pisteet 4]]/Ohj.lask.[[#Totals],[Painotetut pisteet 4]],0)</f>
        <v>2.1323626739386335E-2</v>
      </c>
      <c r="U151" s="25">
        <f>ROUND(IFERROR('1.1 Jakotaulu'!M$16*Ohj.lask.[[#This Row],[%-osuus 4]],0),0)</f>
        <v>246739</v>
      </c>
      <c r="V151" s="235">
        <f>IFERROR(ROUND(VLOOKUP($A151,'2.5 Päättäneet palaute'!$A:$AC,COLUMN('2.5 Päättäneet palaute'!AB:AB),FALSE),1),0)</f>
        <v>115071.1</v>
      </c>
      <c r="W151" s="22">
        <f>IFERROR(Ohj.lask.[[#This Row],[Painotetut pisteet 5]]/Ohj.lask.[[#Totals],[Painotetut pisteet 5]],0)</f>
        <v>1.7376842747705755E-2</v>
      </c>
      <c r="X151" s="19">
        <f>ROUND(IFERROR('1.1 Jakotaulu'!M$17*Ohj.lask.[[#This Row],[%-osuus 5]],0),0)</f>
        <v>603210</v>
      </c>
      <c r="Y151" s="21">
        <f>IFERROR(Ohj.lask.[[#This Row],[Jaettava € 6]]/Ohj.lask.[[#Totals],[Jaettava € 6]],"")</f>
        <v>1.6607236672588305E-2</v>
      </c>
      <c r="Z151" s="25">
        <f>IFERROR(Ohj.lask.[[#This Row],[Jaettava € 1]]+Ohj.lask.[[#This Row],[Jaettava € 2]]+Ohj.lask.[[#This Row],[Jaettava € 3]]+Ohj.lask.[[#This Row],[Jaettava € 4]]+Ohj.lask.[[#This Row],[Jaettava € 5]],"")</f>
        <v>28587448</v>
      </c>
      <c r="AA151" s="123">
        <f>0</f>
        <v>0</v>
      </c>
      <c r="AB151" s="19">
        <f>Ohj.lask.[[#This Row],[Jaettava € 1]]+Ohj.lask.[[#This Row],[Jaettava €]]</f>
        <v>18759680</v>
      </c>
      <c r="AC151" s="107">
        <f>Ohj.lask.[[#This Row],[Jaettava € 2]]</f>
        <v>6864907</v>
      </c>
      <c r="AD151" s="19">
        <f>Ohj.lask.[[#This Row],[Jaettava € 3]]+Ohj.lask.[[#This Row],[Jaettava € 4]]+Ohj.lask.[[#This Row],[Jaettava € 5]]</f>
        <v>2962861</v>
      </c>
      <c r="AE151" s="36">
        <f>Ohj.lask.[[#This Row],[Jaettava € 6]]+Ohj.lask.[[#This Row],[Jaettava €]]</f>
        <v>28587448</v>
      </c>
      <c r="AF151" s="36">
        <f>IFERROR(VLOOKUP(Ohj.lask.[[#This Row],[Y-tunnus]],'3.1 Alv vahvistettu'!A:Y,COLUMN(C:C),FALSE),0)</f>
        <v>0</v>
      </c>
      <c r="AG151" s="25">
        <f>Ohj.lask.[[#This Row],[Perus-, suoritus- ja vaikuttavuusrahoitus yhteensä, €]]+Ohj.lask.[[#This Row],[Alv-korvaus, €]]</f>
        <v>28587448</v>
      </c>
    </row>
    <row r="152" spans="1:33" x14ac:dyDescent="0.2">
      <c r="A152" s="131" t="s">
        <v>248</v>
      </c>
      <c r="B152" s="16" t="s">
        <v>148</v>
      </c>
      <c r="C152" s="16" t="s">
        <v>247</v>
      </c>
      <c r="D152" s="16" t="s">
        <v>412</v>
      </c>
      <c r="E152" s="16" t="s">
        <v>474</v>
      </c>
      <c r="F152" s="114">
        <v>128</v>
      </c>
      <c r="G152" s="122">
        <f>0</f>
        <v>0</v>
      </c>
      <c r="H152" s="35">
        <f t="shared" si="8"/>
        <v>128</v>
      </c>
      <c r="I152" s="17">
        <f>IFERROR(VLOOKUP($A152,'2.1 Toteut. op.vuodet'!$A:$Q,COLUMN('2.1 Toteut. op.vuodet'!Q:Q),FALSE),0)</f>
        <v>1.3883744135258893</v>
      </c>
      <c r="J152" s="11">
        <f t="shared" si="9"/>
        <v>177.7</v>
      </c>
      <c r="K152" s="18">
        <f>IFERROR(Ohj.lask.[[#This Row],[Painotetut opiskelija-vuodet]]/Ohj.lask.[[#Totals],[Painotetut opiskelija-vuodet]],0)</f>
        <v>8.8846357299350674E-4</v>
      </c>
      <c r="L152" s="19">
        <f>ROUND(IFERROR('1.1 Jakotaulu'!L$10*Ohj.lask.[[#This Row],[%-osuus 1]],0),0)</f>
        <v>1035921</v>
      </c>
      <c r="M152" s="211">
        <f>IFERROR(ROUND(VLOOKUP($A152,'2.2 Tutk. ja osien pain. pist.'!$A:$Q,COLUMN('2.2 Tutk. ja osien pain. pist.'!P:P),FALSE),1),0)</f>
        <v>15235.5</v>
      </c>
      <c r="N152" s="18">
        <f>IFERROR(Ohj.lask.[[#This Row],[Painotetut pisteet 2]]/Ohj.lask.[[#Totals],[Painotetut pisteet 2]],0)</f>
        <v>9.736133185061826E-4</v>
      </c>
      <c r="O152" s="25">
        <f>ROUND(IFERROR('1.1 Jakotaulu'!K$11*Ohj.lask.[[#This Row],[%-osuus 2]],0),0)</f>
        <v>360507</v>
      </c>
      <c r="P152" s="233">
        <f>IFERROR(ROUND(VLOOKUP($A152,'2.3 Työll. ja jatko-opisk.'!$A:$K,COLUMN('2.3 Työll. ja jatko-opisk.'!I:I),FALSE),1),0)</f>
        <v>107.4</v>
      </c>
      <c r="Q152" s="18">
        <f>IFERROR(Ohj.lask.[[#This Row],[Painotetut pisteet 3]]/Ohj.lask.[[#Totals],[Painotetut pisteet 3]],0)</f>
        <v>5.6696764166800414E-4</v>
      </c>
      <c r="R152" s="19">
        <f>ROUND(IFERROR('1.1 Jakotaulu'!L$13*Ohj.lask.[[#This Row],[%-osuus 3]],0),0)</f>
        <v>78726</v>
      </c>
      <c r="S152" s="211">
        <f>IFERROR(ROUND(VLOOKUP($A152,'2.4 Aloittaneet palaute'!$A:$K,COLUMN('2.4 Aloittaneet palaute'!J:J),FALSE),1),0)</f>
        <v>2720.5</v>
      </c>
      <c r="T152" s="22">
        <f>IFERROR(Ohj.lask.[[#This Row],[Painotetut pisteet 4]]/Ohj.lask.[[#Totals],[Painotetut pisteet 4]],0)</f>
        <v>2.1850759752643453E-3</v>
      </c>
      <c r="U152" s="25">
        <f>ROUND(IFERROR('1.1 Jakotaulu'!M$16*Ohj.lask.[[#This Row],[%-osuus 4]],0),0)</f>
        <v>25284</v>
      </c>
      <c r="V152" s="235">
        <f>IFERROR(ROUND(VLOOKUP($A152,'2.5 Päättäneet palaute'!$A:$AC,COLUMN('2.5 Päättäneet palaute'!AB:AB),FALSE),1),0)</f>
        <v>16995.3</v>
      </c>
      <c r="W152" s="22">
        <f>IFERROR(Ohj.lask.[[#This Row],[Painotetut pisteet 5]]/Ohj.lask.[[#Totals],[Painotetut pisteet 5]],0)</f>
        <v>2.5664537451200484E-3</v>
      </c>
      <c r="X152" s="19">
        <f>ROUND(IFERROR('1.1 Jakotaulu'!M$17*Ohj.lask.[[#This Row],[%-osuus 5]],0),0)</f>
        <v>89091</v>
      </c>
      <c r="Y152" s="21">
        <f>IFERROR(Ohj.lask.[[#This Row],[Jaettava € 6]]/Ohj.lask.[[#Totals],[Jaettava € 6]],"")</f>
        <v>9.2340121793811798E-4</v>
      </c>
      <c r="Z152" s="25">
        <f>IFERROR(Ohj.lask.[[#This Row],[Jaettava € 1]]+Ohj.lask.[[#This Row],[Jaettava € 2]]+Ohj.lask.[[#This Row],[Jaettava € 3]]+Ohj.lask.[[#This Row],[Jaettava € 4]]+Ohj.lask.[[#This Row],[Jaettava € 5]],"")</f>
        <v>1589529</v>
      </c>
      <c r="AA152" s="123">
        <f>0</f>
        <v>0</v>
      </c>
      <c r="AB152" s="19">
        <f>Ohj.lask.[[#This Row],[Jaettava € 1]]+Ohj.lask.[[#This Row],[Jaettava €]]</f>
        <v>1035921</v>
      </c>
      <c r="AC152" s="107">
        <f>Ohj.lask.[[#This Row],[Jaettava € 2]]</f>
        <v>360507</v>
      </c>
      <c r="AD152" s="19">
        <f>Ohj.lask.[[#This Row],[Jaettava € 3]]+Ohj.lask.[[#This Row],[Jaettava € 4]]+Ohj.lask.[[#This Row],[Jaettava € 5]]</f>
        <v>193101</v>
      </c>
      <c r="AE152" s="36">
        <f>Ohj.lask.[[#This Row],[Jaettava € 6]]+Ohj.lask.[[#This Row],[Jaettava €]]</f>
        <v>1589529</v>
      </c>
      <c r="AF152" s="36">
        <f>IFERROR(VLOOKUP(Ohj.lask.[[#This Row],[Y-tunnus]],'3.1 Alv vahvistettu'!A:Y,COLUMN(C:C),FALSE),0)</f>
        <v>159971.47</v>
      </c>
      <c r="AG152" s="25">
        <f>Ohj.lask.[[#This Row],[Perus-, suoritus- ja vaikuttavuusrahoitus yhteensä, €]]+Ohj.lask.[[#This Row],[Alv-korvaus, €]]</f>
        <v>1749500.47</v>
      </c>
    </row>
    <row r="153" spans="1:33" x14ac:dyDescent="0.2">
      <c r="A153" s="131" t="s">
        <v>243</v>
      </c>
      <c r="B153" s="16" t="s">
        <v>188</v>
      </c>
      <c r="C153" s="16" t="s">
        <v>236</v>
      </c>
      <c r="D153" s="16" t="s">
        <v>412</v>
      </c>
      <c r="E153" s="16" t="s">
        <v>474</v>
      </c>
      <c r="F153" s="114">
        <v>0</v>
      </c>
      <c r="G153" s="122">
        <f>0</f>
        <v>0</v>
      </c>
      <c r="H153" s="35">
        <f t="shared" si="8"/>
        <v>0</v>
      </c>
      <c r="I153" s="17">
        <f>IFERROR(VLOOKUP($A153,'2.1 Toteut. op.vuodet'!$A:$Q,COLUMN('2.1 Toteut. op.vuodet'!Q:Q),FALSE),0)</f>
        <v>0.43</v>
      </c>
      <c r="J153" s="11">
        <f t="shared" si="9"/>
        <v>0</v>
      </c>
      <c r="K153" s="18">
        <f>IFERROR(Ohj.lask.[[#This Row],[Painotetut opiskelija-vuodet]]/Ohj.lask.[[#Totals],[Painotetut opiskelija-vuodet]],0)</f>
        <v>0</v>
      </c>
      <c r="L153" s="19">
        <f>ROUND(IFERROR('1.1 Jakotaulu'!L$10*Ohj.lask.[[#This Row],[%-osuus 1]],0),0)</f>
        <v>0</v>
      </c>
      <c r="M153" s="211">
        <f>IFERROR(ROUND(VLOOKUP($A153,'2.2 Tutk. ja osien pain. pist.'!$A:$Q,COLUMN('2.2 Tutk. ja osien pain. pist.'!P:P),FALSE),1),0)</f>
        <v>0</v>
      </c>
      <c r="N153" s="18">
        <f>IFERROR(Ohj.lask.[[#This Row],[Painotetut pisteet 2]]/Ohj.lask.[[#Totals],[Painotetut pisteet 2]],0)</f>
        <v>0</v>
      </c>
      <c r="O153" s="25">
        <f>ROUND(IFERROR('1.1 Jakotaulu'!K$11*Ohj.lask.[[#This Row],[%-osuus 2]],0),0)</f>
        <v>0</v>
      </c>
      <c r="P153" s="233">
        <f>IFERROR(ROUND(VLOOKUP($A153,'2.3 Työll. ja jatko-opisk.'!$A:$K,COLUMN('2.3 Työll. ja jatko-opisk.'!I:I),FALSE),1),0)</f>
        <v>0</v>
      </c>
      <c r="Q153" s="18">
        <f>IFERROR(Ohj.lask.[[#This Row],[Painotetut pisteet 3]]/Ohj.lask.[[#Totals],[Painotetut pisteet 3]],0)</f>
        <v>0</v>
      </c>
      <c r="R153" s="19">
        <f>ROUND(IFERROR('1.1 Jakotaulu'!L$13*Ohj.lask.[[#This Row],[%-osuus 3]],0),0)</f>
        <v>0</v>
      </c>
      <c r="S153" s="211">
        <f>IFERROR(ROUND(VLOOKUP($A153,'2.4 Aloittaneet palaute'!$A:$K,COLUMN('2.4 Aloittaneet palaute'!J:J),FALSE),1),0)</f>
        <v>0</v>
      </c>
      <c r="T153" s="22">
        <f>IFERROR(Ohj.lask.[[#This Row],[Painotetut pisteet 4]]/Ohj.lask.[[#Totals],[Painotetut pisteet 4]],0)</f>
        <v>0</v>
      </c>
      <c r="U153" s="25">
        <f>ROUND(IFERROR('1.1 Jakotaulu'!M$16*Ohj.lask.[[#This Row],[%-osuus 4]],0),0)</f>
        <v>0</v>
      </c>
      <c r="V153" s="235">
        <f>IFERROR(ROUND(VLOOKUP($A153,'2.5 Päättäneet palaute'!$A:$AC,COLUMN('2.5 Päättäneet palaute'!AB:AB),FALSE),1),0)</f>
        <v>0</v>
      </c>
      <c r="W153" s="22">
        <f>IFERROR(Ohj.lask.[[#This Row],[Painotetut pisteet 5]]/Ohj.lask.[[#Totals],[Painotetut pisteet 5]],0)</f>
        <v>0</v>
      </c>
      <c r="X153" s="19">
        <f>ROUND(IFERROR('1.1 Jakotaulu'!M$17*Ohj.lask.[[#This Row],[%-osuus 5]],0),0)</f>
        <v>0</v>
      </c>
      <c r="Y153" s="21">
        <f>IFERROR(Ohj.lask.[[#This Row],[Jaettava € 6]]/Ohj.lask.[[#Totals],[Jaettava € 6]],"")</f>
        <v>0</v>
      </c>
      <c r="Z153" s="25">
        <f>IFERROR(Ohj.lask.[[#This Row],[Jaettava € 1]]+Ohj.lask.[[#This Row],[Jaettava € 2]]+Ohj.lask.[[#This Row],[Jaettava € 3]]+Ohj.lask.[[#This Row],[Jaettava € 4]]+Ohj.lask.[[#This Row],[Jaettava € 5]],"")</f>
        <v>0</v>
      </c>
      <c r="AA153" s="123">
        <f>0</f>
        <v>0</v>
      </c>
      <c r="AB153" s="19">
        <f>Ohj.lask.[[#This Row],[Jaettava € 1]]+Ohj.lask.[[#This Row],[Jaettava €]]</f>
        <v>0</v>
      </c>
      <c r="AC153" s="107">
        <f>Ohj.lask.[[#This Row],[Jaettava € 2]]</f>
        <v>0</v>
      </c>
      <c r="AD153" s="19">
        <f>Ohj.lask.[[#This Row],[Jaettava € 3]]+Ohj.lask.[[#This Row],[Jaettava € 4]]+Ohj.lask.[[#This Row],[Jaettava € 5]]</f>
        <v>0</v>
      </c>
      <c r="AE153" s="36">
        <f>Ohj.lask.[[#This Row],[Jaettava € 6]]+Ohj.lask.[[#This Row],[Jaettava €]]</f>
        <v>0</v>
      </c>
      <c r="AF153" s="36">
        <f>IFERROR(VLOOKUP(Ohj.lask.[[#This Row],[Y-tunnus]],'3.1 Alv vahvistettu'!A:Y,COLUMN(C:C),FALSE),0)</f>
        <v>0</v>
      </c>
      <c r="AG153" s="25">
        <f>Ohj.lask.[[#This Row],[Perus-, suoritus- ja vaikuttavuusrahoitus yhteensä, €]]+Ohj.lask.[[#This Row],[Alv-korvaus, €]]</f>
        <v>0</v>
      </c>
    </row>
    <row r="154" spans="1:33" x14ac:dyDescent="0.2">
      <c r="A154" s="131" t="s">
        <v>241</v>
      </c>
      <c r="B154" s="16" t="s">
        <v>149</v>
      </c>
      <c r="C154" s="16" t="s">
        <v>240</v>
      </c>
      <c r="D154" s="16" t="s">
        <v>411</v>
      </c>
      <c r="E154" s="16" t="s">
        <v>474</v>
      </c>
      <c r="F154" s="114">
        <v>1320</v>
      </c>
      <c r="G154" s="122">
        <f>0</f>
        <v>0</v>
      </c>
      <c r="H154" s="35">
        <f t="shared" si="8"/>
        <v>1320</v>
      </c>
      <c r="I154" s="17">
        <f>IFERROR(VLOOKUP($A154,'2.1 Toteut. op.vuodet'!$A:$Q,COLUMN('2.1 Toteut. op.vuodet'!Q:Q),FALSE),0)</f>
        <v>1.2126331794506511</v>
      </c>
      <c r="J154" s="11">
        <f t="shared" si="9"/>
        <v>1600.7</v>
      </c>
      <c r="K154" s="18">
        <f>IFERROR(Ohj.lask.[[#This Row],[Painotetut opiskelija-vuodet]]/Ohj.lask.[[#Totals],[Painotetut opiskelija-vuodet]],0)</f>
        <v>8.003171869953328E-3</v>
      </c>
      <c r="L154" s="19">
        <f>ROUND(IFERROR('1.1 Jakotaulu'!L$10*Ohj.lask.[[#This Row],[%-osuus 1]],0),0)</f>
        <v>9331454</v>
      </c>
      <c r="M154" s="211">
        <f>IFERROR(ROUND(VLOOKUP($A154,'2.2 Tutk. ja osien pain. pist.'!$A:$Q,COLUMN('2.2 Tutk. ja osien pain. pist.'!P:P),FALSE),1),0)</f>
        <v>166273.20000000001</v>
      </c>
      <c r="N154" s="18">
        <f>IFERROR(Ohj.lask.[[#This Row],[Painotetut pisteet 2]]/Ohj.lask.[[#Totals],[Painotetut pisteet 2]],0)</f>
        <v>1.062556542487232E-2</v>
      </c>
      <c r="O154" s="25">
        <f>ROUND(IFERROR('1.1 Jakotaulu'!K$11*Ohj.lask.[[#This Row],[%-osuus 2]],0),0)</f>
        <v>3934402</v>
      </c>
      <c r="P154" s="233">
        <f>IFERROR(ROUND(VLOOKUP($A154,'2.3 Työll. ja jatko-opisk.'!$A:$K,COLUMN('2.3 Työll. ja jatko-opisk.'!I:I),FALSE),1),0)</f>
        <v>1718.6</v>
      </c>
      <c r="Q154" s="18">
        <f>IFERROR(Ohj.lask.[[#This Row],[Painotetut pisteet 3]]/Ohj.lask.[[#Totals],[Painotetut pisteet 3]],0)</f>
        <v>9.0725380723522507E-3</v>
      </c>
      <c r="R154" s="19">
        <f>ROUND(IFERROR('1.1 Jakotaulu'!L$13*Ohj.lask.[[#This Row],[%-osuus 3]],0),0)</f>
        <v>1259757</v>
      </c>
      <c r="S154" s="211">
        <f>IFERROR(ROUND(VLOOKUP($A154,'2.4 Aloittaneet palaute'!$A:$K,COLUMN('2.4 Aloittaneet palaute'!J:J),FALSE),1),0)</f>
        <v>4462.5</v>
      </c>
      <c r="T154" s="22">
        <f>IFERROR(Ohj.lask.[[#This Row],[Painotetut pisteet 4]]/Ohj.lask.[[#Totals],[Painotetut pisteet 4]],0)</f>
        <v>3.5842314058508141E-3</v>
      </c>
      <c r="U154" s="25">
        <f>ROUND(IFERROR('1.1 Jakotaulu'!M$16*Ohj.lask.[[#This Row],[%-osuus 4]],0),0)</f>
        <v>41474</v>
      </c>
      <c r="V154" s="235">
        <f>IFERROR(ROUND(VLOOKUP($A154,'2.5 Päättäneet palaute'!$A:$AC,COLUMN('2.5 Päättäneet palaute'!AB:AB),FALSE),1),0)</f>
        <v>25617.1</v>
      </c>
      <c r="W154" s="22">
        <f>IFERROR(Ohj.lask.[[#This Row],[Painotetut pisteet 5]]/Ohj.lask.[[#Totals],[Painotetut pisteet 5]],0)</f>
        <v>3.8684284616402648E-3</v>
      </c>
      <c r="X154" s="19">
        <f>ROUND(IFERROR('1.1 Jakotaulu'!M$17*Ohj.lask.[[#This Row],[%-osuus 5]],0),0)</f>
        <v>134287</v>
      </c>
      <c r="Y154" s="21">
        <f>IFERROR(Ohj.lask.[[#This Row],[Jaettava € 6]]/Ohj.lask.[[#Totals],[Jaettava € 6]],"")</f>
        <v>8.5404334598260124E-3</v>
      </c>
      <c r="Z154" s="25">
        <f>IFERROR(Ohj.lask.[[#This Row],[Jaettava € 1]]+Ohj.lask.[[#This Row],[Jaettava € 2]]+Ohj.lask.[[#This Row],[Jaettava € 3]]+Ohj.lask.[[#This Row],[Jaettava € 4]]+Ohj.lask.[[#This Row],[Jaettava € 5]],"")</f>
        <v>14701374</v>
      </c>
      <c r="AA154" s="123">
        <f>0</f>
        <v>0</v>
      </c>
      <c r="AB154" s="19">
        <f>Ohj.lask.[[#This Row],[Jaettava € 1]]+Ohj.lask.[[#This Row],[Jaettava €]]</f>
        <v>9331454</v>
      </c>
      <c r="AC154" s="107">
        <f>Ohj.lask.[[#This Row],[Jaettava € 2]]</f>
        <v>3934402</v>
      </c>
      <c r="AD154" s="19">
        <f>Ohj.lask.[[#This Row],[Jaettava € 3]]+Ohj.lask.[[#This Row],[Jaettava € 4]]+Ohj.lask.[[#This Row],[Jaettava € 5]]</f>
        <v>1435518</v>
      </c>
      <c r="AE154" s="36">
        <f>Ohj.lask.[[#This Row],[Jaettava € 6]]+Ohj.lask.[[#This Row],[Jaettava €]]</f>
        <v>14701374</v>
      </c>
      <c r="AF154" s="36">
        <f>IFERROR(VLOOKUP(Ohj.lask.[[#This Row],[Y-tunnus]],'3.1 Alv vahvistettu'!A:Y,COLUMN(C:C),FALSE),0)</f>
        <v>0</v>
      </c>
      <c r="AG154" s="25">
        <f>Ohj.lask.[[#This Row],[Perus-, suoritus- ja vaikuttavuusrahoitus yhteensä, €]]+Ohj.lask.[[#This Row],[Alv-korvaus, €]]</f>
        <v>14701374</v>
      </c>
    </row>
    <row r="155" spans="1:33" x14ac:dyDescent="0.2">
      <c r="A155" s="131" t="s">
        <v>239</v>
      </c>
      <c r="B155" s="16" t="s">
        <v>150</v>
      </c>
      <c r="C155" s="16" t="s">
        <v>238</v>
      </c>
      <c r="D155" s="16" t="s">
        <v>411</v>
      </c>
      <c r="E155" s="16" t="s">
        <v>474</v>
      </c>
      <c r="F155" s="114">
        <v>1472</v>
      </c>
      <c r="G155" s="122">
        <f>0</f>
        <v>0</v>
      </c>
      <c r="H155" s="35">
        <f t="shared" si="8"/>
        <v>1472</v>
      </c>
      <c r="I155" s="17">
        <f>IFERROR(VLOOKUP($A155,'2.1 Toteut. op.vuodet'!$A:$Q,COLUMN('2.1 Toteut. op.vuodet'!Q:Q),FALSE),0)</f>
        <v>1.0978055227326482</v>
      </c>
      <c r="J155" s="11">
        <f t="shared" si="9"/>
        <v>1616</v>
      </c>
      <c r="K155" s="18">
        <f>IFERROR(Ohj.lask.[[#This Row],[Painotetut opiskelija-vuodet]]/Ohj.lask.[[#Totals],[Painotetut opiskelija-vuodet]],0)</f>
        <v>8.0796687335819191E-3</v>
      </c>
      <c r="L155" s="19">
        <f>ROUND(IFERROR('1.1 Jakotaulu'!L$10*Ohj.lask.[[#This Row],[%-osuus 1]],0),0)</f>
        <v>9420647</v>
      </c>
      <c r="M155" s="211">
        <f>IFERROR(ROUND(VLOOKUP($A155,'2.2 Tutk. ja osien pain. pist.'!$A:$Q,COLUMN('2.2 Tutk. ja osien pain. pist.'!P:P),FALSE),1),0)</f>
        <v>151023.9</v>
      </c>
      <c r="N155" s="18">
        <f>IFERROR(Ohj.lask.[[#This Row],[Painotetut pisteet 2]]/Ohj.lask.[[#Totals],[Painotetut pisteet 2]],0)</f>
        <v>9.6510702276095869E-3</v>
      </c>
      <c r="O155" s="25">
        <f>ROUND(IFERROR('1.1 Jakotaulu'!K$11*Ohj.lask.[[#This Row],[%-osuus 2]],0),0)</f>
        <v>3573569</v>
      </c>
      <c r="P155" s="233">
        <f>IFERROR(ROUND(VLOOKUP($A155,'2.3 Työll. ja jatko-opisk.'!$A:$K,COLUMN('2.3 Työll. ja jatko-opisk.'!I:I),FALSE),1),0)</f>
        <v>1700.8</v>
      </c>
      <c r="Q155" s="18">
        <f>IFERROR(Ohj.lask.[[#This Row],[Painotetut pisteet 3]]/Ohj.lask.[[#Totals],[Painotetut pisteet 3]],0)</f>
        <v>8.978571368239676E-3</v>
      </c>
      <c r="R155" s="19">
        <f>ROUND(IFERROR('1.1 Jakotaulu'!L$13*Ohj.lask.[[#This Row],[%-osuus 3]],0),0)</f>
        <v>1246709</v>
      </c>
      <c r="S155" s="211">
        <f>IFERROR(ROUND(VLOOKUP($A155,'2.4 Aloittaneet palaute'!$A:$K,COLUMN('2.4 Aloittaneet palaute'!J:J),FALSE),1),0)</f>
        <v>16478.3</v>
      </c>
      <c r="T155" s="22">
        <f>IFERROR(Ohj.lask.[[#This Row],[Painotetut pisteet 4]]/Ohj.lask.[[#Totals],[Painotetut pisteet 4]],0)</f>
        <v>1.3235191120455231E-2</v>
      </c>
      <c r="U155" s="25">
        <f>ROUND(IFERROR('1.1 Jakotaulu'!M$16*Ohj.lask.[[#This Row],[%-osuus 4]],0),0)</f>
        <v>153146</v>
      </c>
      <c r="V155" s="235">
        <f>IFERROR(ROUND(VLOOKUP($A155,'2.5 Päättäneet palaute'!$A:$AC,COLUMN('2.5 Päättäneet palaute'!AB:AB),FALSE),1),0)</f>
        <v>98580.2</v>
      </c>
      <c r="W155" s="22">
        <f>IFERROR(Ohj.lask.[[#This Row],[Painotetut pisteet 5]]/Ohj.lask.[[#Totals],[Painotetut pisteet 5]],0)</f>
        <v>1.488655825343968E-2</v>
      </c>
      <c r="X155" s="19">
        <f>ROUND(IFERROR('1.1 Jakotaulu'!M$17*Ohj.lask.[[#This Row],[%-osuus 5]],0),0)</f>
        <v>516764</v>
      </c>
      <c r="Y155" s="21">
        <f>IFERROR(Ohj.lask.[[#This Row],[Jaettava € 6]]/Ohj.lask.[[#Totals],[Jaettava € 6]],"")</f>
        <v>8.662115129371227E-3</v>
      </c>
      <c r="Z155" s="25">
        <f>IFERROR(Ohj.lask.[[#This Row],[Jaettava € 1]]+Ohj.lask.[[#This Row],[Jaettava € 2]]+Ohj.lask.[[#This Row],[Jaettava € 3]]+Ohj.lask.[[#This Row],[Jaettava € 4]]+Ohj.lask.[[#This Row],[Jaettava € 5]],"")</f>
        <v>14910835</v>
      </c>
      <c r="AA155" s="123">
        <f>0</f>
        <v>0</v>
      </c>
      <c r="AB155" s="19">
        <f>Ohj.lask.[[#This Row],[Jaettava € 1]]+Ohj.lask.[[#This Row],[Jaettava €]]</f>
        <v>9420647</v>
      </c>
      <c r="AC155" s="107">
        <f>Ohj.lask.[[#This Row],[Jaettava € 2]]</f>
        <v>3573569</v>
      </c>
      <c r="AD155" s="19">
        <f>Ohj.lask.[[#This Row],[Jaettava € 3]]+Ohj.lask.[[#This Row],[Jaettava € 4]]+Ohj.lask.[[#This Row],[Jaettava € 5]]</f>
        <v>1916619</v>
      </c>
      <c r="AE155" s="36">
        <f>Ohj.lask.[[#This Row],[Jaettava € 6]]+Ohj.lask.[[#This Row],[Jaettava €]]</f>
        <v>14910835</v>
      </c>
      <c r="AF155" s="36">
        <f>IFERROR(VLOOKUP(Ohj.lask.[[#This Row],[Y-tunnus]],'3.1 Alv vahvistettu'!A:Y,COLUMN(C:C),FALSE),0)</f>
        <v>0</v>
      </c>
      <c r="AG155" s="25">
        <f>Ohj.lask.[[#This Row],[Perus-, suoritus- ja vaikuttavuusrahoitus yhteensä, €]]+Ohj.lask.[[#This Row],[Alv-korvaus, €]]</f>
        <v>14910835</v>
      </c>
    </row>
    <row r="156" spans="1:33" x14ac:dyDescent="0.2">
      <c r="A156" s="131" t="s">
        <v>635</v>
      </c>
      <c r="B156" s="16" t="s">
        <v>636</v>
      </c>
      <c r="C156" s="16" t="s">
        <v>12</v>
      </c>
      <c r="D156" s="16" t="s">
        <v>12</v>
      </c>
      <c r="E156" s="16" t="s">
        <v>12</v>
      </c>
      <c r="F156" s="114">
        <v>0</v>
      </c>
      <c r="G156" s="122">
        <f>'1.1 Jakotaulu'!H33-SUM(G6:G155)</f>
        <v>15780</v>
      </c>
      <c r="H156" s="35">
        <f t="shared" si="8"/>
        <v>15780</v>
      </c>
      <c r="I156" s="194">
        <f>SUM(J6:J155)/SUM(H6:H155)</f>
        <v>1.1424405647525604</v>
      </c>
      <c r="J156" s="11">
        <f t="shared" si="9"/>
        <v>18027.7</v>
      </c>
      <c r="K156" s="18">
        <f>IFERROR(Ohj.lask.[[#This Row],[Painotetut opiskelija-vuodet]]/Ohj.lask.[[#Totals],[Painotetut opiskelija-vuodet]],0)</f>
        <v>9.0134804473016569E-2</v>
      </c>
      <c r="L156" s="19">
        <f>ROUND(IFERROR('1.1 Jakotaulu'!L$10*Ohj.lask.[[#This Row],[%-osuus 1]],0),0)</f>
        <v>105094433</v>
      </c>
      <c r="M156" s="211">
        <f>IFERROR(ROUND(VLOOKUP($A156,'2.2 Tutk. ja osien pain. pist.'!$A:$Q,COLUMN('2.2 Tutk. ja osien pain. pist.'!P:P),FALSE),1),0)</f>
        <v>0</v>
      </c>
      <c r="N156" s="18">
        <f>IFERROR(Ohj.lask.[[#This Row],[Painotetut pisteet 2]]/Ohj.lask.[[#Totals],[Painotetut pisteet 2]],0)</f>
        <v>0</v>
      </c>
      <c r="O156" s="25">
        <f>ROUND(IFERROR('1.1 Jakotaulu'!K$11*Ohj.lask.[[#This Row],[%-osuus 2]],0),0)</f>
        <v>0</v>
      </c>
      <c r="P156" s="233">
        <f>IFERROR(ROUND(VLOOKUP($A156,'2.3 Työll. ja jatko-opisk.'!$A:$K,COLUMN('2.3 Työll. ja jatko-opisk.'!I:I),FALSE),1),0)</f>
        <v>0</v>
      </c>
      <c r="Q156" s="18">
        <f>IFERROR(Ohj.lask.[[#This Row],[Painotetut pisteet 3]]/Ohj.lask.[[#Totals],[Painotetut pisteet 3]],0)</f>
        <v>0</v>
      </c>
      <c r="R156" s="19">
        <f>ROUND(IFERROR('1.1 Jakotaulu'!L$13*Ohj.lask.[[#This Row],[%-osuus 3]],0),0)</f>
        <v>0</v>
      </c>
      <c r="S156" s="211">
        <f>IFERROR(ROUND(VLOOKUP($A156,'2.4 Aloittaneet palaute'!$A:$K,COLUMN('2.4 Aloittaneet palaute'!J:J),FALSE),1),0)</f>
        <v>0</v>
      </c>
      <c r="T156" s="22">
        <f>IFERROR(Ohj.lask.[[#This Row],[Painotetut pisteet 4]]/Ohj.lask.[[#Totals],[Painotetut pisteet 4]],0)</f>
        <v>0</v>
      </c>
      <c r="U156" s="25">
        <f>ROUND(IFERROR('1.1 Jakotaulu'!M$16*Ohj.lask.[[#This Row],[%-osuus 4]],0),0)</f>
        <v>0</v>
      </c>
      <c r="V156" s="235">
        <f>IFERROR(ROUND(VLOOKUP($A156,'2.5 Päättäneet palaute'!$A:$AC,COLUMN('2.5 Päättäneet palaute'!AB:AB),FALSE),1),0)</f>
        <v>0</v>
      </c>
      <c r="W156" s="22">
        <f>IFERROR(Ohj.lask.[[#This Row],[Painotetut pisteet 5]]/Ohj.lask.[[#Totals],[Painotetut pisteet 5]],0)</f>
        <v>0</v>
      </c>
      <c r="X156" s="19">
        <f>ROUND(IFERROR('1.1 Jakotaulu'!M$17*Ohj.lask.[[#This Row],[%-osuus 5]],0),0)</f>
        <v>0</v>
      </c>
      <c r="Y156" s="21">
        <f>IFERROR(Ohj.lask.[[#This Row],[Jaettava € 6]]/Ohj.lask.[[#Totals],[Jaettava € 6]],"")</f>
        <v>6.1052253485602302E-2</v>
      </c>
      <c r="Z156" s="25">
        <f>IFERROR(Ohj.lask.[[#This Row],[Jaettava € 1]]+Ohj.lask.[[#This Row],[Jaettava € 2]]+Ohj.lask.[[#This Row],[Jaettava € 3]]+Ohj.lask.[[#This Row],[Jaettava € 4]]+Ohj.lask.[[#This Row],[Jaettava € 5]],"")</f>
        <v>105094433</v>
      </c>
      <c r="AA156" s="123">
        <f>'1.1 Jakotaulu'!H22-SUM(AA6:AA155)</f>
        <v>20000000</v>
      </c>
      <c r="AB156" s="19">
        <f>Ohj.lask.[[#This Row],[Jaettava € 1]]+Ohj.lask.[[#This Row],[Jaettava €]]</f>
        <v>125094433</v>
      </c>
      <c r="AC156" s="107">
        <f>Ohj.lask.[[#This Row],[Jaettava € 2]]</f>
        <v>0</v>
      </c>
      <c r="AD156" s="19">
        <f>Ohj.lask.[[#This Row],[Jaettava € 3]]+Ohj.lask.[[#This Row],[Jaettava € 4]]+Ohj.lask.[[#This Row],[Jaettava € 5]]</f>
        <v>0</v>
      </c>
      <c r="AE156" s="36">
        <f>Ohj.lask.[[#This Row],[Jaettava € 6]]+Ohj.lask.[[#This Row],[Jaettava €]]</f>
        <v>125094433</v>
      </c>
      <c r="AF156" s="36">
        <f>IFERROR(VLOOKUP(Ohj.lask.[[#This Row],[Y-tunnus]],'3.1 Alv vahvistettu'!A:Y,COLUMN(C:C),FALSE),0)</f>
        <v>0</v>
      </c>
      <c r="AG156" s="25">
        <f>Ohj.lask.[[#This Row],[Perus-, suoritus- ja vaikuttavuusrahoitus yhteensä, €]]+Ohj.lask.[[#This Row],[Alv-korvaus, €]]</f>
        <v>125094433</v>
      </c>
    </row>
    <row r="157" spans="1:33" x14ac:dyDescent="0.2">
      <c r="A157" s="70" t="s">
        <v>21</v>
      </c>
      <c r="B157" s="158">
        <f>COUNTIF(Ohj.lask.[Nimi],"?*")-1</f>
        <v>150</v>
      </c>
      <c r="C157" s="158"/>
      <c r="D157" s="158"/>
      <c r="E157" s="158"/>
      <c r="F157" s="160">
        <f>SUBTOTAL(109,Ohj.lask.[Järjestämisluvan opisk.vuosien vähimmäismäärä])</f>
        <v>159291</v>
      </c>
      <c r="G157" s="161">
        <f>SUBTOTAL(109,Ohj.lask.[Suoritepäätöksellä jaettavat opv:t (luvan ylittävä osuus)])</f>
        <v>15780</v>
      </c>
      <c r="H157" s="161">
        <f>SUBTOTAL(109,Ohj.lask.[Tavoitteelliset opiske-lijavuodet])</f>
        <v>175071</v>
      </c>
      <c r="I157" s="70"/>
      <c r="J157" s="70">
        <f>SUBTOTAL(109,Ohj.lask.[Painotetut opiskelija-vuodet])</f>
        <v>200008.2000000001</v>
      </c>
      <c r="K157" s="101">
        <f>SUBTOTAL(109,Ohj.lask.[%-osuus 1])</f>
        <v>0.99999999999999989</v>
      </c>
      <c r="L157" s="102">
        <f>SUBTOTAL(109,Ohj.lask.[Jaettava € 1])</f>
        <v>1165969504</v>
      </c>
      <c r="M157" s="212">
        <f>SUBTOTAL(109,Ohj.lask.[Painotetut pisteet 2])</f>
        <v>15648409.599999994</v>
      </c>
      <c r="N157" s="101">
        <f>SUBTOTAL(109,Ohj.lask.[%-osuus 2])</f>
        <v>1.0000000000000004</v>
      </c>
      <c r="O157" s="103">
        <f>SUBTOTAL(109,Ohj.lask.[Jaettava € 2])</f>
        <v>370276995</v>
      </c>
      <c r="P157" s="234">
        <f>SUBTOTAL(109,Ohj.lask.[Painotetut pisteet 3])</f>
        <v>189428.8</v>
      </c>
      <c r="Q157" s="101">
        <f>SUBTOTAL(109,Ohj.lask.[%-osuus 3])</f>
        <v>0.99999999999999978</v>
      </c>
      <c r="R157" s="102">
        <f>SUBTOTAL(109,Ohj.lask.[Jaettava € 3])</f>
        <v>138853877</v>
      </c>
      <c r="S157" s="212">
        <f>SUBTOTAL(109,Ohj.lask.[Painotetut pisteet 4])</f>
        <v>1245036.8000000003</v>
      </c>
      <c r="T157" s="101">
        <f>SUBTOTAL(109,Ohj.lask.[%-osuus 4])</f>
        <v>0.99999999999999967</v>
      </c>
      <c r="U157" s="103">
        <f>SUBTOTAL(109,Ohj.lask.[Jaettava € 4])</f>
        <v>11571153</v>
      </c>
      <c r="V157" s="234">
        <f>SUBTOTAL(109,Ohj.lask.[Painotetut pisteet 5])</f>
        <v>6622094.8000000007</v>
      </c>
      <c r="W157" s="101">
        <f>SUBTOTAL(109,Ohj.lask.[%-osuus 5])</f>
        <v>1.0000000000000009</v>
      </c>
      <c r="X157" s="102">
        <f>SUBTOTAL(109,Ohj.lask.[Jaettava € 5])</f>
        <v>34713465</v>
      </c>
      <c r="Y157" s="104">
        <f>SUBTOTAL(109,Ohj.lask.[%-osuus 6])</f>
        <v>1.0000000000000004</v>
      </c>
      <c r="Z157" s="103">
        <f>SUBTOTAL(109,Ohj.lask.[Jaettava € 6])</f>
        <v>1721384994</v>
      </c>
      <c r="AA157" s="209">
        <f>SUBTOTAL(109,Ohj.lask.[Jaettava €])</f>
        <v>20000000</v>
      </c>
      <c r="AB157" s="105">
        <f>SUBTOTAL(109,Ohj.lask.[Opiskelijavuosiin perustuva (suoriteperusteinen) sekä harkinnanvarainen korotus, €])</f>
        <v>1185969504</v>
      </c>
      <c r="AC157" s="105">
        <f>SUBTOTAL(109,Ohj.lask.[Suoritusrahoitus, €])</f>
        <v>370276995</v>
      </c>
      <c r="AD157" s="105">
        <f>SUBTOTAL(109,Ohj.lask.[Työllistymiseen ja jatko-opintoihin siirtymiseen perustuva sekä opiskelija-palautteisiin perustuva, €])</f>
        <v>185138495</v>
      </c>
      <c r="AE157" s="105">
        <f>SUBTOTAL(109,Ohj.lask.[Perus-, suoritus- ja vaikuttavuusrahoitus yhteensä, €])</f>
        <v>1741384994</v>
      </c>
      <c r="AF157" s="105">
        <f>SUBTOTAL(109,Ohj.lask.[Alv-korvaus, €])</f>
        <v>30440916.230000015</v>
      </c>
      <c r="AG157" s="105">
        <f>SUBTOTAL(109,Ohj.lask.[Koko rahoitus + 
alv-korvaus, €])</f>
        <v>1771825910.2300007</v>
      </c>
    </row>
    <row r="158" spans="1:33" x14ac:dyDescent="0.2">
      <c r="AC158" s="35"/>
      <c r="AD158" s="19"/>
      <c r="AE158" s="19"/>
    </row>
    <row r="159" spans="1:33" ht="15" x14ac:dyDescent="0.25">
      <c r="A159" s="12"/>
      <c r="I159"/>
      <c r="J159"/>
      <c r="N159"/>
      <c r="O159"/>
      <c r="P159"/>
      <c r="Q159"/>
      <c r="R159"/>
      <c r="AA159" s="35"/>
      <c r="AC159" s="11"/>
      <c r="AD159" s="195"/>
      <c r="AE159" s="19"/>
    </row>
    <row r="160" spans="1:33" ht="15" x14ac:dyDescent="0.25">
      <c r="I160"/>
      <c r="J160"/>
      <c r="N160"/>
      <c r="O160"/>
      <c r="P160"/>
      <c r="Q160"/>
      <c r="R160"/>
      <c r="AB160" s="13"/>
      <c r="AC160" s="106"/>
    </row>
    <row r="161" spans="9:29" ht="15" x14ac:dyDescent="0.25">
      <c r="I161" s="12"/>
      <c r="J161" s="12"/>
      <c r="N161"/>
      <c r="O161"/>
      <c r="P161"/>
      <c r="Q161"/>
      <c r="R161"/>
      <c r="AB161" s="13"/>
      <c r="AC161" s="106"/>
    </row>
    <row r="162" spans="9:29" ht="15" x14ac:dyDescent="0.25">
      <c r="I162" s="12"/>
      <c r="J162" s="12"/>
      <c r="N162"/>
      <c r="O162"/>
      <c r="P162"/>
      <c r="Q162"/>
      <c r="R162"/>
      <c r="AB162" s="13"/>
      <c r="AC162" s="106"/>
    </row>
    <row r="163" spans="9:29" x14ac:dyDescent="0.2">
      <c r="I163" s="12"/>
      <c r="J163" s="12"/>
      <c r="AB163" s="13"/>
      <c r="AC163" s="106"/>
    </row>
    <row r="164" spans="9:29" x14ac:dyDescent="0.2">
      <c r="AB164" s="13"/>
      <c r="AC164" s="106"/>
    </row>
    <row r="320" spans="1:1" x14ac:dyDescent="0.2">
      <c r="A320" s="11" t="s">
        <v>12</v>
      </c>
    </row>
    <row r="321" spans="1:1" x14ac:dyDescent="0.2">
      <c r="A321" s="11" t="s">
        <v>12</v>
      </c>
    </row>
    <row r="322" spans="1:1" x14ac:dyDescent="0.2">
      <c r="A322" s="11" t="s">
        <v>12</v>
      </c>
    </row>
    <row r="323" spans="1:1" x14ac:dyDescent="0.2">
      <c r="A323" s="11" t="s">
        <v>12</v>
      </c>
    </row>
    <row r="324" spans="1:1" x14ac:dyDescent="0.2">
      <c r="A324" s="11" t="s">
        <v>12</v>
      </c>
    </row>
    <row r="325" spans="1:1" x14ac:dyDescent="0.2">
      <c r="A325" s="11" t="s">
        <v>12</v>
      </c>
    </row>
    <row r="326" spans="1:1" x14ac:dyDescent="0.2">
      <c r="A326" s="11" t="s">
        <v>12</v>
      </c>
    </row>
    <row r="327" spans="1:1" x14ac:dyDescent="0.2">
      <c r="A327" s="11" t="s">
        <v>12</v>
      </c>
    </row>
    <row r="328" spans="1:1" x14ac:dyDescent="0.2">
      <c r="A328" s="11" t="s">
        <v>12</v>
      </c>
    </row>
    <row r="329" spans="1:1" x14ac:dyDescent="0.2">
      <c r="A329" s="11" t="s">
        <v>12</v>
      </c>
    </row>
    <row r="330" spans="1:1" x14ac:dyDescent="0.2">
      <c r="A330" s="11" t="s">
        <v>12</v>
      </c>
    </row>
  </sheetData>
  <mergeCells count="19">
    <mergeCell ref="Y3:Z3"/>
    <mergeCell ref="AB3:AB4"/>
    <mergeCell ref="AE3:AE4"/>
    <mergeCell ref="AB2:AE2"/>
    <mergeCell ref="M3:O3"/>
    <mergeCell ref="AA3:AA4"/>
    <mergeCell ref="AG3:AG4"/>
    <mergeCell ref="F3:L3"/>
    <mergeCell ref="F2:J2"/>
    <mergeCell ref="P3:X3"/>
    <mergeCell ref="F4:L4"/>
    <mergeCell ref="AF3:AF4"/>
    <mergeCell ref="M4:O4"/>
    <mergeCell ref="AC3:AC4"/>
    <mergeCell ref="AD3:AD4"/>
    <mergeCell ref="Y4:Z4"/>
    <mergeCell ref="V4:X4"/>
    <mergeCell ref="P4:R4"/>
    <mergeCell ref="S4:U4"/>
  </mergeCells>
  <pageMargins left="0.7" right="0.7" top="0.75" bottom="0.75" header="0.3" footer="0.3"/>
  <pageSetup paperSize="9" orientation="portrait"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13"/>
  <sheetViews>
    <sheetView zoomScale="90" zoomScaleNormal="90" workbookViewId="0">
      <pane xSplit="2" ySplit="5" topLeftCell="C6" activePane="bottomRight" state="frozen"/>
      <selection pane="topRight" activeCell="C1" sqref="C1"/>
      <selection pane="bottomLeft" activeCell="A6" sqref="A6"/>
      <selection pane="bottomRight"/>
    </sheetView>
  </sheetViews>
  <sheetFormatPr defaultRowHeight="15" x14ac:dyDescent="0.25"/>
  <cols>
    <col min="1" max="1" width="11.28515625" style="11" customWidth="1"/>
    <col min="2" max="2" width="42.140625" style="11" customWidth="1"/>
    <col min="3" max="3" width="18.5703125" style="11" customWidth="1"/>
    <col min="4" max="4" width="16.42578125" style="11" customWidth="1"/>
    <col min="5" max="6" width="25.5703125" style="24" customWidth="1"/>
    <col min="7" max="8" width="13.140625" customWidth="1"/>
    <col min="9" max="10" width="25.5703125" customWidth="1"/>
    <col min="11" max="12" width="13.140625" customWidth="1"/>
    <col min="13" max="14" width="25.5703125" customWidth="1"/>
    <col min="15" max="16" width="13.140625" customWidth="1"/>
  </cols>
  <sheetData>
    <row r="1" spans="1:16" x14ac:dyDescent="0.25">
      <c r="A1" s="90" t="s">
        <v>675</v>
      </c>
      <c r="C1" s="12"/>
      <c r="D1" s="12"/>
      <c r="E1" s="35"/>
      <c r="F1" s="12"/>
      <c r="G1" s="12"/>
      <c r="H1" s="12"/>
      <c r="I1" s="12"/>
      <c r="J1" s="12"/>
      <c r="K1" s="12"/>
      <c r="L1" s="12"/>
      <c r="M1" s="12"/>
      <c r="N1" s="12"/>
      <c r="O1" s="12"/>
      <c r="P1" s="12"/>
    </row>
    <row r="2" spans="1:16" ht="53.25" customHeight="1" x14ac:dyDescent="0.25">
      <c r="A2" s="125" t="s">
        <v>410</v>
      </c>
      <c r="B2" s="23"/>
      <c r="C2" s="23"/>
      <c r="D2" s="40"/>
      <c r="E2" s="277" t="s">
        <v>661</v>
      </c>
      <c r="F2" s="278"/>
      <c r="G2" s="278"/>
      <c r="H2" s="278"/>
      <c r="I2" s="196"/>
      <c r="J2" s="196"/>
      <c r="K2" s="196"/>
      <c r="L2" s="196"/>
      <c r="M2" s="196"/>
      <c r="N2" s="196"/>
      <c r="O2" s="196"/>
      <c r="P2" s="196"/>
    </row>
    <row r="3" spans="1:16" ht="15" customHeight="1" x14ac:dyDescent="0.25">
      <c r="A3" s="29"/>
      <c r="B3" s="29"/>
      <c r="C3" s="29"/>
      <c r="D3" s="41"/>
      <c r="E3" s="274" t="s">
        <v>642</v>
      </c>
      <c r="F3" s="275"/>
      <c r="G3" s="275"/>
      <c r="H3" s="276"/>
      <c r="I3" s="274" t="s">
        <v>643</v>
      </c>
      <c r="J3" s="275"/>
      <c r="K3" s="275"/>
      <c r="L3" s="276"/>
      <c r="M3" s="274" t="s">
        <v>644</v>
      </c>
      <c r="N3" s="275"/>
      <c r="O3" s="275"/>
      <c r="P3" s="276"/>
    </row>
    <row r="4" spans="1:16" ht="29.45" customHeight="1" x14ac:dyDescent="0.25">
      <c r="A4" s="30"/>
      <c r="B4" s="30"/>
      <c r="C4" s="30"/>
      <c r="D4" s="42"/>
      <c r="E4" s="274"/>
      <c r="F4" s="275"/>
      <c r="G4" s="275"/>
      <c r="H4" s="276"/>
      <c r="I4" s="274"/>
      <c r="J4" s="275"/>
      <c r="K4" s="275"/>
      <c r="L4" s="276"/>
      <c r="M4" s="274"/>
      <c r="N4" s="275"/>
      <c r="O4" s="275"/>
      <c r="P4" s="276"/>
    </row>
    <row r="5" spans="1:16" ht="79.5" customHeight="1" x14ac:dyDescent="0.25">
      <c r="A5" s="29" t="s">
        <v>409</v>
      </c>
      <c r="B5" s="31" t="s">
        <v>408</v>
      </c>
      <c r="C5" s="31" t="s">
        <v>419</v>
      </c>
      <c r="D5" s="43" t="s">
        <v>418</v>
      </c>
      <c r="E5" s="91" t="s">
        <v>653</v>
      </c>
      <c r="F5" s="91" t="s">
        <v>662</v>
      </c>
      <c r="G5" s="32" t="s">
        <v>680</v>
      </c>
      <c r="H5" s="33" t="s">
        <v>681</v>
      </c>
      <c r="I5" s="133" t="s">
        <v>654</v>
      </c>
      <c r="J5" s="99" t="s">
        <v>663</v>
      </c>
      <c r="K5" s="32" t="s">
        <v>682</v>
      </c>
      <c r="L5" s="133" t="s">
        <v>683</v>
      </c>
      <c r="M5" s="99" t="s">
        <v>655</v>
      </c>
      <c r="N5" s="133" t="s">
        <v>664</v>
      </c>
      <c r="O5" s="32" t="s">
        <v>684</v>
      </c>
      <c r="P5" s="33" t="s">
        <v>685</v>
      </c>
    </row>
    <row r="6" spans="1:16" x14ac:dyDescent="0.25">
      <c r="A6" s="24" t="s">
        <v>407</v>
      </c>
      <c r="B6" s="143" t="s">
        <v>179</v>
      </c>
      <c r="C6" s="143" t="s">
        <v>236</v>
      </c>
      <c r="D6" s="144" t="s">
        <v>412</v>
      </c>
      <c r="E6" s="20">
        <f>IFERROR(VLOOKUP(Vertailu[[#This Row],[Y-tunnus]],'3.2 Suoritepäätös 2019'!$A:$S,COLUMN('3.2 Suoritepäätös 2019'!Q:Q),FALSE)-VLOOKUP(Vertailu[[#This Row],[Y-tunnus]],'3.2 Suoritepäätös 2019'!$A:$S,COLUMN('3.2 Suoritepäätös 2019'!L:L),FALSE),0)</f>
        <v>129172</v>
      </c>
      <c r="F6" s="20">
        <f>IFERROR(VLOOKUP(Vertailu[[#This Row],[Y-tunnus]],'1.2 Ohjaus-laskentataulu'!A:AG,COLUMN('1.2 Ohjaus-laskentataulu'!Z:Z),FALSE),0)</f>
        <v>0</v>
      </c>
      <c r="G6" s="20">
        <f>IFERROR(Vertailu[[#This Row],[Simuloitu rahoitus pl. hark. kor. ilman alv, €]]-Vertailu[[#This Row],[2019 rahoitus pl. hark. kor. ilman alv, €]],0)</f>
        <v>-129172</v>
      </c>
      <c r="H6" s="37">
        <f>IFERROR(Vertailu[[#This Row],[Muutos, € 1]]/Vertailu[[#This Row],[2019 rahoitus pl. hark. kor. ilman alv, €]],0)</f>
        <v>-1</v>
      </c>
      <c r="I6" s="132">
        <f>IFERROR(VLOOKUP(Vertailu[[#This Row],[Y-tunnus]],'3.2 Suoritepäätös 2019'!$A:$S,COLUMN('3.2 Suoritepäätös 2019'!Q:Q),FALSE),0)</f>
        <v>481672</v>
      </c>
      <c r="J6" s="134">
        <f>IFERROR(VLOOKUP(Vertailu[[#This Row],[Y-tunnus]],'1.2 Ohjaus-laskentataulu'!A:AG,COLUMN('1.2 Ohjaus-laskentataulu'!AE:AE),FALSE),0)</f>
        <v>0</v>
      </c>
      <c r="K6" s="20">
        <f>IFERROR(Vertailu[[#This Row],[Simuloitu rahoitus sis. hark. kor. ilman alv, €]]-Vertailu[[#This Row],[2019 rahoitus sis. hark. kor. ilman alv, €]],0)</f>
        <v>-481672</v>
      </c>
      <c r="L6" s="18">
        <f>IFERROR(Vertailu[[#This Row],[Muutos, € 2]]/Vertailu[[#This Row],[2019 rahoitus sis. hark. kor. ilman alv, €]],0)</f>
        <v>-1</v>
      </c>
      <c r="M6" s="134">
        <f>IFERROR(VLOOKUP(Vertailu[[#This Row],[Y-tunnus]],'3.2 Suoritepäätös 2019'!$A:$S,COLUMN('3.2 Suoritepäätös 2019'!Q:Q),FALSE)+VLOOKUP(Vertailu[[#This Row],[Y-tunnus]],'3.2 Suoritepäätös 2019'!$A:$S,COLUMN('3.2 Suoritepäätös 2019'!R:R),FALSE),0)</f>
        <v>508623</v>
      </c>
      <c r="N6" s="132">
        <f>IFERROR(VLOOKUP(Vertailu[[#This Row],[Y-tunnus]],'1.2 Ohjaus-laskentataulu'!A:AG,COLUMN('1.2 Ohjaus-laskentataulu'!AG:AG),FALSE),0)</f>
        <v>0</v>
      </c>
      <c r="O6" s="142">
        <f>IFERROR(Vertailu[[#This Row],[Simuloitu rahoitus sis. hark. kor. + alv, €]]-Vertailu[[#This Row],[2019 rahoitus sis. hark. kor. + alv, €]],0)</f>
        <v>-508623</v>
      </c>
      <c r="P6" s="37">
        <f>IFERROR(Vertailu[[#This Row],[Muutos, € 3]]/Vertailu[[#This Row],[2019 rahoitus sis. hark. kor. + alv, €]],0)</f>
        <v>-1</v>
      </c>
    </row>
    <row r="7" spans="1:16" x14ac:dyDescent="0.25">
      <c r="A7" s="24" t="s">
        <v>583</v>
      </c>
      <c r="B7" s="143" t="s">
        <v>584</v>
      </c>
      <c r="C7" s="143" t="s">
        <v>236</v>
      </c>
      <c r="D7" s="144" t="s">
        <v>412</v>
      </c>
      <c r="E7" s="20">
        <f>IFERROR(VLOOKUP(Vertailu[[#This Row],[Y-tunnus]],'3.2 Suoritepäätös 2019'!$A:$S,COLUMN('3.2 Suoritepäätös 2019'!Q:Q),FALSE)-VLOOKUP(Vertailu[[#This Row],[Y-tunnus]],'3.2 Suoritepäätös 2019'!$A:$S,COLUMN('3.2 Suoritepäätös 2019'!L:L),FALSE),0)</f>
        <v>25426899</v>
      </c>
      <c r="F7" s="20">
        <f>IFERROR(VLOOKUP(Vertailu[[#This Row],[Y-tunnus]],'1.2 Ohjaus-laskentataulu'!A:AG,COLUMN('1.2 Ohjaus-laskentataulu'!Z:Z),FALSE),0)</f>
        <v>22725408</v>
      </c>
      <c r="G7" s="20">
        <f>IFERROR(Vertailu[[#This Row],[Simuloitu rahoitus pl. hark. kor. ilman alv, €]]-Vertailu[[#This Row],[2019 rahoitus pl. hark. kor. ilman alv, €]],0)</f>
        <v>-2701491</v>
      </c>
      <c r="H7" s="37">
        <f>IFERROR(Vertailu[[#This Row],[Muutos, € 1]]/Vertailu[[#This Row],[2019 rahoitus pl. hark. kor. ilman alv, €]],0)</f>
        <v>-0.10624539783636219</v>
      </c>
      <c r="I7" s="132">
        <f>IFERROR(VLOOKUP(Vertailu[[#This Row],[Y-tunnus]],'3.2 Suoritepäätös 2019'!$A:$S,COLUMN('3.2 Suoritepäätös 2019'!Q:Q),FALSE),0)</f>
        <v>25426899</v>
      </c>
      <c r="J7" s="134">
        <f>IFERROR(VLOOKUP(Vertailu[[#This Row],[Y-tunnus]],'1.2 Ohjaus-laskentataulu'!A:AG,COLUMN('1.2 Ohjaus-laskentataulu'!AE:AE),FALSE),0)</f>
        <v>22725408</v>
      </c>
      <c r="K7" s="20">
        <f>IFERROR(Vertailu[[#This Row],[Simuloitu rahoitus sis. hark. kor. ilman alv, €]]-Vertailu[[#This Row],[2019 rahoitus sis. hark. kor. ilman alv, €]],0)</f>
        <v>-2701491</v>
      </c>
      <c r="L7" s="18">
        <f>IFERROR(Vertailu[[#This Row],[Muutos, € 2]]/Vertailu[[#This Row],[2019 rahoitus sis. hark. kor. ilman alv, €]],0)</f>
        <v>-0.10624539783636219</v>
      </c>
      <c r="M7" s="134">
        <f>IFERROR(VLOOKUP(Vertailu[[#This Row],[Y-tunnus]],'3.2 Suoritepäätös 2019'!$A:$S,COLUMN('3.2 Suoritepäätös 2019'!Q:Q),FALSE)+VLOOKUP(Vertailu[[#This Row],[Y-tunnus]],'3.2 Suoritepäätös 2019'!$A:$S,COLUMN('3.2 Suoritepäätös 2019'!R:R),FALSE),0)</f>
        <v>26764214</v>
      </c>
      <c r="N7" s="132">
        <f>IFERROR(VLOOKUP(Vertailu[[#This Row],[Y-tunnus]],'1.2 Ohjaus-laskentataulu'!A:AG,COLUMN('1.2 Ohjaus-laskentataulu'!AG:AG),FALSE),0)</f>
        <v>23983672.629999999</v>
      </c>
      <c r="O7" s="142">
        <f>IFERROR(Vertailu[[#This Row],[Simuloitu rahoitus sis. hark. kor. + alv, €]]-Vertailu[[#This Row],[2019 rahoitus sis. hark. kor. + alv, €]],0)</f>
        <v>-2780541.370000001</v>
      </c>
      <c r="P7" s="37">
        <f>IFERROR(Vertailu[[#This Row],[Muutos, € 3]]/Vertailu[[#This Row],[2019 rahoitus sis. hark. kor. + alv, €]],0)</f>
        <v>-0.10389026817675277</v>
      </c>
    </row>
    <row r="8" spans="1:16" x14ac:dyDescent="0.25">
      <c r="A8" s="24" t="s">
        <v>406</v>
      </c>
      <c r="B8" s="143" t="s">
        <v>23</v>
      </c>
      <c r="C8" s="143" t="s">
        <v>247</v>
      </c>
      <c r="D8" s="144" t="s">
        <v>412</v>
      </c>
      <c r="E8" s="20">
        <f>IFERROR(VLOOKUP(Vertailu[[#This Row],[Y-tunnus]],'3.2 Suoritepäätös 2019'!$A:$S,COLUMN('3.2 Suoritepäätös 2019'!Q:Q),FALSE)-VLOOKUP(Vertailu[[#This Row],[Y-tunnus]],'3.2 Suoritepäätös 2019'!$A:$S,COLUMN('3.2 Suoritepäätös 2019'!L:L),FALSE),0)</f>
        <v>3277928</v>
      </c>
      <c r="F8" s="20">
        <f>IFERROR(VLOOKUP(Vertailu[[#This Row],[Y-tunnus]],'1.2 Ohjaus-laskentataulu'!A:AG,COLUMN('1.2 Ohjaus-laskentataulu'!Z:Z),FALSE),0)</f>
        <v>3636638</v>
      </c>
      <c r="G8" s="20">
        <f>IFERROR(Vertailu[[#This Row],[Simuloitu rahoitus pl. hark. kor. ilman alv, €]]-Vertailu[[#This Row],[2019 rahoitus pl. hark. kor. ilman alv, €]],0)</f>
        <v>358710</v>
      </c>
      <c r="H8" s="37">
        <f>IFERROR(Vertailu[[#This Row],[Muutos, € 1]]/Vertailu[[#This Row],[2019 rahoitus pl. hark. kor. ilman alv, €]],0)</f>
        <v>0.10943193383137152</v>
      </c>
      <c r="I8" s="132">
        <f>IFERROR(VLOOKUP(Vertailu[[#This Row],[Y-tunnus]],'3.2 Suoritepäätös 2019'!$A:$S,COLUMN('3.2 Suoritepäätös 2019'!Q:Q),FALSE),0)</f>
        <v>3277928</v>
      </c>
      <c r="J8" s="134">
        <f>IFERROR(VLOOKUP(Vertailu[[#This Row],[Y-tunnus]],'1.2 Ohjaus-laskentataulu'!A:AG,COLUMN('1.2 Ohjaus-laskentataulu'!AE:AE),FALSE),0)</f>
        <v>3636638</v>
      </c>
      <c r="K8" s="20">
        <f>IFERROR(Vertailu[[#This Row],[Simuloitu rahoitus sis. hark. kor. ilman alv, €]]-Vertailu[[#This Row],[2019 rahoitus sis. hark. kor. ilman alv, €]],0)</f>
        <v>358710</v>
      </c>
      <c r="L8" s="18">
        <f>IFERROR(Vertailu[[#This Row],[Muutos, € 2]]/Vertailu[[#This Row],[2019 rahoitus sis. hark. kor. ilman alv, €]],0)</f>
        <v>0.10943193383137152</v>
      </c>
      <c r="M8" s="134">
        <f>IFERROR(VLOOKUP(Vertailu[[#This Row],[Y-tunnus]],'3.2 Suoritepäätös 2019'!$A:$S,COLUMN('3.2 Suoritepäätös 2019'!Q:Q),FALSE)+VLOOKUP(Vertailu[[#This Row],[Y-tunnus]],'3.2 Suoritepäätös 2019'!$A:$S,COLUMN('3.2 Suoritepäätös 2019'!R:R),FALSE),0)</f>
        <v>3446859</v>
      </c>
      <c r="N8" s="132">
        <f>IFERROR(VLOOKUP(Vertailu[[#This Row],[Y-tunnus]],'1.2 Ohjaus-laskentataulu'!A:AG,COLUMN('1.2 Ohjaus-laskentataulu'!AG:AG),FALSE),0)</f>
        <v>4020108.83</v>
      </c>
      <c r="O8" s="142">
        <f>IFERROR(Vertailu[[#This Row],[Simuloitu rahoitus sis. hark. kor. + alv, €]]-Vertailu[[#This Row],[2019 rahoitus sis. hark. kor. + alv, €]],0)</f>
        <v>573249.83000000007</v>
      </c>
      <c r="P8" s="37">
        <f>IFERROR(Vertailu[[#This Row],[Muutos, € 3]]/Vertailu[[#This Row],[2019 rahoitus sis. hark. kor. + alv, €]],0)</f>
        <v>0.16631078613891664</v>
      </c>
    </row>
    <row r="9" spans="1:16" x14ac:dyDescent="0.25">
      <c r="A9" s="24" t="s">
        <v>403</v>
      </c>
      <c r="B9" s="143" t="s">
        <v>189</v>
      </c>
      <c r="C9" s="143" t="s">
        <v>236</v>
      </c>
      <c r="D9" s="144" t="s">
        <v>412</v>
      </c>
      <c r="E9" s="20">
        <f>IFERROR(VLOOKUP(Vertailu[[#This Row],[Y-tunnus]],'3.2 Suoritepäätös 2019'!$A:$S,COLUMN('3.2 Suoritepäätös 2019'!Q:Q),FALSE)-VLOOKUP(Vertailu[[#This Row],[Y-tunnus]],'3.2 Suoritepäätös 2019'!$A:$S,COLUMN('3.2 Suoritepäätös 2019'!L:L),FALSE),0)</f>
        <v>105464</v>
      </c>
      <c r="F9" s="20">
        <f>IFERROR(VLOOKUP(Vertailu[[#This Row],[Y-tunnus]],'1.2 Ohjaus-laskentataulu'!A:AG,COLUMN('1.2 Ohjaus-laskentataulu'!Z:Z),FALSE),0)</f>
        <v>159674</v>
      </c>
      <c r="G9" s="20">
        <f>IFERROR(Vertailu[[#This Row],[Simuloitu rahoitus pl. hark. kor. ilman alv, €]]-Vertailu[[#This Row],[2019 rahoitus pl. hark. kor. ilman alv, €]],0)</f>
        <v>54210</v>
      </c>
      <c r="H9" s="37">
        <f>IFERROR(Vertailu[[#This Row],[Muutos, € 1]]/Vertailu[[#This Row],[2019 rahoitus pl. hark. kor. ilman alv, €]],0)</f>
        <v>0.5140142607904119</v>
      </c>
      <c r="I9" s="132">
        <f>IFERROR(VLOOKUP(Vertailu[[#This Row],[Y-tunnus]],'3.2 Suoritepäätös 2019'!$A:$S,COLUMN('3.2 Suoritepäätös 2019'!Q:Q),FALSE),0)</f>
        <v>1505464</v>
      </c>
      <c r="J9" s="134">
        <f>IFERROR(VLOOKUP(Vertailu[[#This Row],[Y-tunnus]],'1.2 Ohjaus-laskentataulu'!A:AG,COLUMN('1.2 Ohjaus-laskentataulu'!AE:AE),FALSE),0)</f>
        <v>159674</v>
      </c>
      <c r="K9" s="20">
        <f>IFERROR(Vertailu[[#This Row],[Simuloitu rahoitus sis. hark. kor. ilman alv, €]]-Vertailu[[#This Row],[2019 rahoitus sis. hark. kor. ilman alv, €]],0)</f>
        <v>-1345790</v>
      </c>
      <c r="L9" s="18">
        <f>IFERROR(Vertailu[[#This Row],[Muutos, € 2]]/Vertailu[[#This Row],[2019 rahoitus sis. hark. kor. ilman alv, €]],0)</f>
        <v>-0.89393701875302234</v>
      </c>
      <c r="M9" s="134">
        <f>IFERROR(VLOOKUP(Vertailu[[#This Row],[Y-tunnus]],'3.2 Suoritepäätös 2019'!$A:$S,COLUMN('3.2 Suoritepäätös 2019'!Q:Q),FALSE)+VLOOKUP(Vertailu[[#This Row],[Y-tunnus]],'3.2 Suoritepäätös 2019'!$A:$S,COLUMN('3.2 Suoritepäätös 2019'!R:R),FALSE),0)</f>
        <v>1589698</v>
      </c>
      <c r="N9" s="132">
        <f>IFERROR(VLOOKUP(Vertailu[[#This Row],[Y-tunnus]],'1.2 Ohjaus-laskentataulu'!A:AG,COLUMN('1.2 Ohjaus-laskentataulu'!AG:AG),FALSE),0)</f>
        <v>204706.33000000002</v>
      </c>
      <c r="O9" s="142">
        <f>IFERROR(Vertailu[[#This Row],[Simuloitu rahoitus sis. hark. kor. + alv, €]]-Vertailu[[#This Row],[2019 rahoitus sis. hark. kor. + alv, €]],0)</f>
        <v>-1384991.67</v>
      </c>
      <c r="P9" s="37">
        <f>IFERROR(Vertailu[[#This Row],[Muutos, € 3]]/Vertailu[[#This Row],[2019 rahoitus sis. hark. kor. + alv, €]],0)</f>
        <v>-0.87122942219213961</v>
      </c>
    </row>
    <row r="10" spans="1:16" x14ac:dyDescent="0.25">
      <c r="A10" s="24" t="s">
        <v>405</v>
      </c>
      <c r="B10" s="143" t="s">
        <v>24</v>
      </c>
      <c r="C10" s="143" t="s">
        <v>247</v>
      </c>
      <c r="D10" s="144" t="s">
        <v>412</v>
      </c>
      <c r="E10" s="20">
        <f>IFERROR(VLOOKUP(Vertailu[[#This Row],[Y-tunnus]],'3.2 Suoritepäätös 2019'!$A:$S,COLUMN('3.2 Suoritepäätös 2019'!Q:Q),FALSE)-VLOOKUP(Vertailu[[#This Row],[Y-tunnus]],'3.2 Suoritepäätös 2019'!$A:$S,COLUMN('3.2 Suoritepäätös 2019'!L:L),FALSE),0)</f>
        <v>3010230</v>
      </c>
      <c r="F10" s="20">
        <f>IFERROR(VLOOKUP(Vertailu[[#This Row],[Y-tunnus]],'1.2 Ohjaus-laskentataulu'!A:AG,COLUMN('1.2 Ohjaus-laskentataulu'!Z:Z),FALSE),0)</f>
        <v>3052489</v>
      </c>
      <c r="G10" s="20">
        <f>IFERROR(Vertailu[[#This Row],[Simuloitu rahoitus pl. hark. kor. ilman alv, €]]-Vertailu[[#This Row],[2019 rahoitus pl. hark. kor. ilman alv, €]],0)</f>
        <v>42259</v>
      </c>
      <c r="H10" s="37">
        <f>IFERROR(Vertailu[[#This Row],[Muutos, € 1]]/Vertailu[[#This Row],[2019 rahoitus pl. hark. kor. ilman alv, €]],0)</f>
        <v>1.4038462177308711E-2</v>
      </c>
      <c r="I10" s="132">
        <f>IFERROR(VLOOKUP(Vertailu[[#This Row],[Y-tunnus]],'3.2 Suoritepäätös 2019'!$A:$S,COLUMN('3.2 Suoritepäätös 2019'!Q:Q),FALSE),0)</f>
        <v>3010230</v>
      </c>
      <c r="J10" s="134">
        <f>IFERROR(VLOOKUP(Vertailu[[#This Row],[Y-tunnus]],'1.2 Ohjaus-laskentataulu'!A:AG,COLUMN('1.2 Ohjaus-laskentataulu'!AE:AE),FALSE),0)</f>
        <v>3052489</v>
      </c>
      <c r="K10" s="20">
        <f>IFERROR(Vertailu[[#This Row],[Simuloitu rahoitus sis. hark. kor. ilman alv, €]]-Vertailu[[#This Row],[2019 rahoitus sis. hark. kor. ilman alv, €]],0)</f>
        <v>42259</v>
      </c>
      <c r="L10" s="18">
        <f>IFERROR(Vertailu[[#This Row],[Muutos, € 2]]/Vertailu[[#This Row],[2019 rahoitus sis. hark. kor. ilman alv, €]],0)</f>
        <v>1.4038462177308711E-2</v>
      </c>
      <c r="M10" s="134">
        <f>IFERROR(VLOOKUP(Vertailu[[#This Row],[Y-tunnus]],'3.2 Suoritepäätös 2019'!$A:$S,COLUMN('3.2 Suoritepäätös 2019'!Q:Q),FALSE)+VLOOKUP(Vertailu[[#This Row],[Y-tunnus]],'3.2 Suoritepäätös 2019'!$A:$S,COLUMN('3.2 Suoritepäätös 2019'!R:R),FALSE),0)</f>
        <v>3177057</v>
      </c>
      <c r="N10" s="132">
        <f>IFERROR(VLOOKUP(Vertailu[[#This Row],[Y-tunnus]],'1.2 Ohjaus-laskentataulu'!A:AG,COLUMN('1.2 Ohjaus-laskentataulu'!AG:AG),FALSE),0)</f>
        <v>3164127</v>
      </c>
      <c r="O10" s="142">
        <f>IFERROR(Vertailu[[#This Row],[Simuloitu rahoitus sis. hark. kor. + alv, €]]-Vertailu[[#This Row],[2019 rahoitus sis. hark. kor. + alv, €]],0)</f>
        <v>-12930</v>
      </c>
      <c r="P10" s="37">
        <f>IFERROR(Vertailu[[#This Row],[Muutos, € 3]]/Vertailu[[#This Row],[2019 rahoitus sis. hark. kor. + alv, €]],0)</f>
        <v>-4.0698042244756705E-3</v>
      </c>
    </row>
    <row r="11" spans="1:16" x14ac:dyDescent="0.25">
      <c r="A11" s="24" t="s">
        <v>404</v>
      </c>
      <c r="B11" s="143" t="s">
        <v>27</v>
      </c>
      <c r="C11" s="143" t="s">
        <v>236</v>
      </c>
      <c r="D11" s="144" t="s">
        <v>412</v>
      </c>
      <c r="E11" s="20">
        <f>IFERROR(VLOOKUP(Vertailu[[#This Row],[Y-tunnus]],'3.2 Suoritepäätös 2019'!$A:$S,COLUMN('3.2 Suoritepäätös 2019'!Q:Q),FALSE)-VLOOKUP(Vertailu[[#This Row],[Y-tunnus]],'3.2 Suoritepäätös 2019'!$A:$S,COLUMN('3.2 Suoritepäätös 2019'!L:L),FALSE),0)</f>
        <v>36099764</v>
      </c>
      <c r="F11" s="20">
        <f>IFERROR(VLOOKUP(Vertailu[[#This Row],[Y-tunnus]],'1.2 Ohjaus-laskentataulu'!A:AG,COLUMN('1.2 Ohjaus-laskentataulu'!Z:Z),FALSE),0)</f>
        <v>33937150</v>
      </c>
      <c r="G11" s="20">
        <f>IFERROR(Vertailu[[#This Row],[Simuloitu rahoitus pl. hark. kor. ilman alv, €]]-Vertailu[[#This Row],[2019 rahoitus pl. hark. kor. ilman alv, €]],0)</f>
        <v>-2162614</v>
      </c>
      <c r="H11" s="37">
        <f>IFERROR(Vertailu[[#This Row],[Muutos, € 1]]/Vertailu[[#This Row],[2019 rahoitus pl. hark. kor. ilman alv, €]],0)</f>
        <v>-5.9906596619301998E-2</v>
      </c>
      <c r="I11" s="132">
        <f>IFERROR(VLOOKUP(Vertailu[[#This Row],[Y-tunnus]],'3.2 Suoritepäätös 2019'!$A:$S,COLUMN('3.2 Suoritepäätös 2019'!Q:Q),FALSE),0)</f>
        <v>36099764</v>
      </c>
      <c r="J11" s="134">
        <f>IFERROR(VLOOKUP(Vertailu[[#This Row],[Y-tunnus]],'1.2 Ohjaus-laskentataulu'!A:AG,COLUMN('1.2 Ohjaus-laskentataulu'!AE:AE),FALSE),0)</f>
        <v>33937150</v>
      </c>
      <c r="K11" s="20">
        <f>IFERROR(Vertailu[[#This Row],[Simuloitu rahoitus sis. hark. kor. ilman alv, €]]-Vertailu[[#This Row],[2019 rahoitus sis. hark. kor. ilman alv, €]],0)</f>
        <v>-2162614</v>
      </c>
      <c r="L11" s="18">
        <f>IFERROR(Vertailu[[#This Row],[Muutos, € 2]]/Vertailu[[#This Row],[2019 rahoitus sis. hark. kor. ilman alv, €]],0)</f>
        <v>-5.9906596619301998E-2</v>
      </c>
      <c r="M11" s="134">
        <f>IFERROR(VLOOKUP(Vertailu[[#This Row],[Y-tunnus]],'3.2 Suoritepäätös 2019'!$A:$S,COLUMN('3.2 Suoritepäätös 2019'!Q:Q),FALSE)+VLOOKUP(Vertailu[[#This Row],[Y-tunnus]],'3.2 Suoritepäätös 2019'!$A:$S,COLUMN('3.2 Suoritepäätös 2019'!R:R),FALSE),0)</f>
        <v>38099584</v>
      </c>
      <c r="N11" s="132">
        <f>IFERROR(VLOOKUP(Vertailu[[#This Row],[Y-tunnus]],'1.2 Ohjaus-laskentataulu'!A:AG,COLUMN('1.2 Ohjaus-laskentataulu'!AG:AG),FALSE),0)</f>
        <v>36005774.130000003</v>
      </c>
      <c r="O11" s="142">
        <f>IFERROR(Vertailu[[#This Row],[Simuloitu rahoitus sis. hark. kor. + alv, €]]-Vertailu[[#This Row],[2019 rahoitus sis. hark. kor. + alv, €]],0)</f>
        <v>-2093809.8699999973</v>
      </c>
      <c r="P11" s="37">
        <f>IFERROR(Vertailu[[#This Row],[Muutos, € 3]]/Vertailu[[#This Row],[2019 rahoitus sis. hark. kor. + alv, €]],0)</f>
        <v>-5.495623967967727E-2</v>
      </c>
    </row>
    <row r="12" spans="1:16" x14ac:dyDescent="0.25">
      <c r="A12" s="24" t="s">
        <v>402</v>
      </c>
      <c r="B12" s="143" t="s">
        <v>207</v>
      </c>
      <c r="C12" s="143" t="s">
        <v>236</v>
      </c>
      <c r="D12" s="144" t="s">
        <v>412</v>
      </c>
      <c r="E12" s="20">
        <f>IFERROR(VLOOKUP(Vertailu[[#This Row],[Y-tunnus]],'3.2 Suoritepäätös 2019'!$A:$S,COLUMN('3.2 Suoritepäätös 2019'!Q:Q),FALSE)-VLOOKUP(Vertailu[[#This Row],[Y-tunnus]],'3.2 Suoritepäätös 2019'!$A:$S,COLUMN('3.2 Suoritepäätös 2019'!L:L),FALSE),0)</f>
        <v>388948</v>
      </c>
      <c r="F12" s="20">
        <f>IFERROR(VLOOKUP(Vertailu[[#This Row],[Y-tunnus]],'1.2 Ohjaus-laskentataulu'!A:AG,COLUMN('1.2 Ohjaus-laskentataulu'!Z:Z),FALSE),0)</f>
        <v>553134</v>
      </c>
      <c r="G12" s="20">
        <f>IFERROR(Vertailu[[#This Row],[Simuloitu rahoitus pl. hark. kor. ilman alv, €]]-Vertailu[[#This Row],[2019 rahoitus pl. hark. kor. ilman alv, €]],0)</f>
        <v>164186</v>
      </c>
      <c r="H12" s="37">
        <f>IFERROR(Vertailu[[#This Row],[Muutos, € 1]]/Vertailu[[#This Row],[2019 rahoitus pl. hark. kor. ilman alv, €]],0)</f>
        <v>0.42212840791056905</v>
      </c>
      <c r="I12" s="132">
        <f>IFERROR(VLOOKUP(Vertailu[[#This Row],[Y-tunnus]],'3.2 Suoritepäätös 2019'!$A:$S,COLUMN('3.2 Suoritepäätös 2019'!Q:Q),FALSE),0)</f>
        <v>388948</v>
      </c>
      <c r="J12" s="134">
        <f>IFERROR(VLOOKUP(Vertailu[[#This Row],[Y-tunnus]],'1.2 Ohjaus-laskentataulu'!A:AG,COLUMN('1.2 Ohjaus-laskentataulu'!AE:AE),FALSE),0)</f>
        <v>553134</v>
      </c>
      <c r="K12" s="20">
        <f>IFERROR(Vertailu[[#This Row],[Simuloitu rahoitus sis. hark. kor. ilman alv, €]]-Vertailu[[#This Row],[2019 rahoitus sis. hark. kor. ilman alv, €]],0)</f>
        <v>164186</v>
      </c>
      <c r="L12" s="18">
        <f>IFERROR(Vertailu[[#This Row],[Muutos, € 2]]/Vertailu[[#This Row],[2019 rahoitus sis. hark. kor. ilman alv, €]],0)</f>
        <v>0.42212840791056905</v>
      </c>
      <c r="M12" s="134">
        <f>IFERROR(VLOOKUP(Vertailu[[#This Row],[Y-tunnus]],'3.2 Suoritepäätös 2019'!$A:$S,COLUMN('3.2 Suoritepäätös 2019'!Q:Q),FALSE)+VLOOKUP(Vertailu[[#This Row],[Y-tunnus]],'3.2 Suoritepäätös 2019'!$A:$S,COLUMN('3.2 Suoritepäätös 2019'!R:R),FALSE),0)</f>
        <v>408572</v>
      </c>
      <c r="N12" s="132">
        <f>IFERROR(VLOOKUP(Vertailu[[#This Row],[Y-tunnus]],'1.2 Ohjaus-laskentataulu'!A:AG,COLUMN('1.2 Ohjaus-laskentataulu'!AG:AG),FALSE),0)</f>
        <v>590915.12</v>
      </c>
      <c r="O12" s="142">
        <f>IFERROR(Vertailu[[#This Row],[Simuloitu rahoitus sis. hark. kor. + alv, €]]-Vertailu[[#This Row],[2019 rahoitus sis. hark. kor. + alv, €]],0)</f>
        <v>182343.12</v>
      </c>
      <c r="P12" s="37">
        <f>IFERROR(Vertailu[[#This Row],[Muutos, € 3]]/Vertailu[[#This Row],[2019 rahoitus sis. hark. kor. + alv, €]],0)</f>
        <v>0.44629372546332102</v>
      </c>
    </row>
    <row r="13" spans="1:16" x14ac:dyDescent="0.25">
      <c r="A13" s="24" t="s">
        <v>401</v>
      </c>
      <c r="B13" s="143" t="s">
        <v>29</v>
      </c>
      <c r="C13" s="143" t="s">
        <v>236</v>
      </c>
      <c r="D13" s="144" t="s">
        <v>412</v>
      </c>
      <c r="E13" s="20">
        <f>IFERROR(VLOOKUP(Vertailu[[#This Row],[Y-tunnus]],'3.2 Suoritepäätös 2019'!$A:$S,COLUMN('3.2 Suoritepäätös 2019'!Q:Q),FALSE)-VLOOKUP(Vertailu[[#This Row],[Y-tunnus]],'3.2 Suoritepäätös 2019'!$A:$S,COLUMN('3.2 Suoritepäätös 2019'!L:L),FALSE),0)</f>
        <v>15741672</v>
      </c>
      <c r="F13" s="20">
        <f>IFERROR(VLOOKUP(Vertailu[[#This Row],[Y-tunnus]],'1.2 Ohjaus-laskentataulu'!A:AG,COLUMN('1.2 Ohjaus-laskentataulu'!Z:Z),FALSE),0)</f>
        <v>14504553</v>
      </c>
      <c r="G13" s="20">
        <f>IFERROR(Vertailu[[#This Row],[Simuloitu rahoitus pl. hark. kor. ilman alv, €]]-Vertailu[[#This Row],[2019 rahoitus pl. hark. kor. ilman alv, €]],0)</f>
        <v>-1237119</v>
      </c>
      <c r="H13" s="37">
        <f>IFERROR(Vertailu[[#This Row],[Muutos, € 1]]/Vertailu[[#This Row],[2019 rahoitus pl. hark. kor. ilman alv, €]],0)</f>
        <v>-7.858879285504107E-2</v>
      </c>
      <c r="I13" s="132">
        <f>IFERROR(VLOOKUP(Vertailu[[#This Row],[Y-tunnus]],'3.2 Suoritepäätös 2019'!$A:$S,COLUMN('3.2 Suoritepäätös 2019'!Q:Q),FALSE),0)</f>
        <v>15741672</v>
      </c>
      <c r="J13" s="134">
        <f>IFERROR(VLOOKUP(Vertailu[[#This Row],[Y-tunnus]],'1.2 Ohjaus-laskentataulu'!A:AG,COLUMN('1.2 Ohjaus-laskentataulu'!AE:AE),FALSE),0)</f>
        <v>14504553</v>
      </c>
      <c r="K13" s="20">
        <f>IFERROR(Vertailu[[#This Row],[Simuloitu rahoitus sis. hark. kor. ilman alv, €]]-Vertailu[[#This Row],[2019 rahoitus sis. hark. kor. ilman alv, €]],0)</f>
        <v>-1237119</v>
      </c>
      <c r="L13" s="18">
        <f>IFERROR(Vertailu[[#This Row],[Muutos, € 2]]/Vertailu[[#This Row],[2019 rahoitus sis. hark. kor. ilman alv, €]],0)</f>
        <v>-7.858879285504107E-2</v>
      </c>
      <c r="M13" s="134">
        <f>IFERROR(VLOOKUP(Vertailu[[#This Row],[Y-tunnus]],'3.2 Suoritepäätös 2019'!$A:$S,COLUMN('3.2 Suoritepäätös 2019'!Q:Q),FALSE)+VLOOKUP(Vertailu[[#This Row],[Y-tunnus]],'3.2 Suoritepäätös 2019'!$A:$S,COLUMN('3.2 Suoritepäätös 2019'!R:R),FALSE),0)</f>
        <v>16576127</v>
      </c>
      <c r="N13" s="132">
        <f>IFERROR(VLOOKUP(Vertailu[[#This Row],[Y-tunnus]],'1.2 Ohjaus-laskentataulu'!A:AG,COLUMN('1.2 Ohjaus-laskentataulu'!AG:AG),FALSE),0)</f>
        <v>15632290.58</v>
      </c>
      <c r="O13" s="142">
        <f>IFERROR(Vertailu[[#This Row],[Simuloitu rahoitus sis. hark. kor. + alv, €]]-Vertailu[[#This Row],[2019 rahoitus sis. hark. kor. + alv, €]],0)</f>
        <v>-943836.41999999993</v>
      </c>
      <c r="P13" s="37">
        <f>IFERROR(Vertailu[[#This Row],[Muutos, € 3]]/Vertailu[[#This Row],[2019 rahoitus sis. hark. kor. + alv, €]],0)</f>
        <v>-5.6939502213032026E-2</v>
      </c>
    </row>
    <row r="14" spans="1:16" x14ac:dyDescent="0.25">
      <c r="A14" s="24" t="s">
        <v>237</v>
      </c>
      <c r="B14" s="143" t="s">
        <v>208</v>
      </c>
      <c r="C14" s="143" t="s">
        <v>236</v>
      </c>
      <c r="D14" s="144" t="s">
        <v>412</v>
      </c>
      <c r="E14" s="20">
        <f>IFERROR(VLOOKUP(Vertailu[[#This Row],[Y-tunnus]],'3.2 Suoritepäätös 2019'!$A:$S,COLUMN('3.2 Suoritepäätös 2019'!Q:Q),FALSE)-VLOOKUP(Vertailu[[#This Row],[Y-tunnus]],'3.2 Suoritepäätös 2019'!$A:$S,COLUMN('3.2 Suoritepäätös 2019'!L:L),FALSE),0)</f>
        <v>23062806</v>
      </c>
      <c r="F14" s="20">
        <f>IFERROR(VLOOKUP(Vertailu[[#This Row],[Y-tunnus]],'1.2 Ohjaus-laskentataulu'!A:AG,COLUMN('1.2 Ohjaus-laskentataulu'!Z:Z),FALSE),0)</f>
        <v>22970723</v>
      </c>
      <c r="G14" s="20">
        <f>IFERROR(Vertailu[[#This Row],[Simuloitu rahoitus pl. hark. kor. ilman alv, €]]-Vertailu[[#This Row],[2019 rahoitus pl. hark. kor. ilman alv, €]],0)</f>
        <v>-92083</v>
      </c>
      <c r="H14" s="37">
        <f>IFERROR(Vertailu[[#This Row],[Muutos, € 1]]/Vertailu[[#This Row],[2019 rahoitus pl. hark. kor. ilman alv, €]],0)</f>
        <v>-3.9927058311985111E-3</v>
      </c>
      <c r="I14" s="132">
        <f>IFERROR(VLOOKUP(Vertailu[[#This Row],[Y-tunnus]],'3.2 Suoritepäätös 2019'!$A:$S,COLUMN('3.2 Suoritepäätös 2019'!Q:Q),FALSE),0)</f>
        <v>23062806</v>
      </c>
      <c r="J14" s="134">
        <f>IFERROR(VLOOKUP(Vertailu[[#This Row],[Y-tunnus]],'1.2 Ohjaus-laskentataulu'!A:AG,COLUMN('1.2 Ohjaus-laskentataulu'!AE:AE),FALSE),0)</f>
        <v>22970723</v>
      </c>
      <c r="K14" s="20">
        <f>IFERROR(Vertailu[[#This Row],[Simuloitu rahoitus sis. hark. kor. ilman alv, €]]-Vertailu[[#This Row],[2019 rahoitus sis. hark. kor. ilman alv, €]],0)</f>
        <v>-92083</v>
      </c>
      <c r="L14" s="18">
        <f>IFERROR(Vertailu[[#This Row],[Muutos, € 2]]/Vertailu[[#This Row],[2019 rahoitus sis. hark. kor. ilman alv, €]],0)</f>
        <v>-3.9927058311985111E-3</v>
      </c>
      <c r="M14" s="134">
        <f>IFERROR(VLOOKUP(Vertailu[[#This Row],[Y-tunnus]],'3.2 Suoritepäätös 2019'!$A:$S,COLUMN('3.2 Suoritepäätös 2019'!Q:Q),FALSE)+VLOOKUP(Vertailu[[#This Row],[Y-tunnus]],'3.2 Suoritepäätös 2019'!$A:$S,COLUMN('3.2 Suoritepäätös 2019'!R:R),FALSE),0)</f>
        <v>24289925</v>
      </c>
      <c r="N14" s="132">
        <f>IFERROR(VLOOKUP(Vertailu[[#This Row],[Y-tunnus]],'1.2 Ohjaus-laskentataulu'!A:AG,COLUMN('1.2 Ohjaus-laskentataulu'!AG:AG),FALSE),0)</f>
        <v>24385706.920000002</v>
      </c>
      <c r="O14" s="142">
        <f>IFERROR(Vertailu[[#This Row],[Simuloitu rahoitus sis. hark. kor. + alv, €]]-Vertailu[[#This Row],[2019 rahoitus sis. hark. kor. + alv, €]],0)</f>
        <v>95781.920000001788</v>
      </c>
      <c r="P14" s="37">
        <f>IFERROR(Vertailu[[#This Row],[Muutos, € 3]]/Vertailu[[#This Row],[2019 rahoitus sis. hark. kor. + alv, €]],0)</f>
        <v>3.9432777169959065E-3</v>
      </c>
    </row>
    <row r="15" spans="1:16" x14ac:dyDescent="0.25">
      <c r="A15" s="24" t="s">
        <v>399</v>
      </c>
      <c r="B15" s="143" t="s">
        <v>30</v>
      </c>
      <c r="C15" s="143" t="s">
        <v>236</v>
      </c>
      <c r="D15" s="144" t="s">
        <v>412</v>
      </c>
      <c r="E15" s="20">
        <f>IFERROR(VLOOKUP(Vertailu[[#This Row],[Y-tunnus]],'3.2 Suoritepäätös 2019'!$A:$S,COLUMN('3.2 Suoritepäätös 2019'!Q:Q),FALSE)-VLOOKUP(Vertailu[[#This Row],[Y-tunnus]],'3.2 Suoritepäätös 2019'!$A:$S,COLUMN('3.2 Suoritepäätös 2019'!L:L),FALSE),0)</f>
        <v>81755</v>
      </c>
      <c r="F15" s="20">
        <f>IFERROR(VLOOKUP(Vertailu[[#This Row],[Y-tunnus]],'1.2 Ohjaus-laskentataulu'!A:AG,COLUMN('1.2 Ohjaus-laskentataulu'!Z:Z),FALSE),0)</f>
        <v>39786</v>
      </c>
      <c r="G15" s="20">
        <f>IFERROR(Vertailu[[#This Row],[Simuloitu rahoitus pl. hark. kor. ilman alv, €]]-Vertailu[[#This Row],[2019 rahoitus pl. hark. kor. ilman alv, €]],0)</f>
        <v>-41969</v>
      </c>
      <c r="H15" s="37">
        <f>IFERROR(Vertailu[[#This Row],[Muutos, € 1]]/Vertailu[[#This Row],[2019 rahoitus pl. hark. kor. ilman alv, €]],0)</f>
        <v>-0.51335086539049601</v>
      </c>
      <c r="I15" s="132">
        <f>IFERROR(VLOOKUP(Vertailu[[#This Row],[Y-tunnus]],'3.2 Suoritepäätös 2019'!$A:$S,COLUMN('3.2 Suoritepäätös 2019'!Q:Q),FALSE),0)</f>
        <v>81755</v>
      </c>
      <c r="J15" s="134">
        <f>IFERROR(VLOOKUP(Vertailu[[#This Row],[Y-tunnus]],'1.2 Ohjaus-laskentataulu'!A:AG,COLUMN('1.2 Ohjaus-laskentataulu'!AE:AE),FALSE),0)</f>
        <v>39786</v>
      </c>
      <c r="K15" s="20">
        <f>IFERROR(Vertailu[[#This Row],[Simuloitu rahoitus sis. hark. kor. ilman alv, €]]-Vertailu[[#This Row],[2019 rahoitus sis. hark. kor. ilman alv, €]],0)</f>
        <v>-41969</v>
      </c>
      <c r="L15" s="18">
        <f>IFERROR(Vertailu[[#This Row],[Muutos, € 2]]/Vertailu[[#This Row],[2019 rahoitus sis. hark. kor. ilman alv, €]],0)</f>
        <v>-0.51335086539049601</v>
      </c>
      <c r="M15" s="134">
        <f>IFERROR(VLOOKUP(Vertailu[[#This Row],[Y-tunnus]],'3.2 Suoritepäätös 2019'!$A:$S,COLUMN('3.2 Suoritepäätös 2019'!Q:Q),FALSE)+VLOOKUP(Vertailu[[#This Row],[Y-tunnus]],'3.2 Suoritepäätös 2019'!$A:$S,COLUMN('3.2 Suoritepäätös 2019'!R:R),FALSE),0)</f>
        <v>86329</v>
      </c>
      <c r="N15" s="132">
        <f>IFERROR(VLOOKUP(Vertailu[[#This Row],[Y-tunnus]],'1.2 Ohjaus-laskentataulu'!A:AG,COLUMN('1.2 Ohjaus-laskentataulu'!AG:AG),FALSE),0)</f>
        <v>39786</v>
      </c>
      <c r="O15" s="142">
        <f>IFERROR(Vertailu[[#This Row],[Simuloitu rahoitus sis. hark. kor. + alv, €]]-Vertailu[[#This Row],[2019 rahoitus sis. hark. kor. + alv, €]],0)</f>
        <v>-46543</v>
      </c>
      <c r="P15" s="37">
        <f>IFERROR(Vertailu[[#This Row],[Muutos, € 3]]/Vertailu[[#This Row],[2019 rahoitus sis. hark. kor. + alv, €]],0)</f>
        <v>-0.53913516894670388</v>
      </c>
    </row>
    <row r="16" spans="1:16" x14ac:dyDescent="0.25">
      <c r="A16" s="24" t="s">
        <v>398</v>
      </c>
      <c r="B16" s="143" t="s">
        <v>31</v>
      </c>
      <c r="C16" s="143" t="s">
        <v>236</v>
      </c>
      <c r="D16" s="144" t="s">
        <v>411</v>
      </c>
      <c r="E16" s="20">
        <f>IFERROR(VLOOKUP(Vertailu[[#This Row],[Y-tunnus]],'3.2 Suoritepäätös 2019'!$A:$S,COLUMN('3.2 Suoritepäätös 2019'!Q:Q),FALSE)-VLOOKUP(Vertailu[[#This Row],[Y-tunnus]],'3.2 Suoritepäätös 2019'!$A:$S,COLUMN('3.2 Suoritepäätös 2019'!L:L),FALSE),0)</f>
        <v>55217946</v>
      </c>
      <c r="F16" s="20">
        <f>IFERROR(VLOOKUP(Vertailu[[#This Row],[Y-tunnus]],'1.2 Ohjaus-laskentataulu'!A:AG,COLUMN('1.2 Ohjaus-laskentataulu'!Z:Z),FALSE),0)</f>
        <v>53784551</v>
      </c>
      <c r="G16" s="20">
        <f>IFERROR(Vertailu[[#This Row],[Simuloitu rahoitus pl. hark. kor. ilman alv, €]]-Vertailu[[#This Row],[2019 rahoitus pl. hark. kor. ilman alv, €]],0)</f>
        <v>-1433395</v>
      </c>
      <c r="H16" s="37">
        <f>IFERROR(Vertailu[[#This Row],[Muutos, € 1]]/Vertailu[[#This Row],[2019 rahoitus pl. hark. kor. ilman alv, €]],0)</f>
        <v>-2.5958861273108567E-2</v>
      </c>
      <c r="I16" s="132">
        <f>IFERROR(VLOOKUP(Vertailu[[#This Row],[Y-tunnus]],'3.2 Suoritepäätös 2019'!$A:$S,COLUMN('3.2 Suoritepäätös 2019'!Q:Q),FALSE),0)</f>
        <v>55217946</v>
      </c>
      <c r="J16" s="134">
        <f>IFERROR(VLOOKUP(Vertailu[[#This Row],[Y-tunnus]],'1.2 Ohjaus-laskentataulu'!A:AG,COLUMN('1.2 Ohjaus-laskentataulu'!AE:AE),FALSE),0)</f>
        <v>53784551</v>
      </c>
      <c r="K16" s="20">
        <f>IFERROR(Vertailu[[#This Row],[Simuloitu rahoitus sis. hark. kor. ilman alv, €]]-Vertailu[[#This Row],[2019 rahoitus sis. hark. kor. ilman alv, €]],0)</f>
        <v>-1433395</v>
      </c>
      <c r="L16" s="18">
        <f>IFERROR(Vertailu[[#This Row],[Muutos, € 2]]/Vertailu[[#This Row],[2019 rahoitus sis. hark. kor. ilman alv, €]],0)</f>
        <v>-2.5958861273108567E-2</v>
      </c>
      <c r="M16" s="134">
        <f>IFERROR(VLOOKUP(Vertailu[[#This Row],[Y-tunnus]],'3.2 Suoritepäätös 2019'!$A:$S,COLUMN('3.2 Suoritepäätös 2019'!Q:Q),FALSE)+VLOOKUP(Vertailu[[#This Row],[Y-tunnus]],'3.2 Suoritepäätös 2019'!$A:$S,COLUMN('3.2 Suoritepäätös 2019'!R:R),FALSE),0)</f>
        <v>55217946</v>
      </c>
      <c r="N16" s="132">
        <f>IFERROR(VLOOKUP(Vertailu[[#This Row],[Y-tunnus]],'1.2 Ohjaus-laskentataulu'!A:AG,COLUMN('1.2 Ohjaus-laskentataulu'!AG:AG),FALSE),0)</f>
        <v>53784551</v>
      </c>
      <c r="O16" s="142">
        <f>IFERROR(Vertailu[[#This Row],[Simuloitu rahoitus sis. hark. kor. + alv, €]]-Vertailu[[#This Row],[2019 rahoitus sis. hark. kor. + alv, €]],0)</f>
        <v>-1433395</v>
      </c>
      <c r="P16" s="37">
        <f>IFERROR(Vertailu[[#This Row],[Muutos, € 3]]/Vertailu[[#This Row],[2019 rahoitus sis. hark. kor. + alv, €]],0)</f>
        <v>-2.5958861273108567E-2</v>
      </c>
    </row>
    <row r="17" spans="1:16" x14ac:dyDescent="0.25">
      <c r="A17" s="24" t="s">
        <v>397</v>
      </c>
      <c r="B17" s="143" t="s">
        <v>32</v>
      </c>
      <c r="C17" s="143" t="s">
        <v>396</v>
      </c>
      <c r="D17" s="144" t="s">
        <v>411</v>
      </c>
      <c r="E17" s="20">
        <f>IFERROR(VLOOKUP(Vertailu[[#This Row],[Y-tunnus]],'3.2 Suoritepäätös 2019'!$A:$S,COLUMN('3.2 Suoritepäätös 2019'!Q:Q),FALSE)-VLOOKUP(Vertailu[[#This Row],[Y-tunnus]],'3.2 Suoritepäätös 2019'!$A:$S,COLUMN('3.2 Suoritepäätös 2019'!L:L),FALSE),0)</f>
        <v>28730507</v>
      </c>
      <c r="F17" s="20">
        <f>IFERROR(VLOOKUP(Vertailu[[#This Row],[Y-tunnus]],'1.2 Ohjaus-laskentataulu'!A:AG,COLUMN('1.2 Ohjaus-laskentataulu'!Z:Z),FALSE),0)</f>
        <v>27474006</v>
      </c>
      <c r="G17" s="20">
        <f>IFERROR(Vertailu[[#This Row],[Simuloitu rahoitus pl. hark. kor. ilman alv, €]]-Vertailu[[#This Row],[2019 rahoitus pl. hark. kor. ilman alv, €]],0)</f>
        <v>-1256501</v>
      </c>
      <c r="H17" s="37">
        <f>IFERROR(Vertailu[[#This Row],[Muutos, € 1]]/Vertailu[[#This Row],[2019 rahoitus pl. hark. kor. ilman alv, €]],0)</f>
        <v>-4.3734035045048109E-2</v>
      </c>
      <c r="I17" s="132">
        <f>IFERROR(VLOOKUP(Vertailu[[#This Row],[Y-tunnus]],'3.2 Suoritepäätös 2019'!$A:$S,COLUMN('3.2 Suoritepäätös 2019'!Q:Q),FALSE),0)</f>
        <v>29180507</v>
      </c>
      <c r="J17" s="134">
        <f>IFERROR(VLOOKUP(Vertailu[[#This Row],[Y-tunnus]],'1.2 Ohjaus-laskentataulu'!A:AG,COLUMN('1.2 Ohjaus-laskentataulu'!AE:AE),FALSE),0)</f>
        <v>27474006</v>
      </c>
      <c r="K17" s="20">
        <f>IFERROR(Vertailu[[#This Row],[Simuloitu rahoitus sis. hark. kor. ilman alv, €]]-Vertailu[[#This Row],[2019 rahoitus sis. hark. kor. ilman alv, €]],0)</f>
        <v>-1706501</v>
      </c>
      <c r="L17" s="18">
        <f>IFERROR(Vertailu[[#This Row],[Muutos, € 2]]/Vertailu[[#This Row],[2019 rahoitus sis. hark. kor. ilman alv, €]],0)</f>
        <v>-5.8480855044773551E-2</v>
      </c>
      <c r="M17" s="134">
        <f>IFERROR(VLOOKUP(Vertailu[[#This Row],[Y-tunnus]],'3.2 Suoritepäätös 2019'!$A:$S,COLUMN('3.2 Suoritepäätös 2019'!Q:Q),FALSE)+VLOOKUP(Vertailu[[#This Row],[Y-tunnus]],'3.2 Suoritepäätös 2019'!$A:$S,COLUMN('3.2 Suoritepäätös 2019'!R:R),FALSE),0)</f>
        <v>29180507</v>
      </c>
      <c r="N17" s="132">
        <f>IFERROR(VLOOKUP(Vertailu[[#This Row],[Y-tunnus]],'1.2 Ohjaus-laskentataulu'!A:AG,COLUMN('1.2 Ohjaus-laskentataulu'!AG:AG),FALSE),0)</f>
        <v>27474006</v>
      </c>
      <c r="O17" s="142">
        <f>IFERROR(Vertailu[[#This Row],[Simuloitu rahoitus sis. hark. kor. + alv, €]]-Vertailu[[#This Row],[2019 rahoitus sis. hark. kor. + alv, €]],0)</f>
        <v>-1706501</v>
      </c>
      <c r="P17" s="37">
        <f>IFERROR(Vertailu[[#This Row],[Muutos, € 3]]/Vertailu[[#This Row],[2019 rahoitus sis. hark. kor. + alv, €]],0)</f>
        <v>-5.8480855044773551E-2</v>
      </c>
    </row>
    <row r="18" spans="1:16" x14ac:dyDescent="0.25">
      <c r="A18" s="24" t="s">
        <v>395</v>
      </c>
      <c r="B18" s="143" t="s">
        <v>33</v>
      </c>
      <c r="C18" s="143" t="s">
        <v>270</v>
      </c>
      <c r="D18" s="144" t="s">
        <v>412</v>
      </c>
      <c r="E18" s="20">
        <f>IFERROR(VLOOKUP(Vertailu[[#This Row],[Y-tunnus]],'3.2 Suoritepäätös 2019'!$A:$S,COLUMN('3.2 Suoritepäätös 2019'!Q:Q),FALSE)-VLOOKUP(Vertailu[[#This Row],[Y-tunnus]],'3.2 Suoritepäätös 2019'!$A:$S,COLUMN('3.2 Suoritepäätös 2019'!L:L),FALSE),0)</f>
        <v>26057939</v>
      </c>
      <c r="F18" s="20">
        <f>IFERROR(VLOOKUP(Vertailu[[#This Row],[Y-tunnus]],'1.2 Ohjaus-laskentataulu'!A:AG,COLUMN('1.2 Ohjaus-laskentataulu'!Z:Z),FALSE),0)</f>
        <v>25789357</v>
      </c>
      <c r="G18" s="20">
        <f>IFERROR(Vertailu[[#This Row],[Simuloitu rahoitus pl. hark. kor. ilman alv, €]]-Vertailu[[#This Row],[2019 rahoitus pl. hark. kor. ilman alv, €]],0)</f>
        <v>-268582</v>
      </c>
      <c r="H18" s="37">
        <f>IFERROR(Vertailu[[#This Row],[Muutos, € 1]]/Vertailu[[#This Row],[2019 rahoitus pl. hark. kor. ilman alv, €]],0)</f>
        <v>-1.0307108325029082E-2</v>
      </c>
      <c r="I18" s="132">
        <f>IFERROR(VLOOKUP(Vertailu[[#This Row],[Y-tunnus]],'3.2 Suoritepäätös 2019'!$A:$S,COLUMN('3.2 Suoritepäätös 2019'!Q:Q),FALSE),0)</f>
        <v>26057939</v>
      </c>
      <c r="J18" s="134">
        <f>IFERROR(VLOOKUP(Vertailu[[#This Row],[Y-tunnus]],'1.2 Ohjaus-laskentataulu'!A:AG,COLUMN('1.2 Ohjaus-laskentataulu'!AE:AE),FALSE),0)</f>
        <v>25789357</v>
      </c>
      <c r="K18" s="20">
        <f>IFERROR(Vertailu[[#This Row],[Simuloitu rahoitus sis. hark. kor. ilman alv, €]]-Vertailu[[#This Row],[2019 rahoitus sis. hark. kor. ilman alv, €]],0)</f>
        <v>-268582</v>
      </c>
      <c r="L18" s="18">
        <f>IFERROR(Vertailu[[#This Row],[Muutos, € 2]]/Vertailu[[#This Row],[2019 rahoitus sis. hark. kor. ilman alv, €]],0)</f>
        <v>-1.0307108325029082E-2</v>
      </c>
      <c r="M18" s="134">
        <f>IFERROR(VLOOKUP(Vertailu[[#This Row],[Y-tunnus]],'3.2 Suoritepäätös 2019'!$A:$S,COLUMN('3.2 Suoritepäätös 2019'!Q:Q),FALSE)+VLOOKUP(Vertailu[[#This Row],[Y-tunnus]],'3.2 Suoritepäätös 2019'!$A:$S,COLUMN('3.2 Suoritepäätös 2019'!R:R),FALSE),0)</f>
        <v>27431117</v>
      </c>
      <c r="N18" s="132">
        <f>IFERROR(VLOOKUP(Vertailu[[#This Row],[Y-tunnus]],'1.2 Ohjaus-laskentataulu'!A:AG,COLUMN('1.2 Ohjaus-laskentataulu'!AG:AG),FALSE),0)</f>
        <v>27391478.109999999</v>
      </c>
      <c r="O18" s="142">
        <f>IFERROR(Vertailu[[#This Row],[Simuloitu rahoitus sis. hark. kor. + alv, €]]-Vertailu[[#This Row],[2019 rahoitus sis. hark. kor. + alv, €]],0)</f>
        <v>-39638.890000000596</v>
      </c>
      <c r="P18" s="37">
        <f>IFERROR(Vertailu[[#This Row],[Muutos, € 3]]/Vertailu[[#This Row],[2019 rahoitus sis. hark. kor. + alv, €]],0)</f>
        <v>-1.4450337549141946E-3</v>
      </c>
    </row>
    <row r="19" spans="1:16" x14ac:dyDescent="0.25">
      <c r="A19" s="24" t="s">
        <v>394</v>
      </c>
      <c r="B19" s="143" t="s">
        <v>34</v>
      </c>
      <c r="C19" s="143" t="s">
        <v>285</v>
      </c>
      <c r="D19" s="144" t="s">
        <v>412</v>
      </c>
      <c r="E19" s="20">
        <f>IFERROR(VLOOKUP(Vertailu[[#This Row],[Y-tunnus]],'3.2 Suoritepäätös 2019'!$A:$S,COLUMN('3.2 Suoritepäätös 2019'!Q:Q),FALSE)-VLOOKUP(Vertailu[[#This Row],[Y-tunnus]],'3.2 Suoritepäätös 2019'!$A:$S,COLUMN('3.2 Suoritepäätös 2019'!L:L),FALSE),0)</f>
        <v>275780</v>
      </c>
      <c r="F19" s="20">
        <f>IFERROR(VLOOKUP(Vertailu[[#This Row],[Y-tunnus]],'1.2 Ohjaus-laskentataulu'!A:AG,COLUMN('1.2 Ohjaus-laskentataulu'!Z:Z),FALSE),0)</f>
        <v>276135</v>
      </c>
      <c r="G19" s="20">
        <f>IFERROR(Vertailu[[#This Row],[Simuloitu rahoitus pl. hark. kor. ilman alv, €]]-Vertailu[[#This Row],[2019 rahoitus pl. hark. kor. ilman alv, €]],0)</f>
        <v>355</v>
      </c>
      <c r="H19" s="37">
        <f>IFERROR(Vertailu[[#This Row],[Muutos, € 1]]/Vertailu[[#This Row],[2019 rahoitus pl. hark. kor. ilman alv, €]],0)</f>
        <v>1.2872579592428748E-3</v>
      </c>
      <c r="I19" s="132">
        <f>IFERROR(VLOOKUP(Vertailu[[#This Row],[Y-tunnus]],'3.2 Suoritepäätös 2019'!$A:$S,COLUMN('3.2 Suoritepäätös 2019'!Q:Q),FALSE),0)</f>
        <v>275780</v>
      </c>
      <c r="J19" s="134">
        <f>IFERROR(VLOOKUP(Vertailu[[#This Row],[Y-tunnus]],'1.2 Ohjaus-laskentataulu'!A:AG,COLUMN('1.2 Ohjaus-laskentataulu'!AE:AE),FALSE),0)</f>
        <v>276135</v>
      </c>
      <c r="K19" s="20">
        <f>IFERROR(Vertailu[[#This Row],[Simuloitu rahoitus sis. hark. kor. ilman alv, €]]-Vertailu[[#This Row],[2019 rahoitus sis. hark. kor. ilman alv, €]],0)</f>
        <v>355</v>
      </c>
      <c r="L19" s="18">
        <f>IFERROR(Vertailu[[#This Row],[Muutos, € 2]]/Vertailu[[#This Row],[2019 rahoitus sis. hark. kor. ilman alv, €]],0)</f>
        <v>1.2872579592428748E-3</v>
      </c>
      <c r="M19" s="134">
        <f>IFERROR(VLOOKUP(Vertailu[[#This Row],[Y-tunnus]],'3.2 Suoritepäätös 2019'!$A:$S,COLUMN('3.2 Suoritepäätös 2019'!Q:Q),FALSE)+VLOOKUP(Vertailu[[#This Row],[Y-tunnus]],'3.2 Suoritepäätös 2019'!$A:$S,COLUMN('3.2 Suoritepäätös 2019'!R:R),FALSE),0)</f>
        <v>290647</v>
      </c>
      <c r="N19" s="132">
        <f>IFERROR(VLOOKUP(Vertailu[[#This Row],[Y-tunnus]],'1.2 Ohjaus-laskentataulu'!A:AG,COLUMN('1.2 Ohjaus-laskentataulu'!AG:AG),FALSE),0)</f>
        <v>284005</v>
      </c>
      <c r="O19" s="142">
        <f>IFERROR(Vertailu[[#This Row],[Simuloitu rahoitus sis. hark. kor. + alv, €]]-Vertailu[[#This Row],[2019 rahoitus sis. hark. kor. + alv, €]],0)</f>
        <v>-6642</v>
      </c>
      <c r="P19" s="37">
        <f>IFERROR(Vertailu[[#This Row],[Muutos, € 3]]/Vertailu[[#This Row],[2019 rahoitus sis. hark. kor. + alv, €]],0)</f>
        <v>-2.2852463641461981E-2</v>
      </c>
    </row>
    <row r="20" spans="1:16" x14ac:dyDescent="0.25">
      <c r="A20" s="24" t="s">
        <v>393</v>
      </c>
      <c r="B20" s="143" t="s">
        <v>181</v>
      </c>
      <c r="C20" s="143" t="s">
        <v>236</v>
      </c>
      <c r="D20" s="144" t="s">
        <v>412</v>
      </c>
      <c r="E20" s="20">
        <f>IFERROR(VLOOKUP(Vertailu[[#This Row],[Y-tunnus]],'3.2 Suoritepäätös 2019'!$A:$S,COLUMN('3.2 Suoritepäätös 2019'!Q:Q),FALSE)-VLOOKUP(Vertailu[[#This Row],[Y-tunnus]],'3.2 Suoritepäätös 2019'!$A:$S,COLUMN('3.2 Suoritepäätös 2019'!L:L),FALSE),0)</f>
        <v>188036</v>
      </c>
      <c r="F20" s="20">
        <f>IFERROR(VLOOKUP(Vertailu[[#This Row],[Y-tunnus]],'1.2 Ohjaus-laskentataulu'!A:AG,COLUMN('1.2 Ohjaus-laskentataulu'!Z:Z),FALSE),0)</f>
        <v>0</v>
      </c>
      <c r="G20" s="20">
        <f>IFERROR(Vertailu[[#This Row],[Simuloitu rahoitus pl. hark. kor. ilman alv, €]]-Vertailu[[#This Row],[2019 rahoitus pl. hark. kor. ilman alv, €]],0)</f>
        <v>-188036</v>
      </c>
      <c r="H20" s="37">
        <f>IFERROR(Vertailu[[#This Row],[Muutos, € 1]]/Vertailu[[#This Row],[2019 rahoitus pl. hark. kor. ilman alv, €]],0)</f>
        <v>-1</v>
      </c>
      <c r="I20" s="132">
        <f>IFERROR(VLOOKUP(Vertailu[[#This Row],[Y-tunnus]],'3.2 Suoritepäätös 2019'!$A:$S,COLUMN('3.2 Suoritepäätös 2019'!Q:Q),FALSE),0)</f>
        <v>1213036</v>
      </c>
      <c r="J20" s="134">
        <f>IFERROR(VLOOKUP(Vertailu[[#This Row],[Y-tunnus]],'1.2 Ohjaus-laskentataulu'!A:AG,COLUMN('1.2 Ohjaus-laskentataulu'!AE:AE),FALSE),0)</f>
        <v>0</v>
      </c>
      <c r="K20" s="20">
        <f>IFERROR(Vertailu[[#This Row],[Simuloitu rahoitus sis. hark. kor. ilman alv, €]]-Vertailu[[#This Row],[2019 rahoitus sis. hark. kor. ilman alv, €]],0)</f>
        <v>-1213036</v>
      </c>
      <c r="L20" s="18">
        <f>IFERROR(Vertailu[[#This Row],[Muutos, € 2]]/Vertailu[[#This Row],[2019 rahoitus sis. hark. kor. ilman alv, €]],0)</f>
        <v>-1</v>
      </c>
      <c r="M20" s="134">
        <f>IFERROR(VLOOKUP(Vertailu[[#This Row],[Y-tunnus]],'3.2 Suoritepäätös 2019'!$A:$S,COLUMN('3.2 Suoritepäätös 2019'!Q:Q),FALSE)+VLOOKUP(Vertailu[[#This Row],[Y-tunnus]],'3.2 Suoritepäätös 2019'!$A:$S,COLUMN('3.2 Suoritepäätös 2019'!R:R),FALSE),0)</f>
        <v>1280908</v>
      </c>
      <c r="N20" s="132">
        <f>IFERROR(VLOOKUP(Vertailu[[#This Row],[Y-tunnus]],'1.2 Ohjaus-laskentataulu'!A:AG,COLUMN('1.2 Ohjaus-laskentataulu'!AG:AG),FALSE),0)</f>
        <v>188861.13</v>
      </c>
      <c r="O20" s="142">
        <f>IFERROR(Vertailu[[#This Row],[Simuloitu rahoitus sis. hark. kor. + alv, €]]-Vertailu[[#This Row],[2019 rahoitus sis. hark. kor. + alv, €]],0)</f>
        <v>-1092046.8700000001</v>
      </c>
      <c r="P20" s="37">
        <f>IFERROR(Vertailu[[#This Row],[Muutos, € 3]]/Vertailu[[#This Row],[2019 rahoitus sis. hark. kor. + alv, €]],0)</f>
        <v>-0.85255683468289689</v>
      </c>
    </row>
    <row r="21" spans="1:16" x14ac:dyDescent="0.25">
      <c r="A21" s="24" t="s">
        <v>392</v>
      </c>
      <c r="B21" s="143" t="s">
        <v>35</v>
      </c>
      <c r="C21" s="143" t="s">
        <v>236</v>
      </c>
      <c r="D21" s="144" t="s">
        <v>412</v>
      </c>
      <c r="E21" s="20">
        <f>IFERROR(VLOOKUP(Vertailu[[#This Row],[Y-tunnus]],'3.2 Suoritepäätös 2019'!$A:$S,COLUMN('3.2 Suoritepäätös 2019'!Q:Q),FALSE)-VLOOKUP(Vertailu[[#This Row],[Y-tunnus]],'3.2 Suoritepäätös 2019'!$A:$S,COLUMN('3.2 Suoritepäätös 2019'!L:L),FALSE),0)</f>
        <v>1674591</v>
      </c>
      <c r="F21" s="20">
        <f>IFERROR(VLOOKUP(Vertailu[[#This Row],[Y-tunnus]],'1.2 Ohjaus-laskentataulu'!A:AG,COLUMN('1.2 Ohjaus-laskentataulu'!Z:Z),FALSE),0)</f>
        <v>1623049</v>
      </c>
      <c r="G21" s="20">
        <f>IFERROR(Vertailu[[#This Row],[Simuloitu rahoitus pl. hark. kor. ilman alv, €]]-Vertailu[[#This Row],[2019 rahoitus pl. hark. kor. ilman alv, €]],0)</f>
        <v>-51542</v>
      </c>
      <c r="H21" s="37">
        <f>IFERROR(Vertailu[[#This Row],[Muutos, € 1]]/Vertailu[[#This Row],[2019 rahoitus pl. hark. kor. ilman alv, €]],0)</f>
        <v>-3.0778858837769939E-2</v>
      </c>
      <c r="I21" s="132">
        <f>IFERROR(VLOOKUP(Vertailu[[#This Row],[Y-tunnus]],'3.2 Suoritepäätös 2019'!$A:$S,COLUMN('3.2 Suoritepäätös 2019'!Q:Q),FALSE),0)</f>
        <v>1674591</v>
      </c>
      <c r="J21" s="134">
        <f>IFERROR(VLOOKUP(Vertailu[[#This Row],[Y-tunnus]],'1.2 Ohjaus-laskentataulu'!A:AG,COLUMN('1.2 Ohjaus-laskentataulu'!AE:AE),FALSE),0)</f>
        <v>1623049</v>
      </c>
      <c r="K21" s="20">
        <f>IFERROR(Vertailu[[#This Row],[Simuloitu rahoitus sis. hark. kor. ilman alv, €]]-Vertailu[[#This Row],[2019 rahoitus sis. hark. kor. ilman alv, €]],0)</f>
        <v>-51542</v>
      </c>
      <c r="L21" s="18">
        <f>IFERROR(Vertailu[[#This Row],[Muutos, € 2]]/Vertailu[[#This Row],[2019 rahoitus sis. hark. kor. ilman alv, €]],0)</f>
        <v>-3.0778858837769939E-2</v>
      </c>
      <c r="M21" s="134">
        <f>IFERROR(VLOOKUP(Vertailu[[#This Row],[Y-tunnus]],'3.2 Suoritepäätös 2019'!$A:$S,COLUMN('3.2 Suoritepäätös 2019'!Q:Q),FALSE)+VLOOKUP(Vertailu[[#This Row],[Y-tunnus]],'3.2 Suoritepäätös 2019'!$A:$S,COLUMN('3.2 Suoritepäätös 2019'!R:R),FALSE),0)</f>
        <v>1763288</v>
      </c>
      <c r="N21" s="132">
        <f>IFERROR(VLOOKUP(Vertailu[[#This Row],[Y-tunnus]],'1.2 Ohjaus-laskentataulu'!A:AG,COLUMN('1.2 Ohjaus-laskentataulu'!AG:AG),FALSE),0)</f>
        <v>1726066.15</v>
      </c>
      <c r="O21" s="142">
        <f>IFERROR(Vertailu[[#This Row],[Simuloitu rahoitus sis. hark. kor. + alv, €]]-Vertailu[[#This Row],[2019 rahoitus sis. hark. kor. + alv, €]],0)</f>
        <v>-37221.850000000093</v>
      </c>
      <c r="P21" s="37">
        <f>IFERROR(Vertailu[[#This Row],[Muutos, € 3]]/Vertailu[[#This Row],[2019 rahoitus sis. hark. kor. + alv, €]],0)</f>
        <v>-2.1109342319575754E-2</v>
      </c>
    </row>
    <row r="22" spans="1:16" x14ac:dyDescent="0.25">
      <c r="A22" s="24" t="s">
        <v>391</v>
      </c>
      <c r="B22" s="143" t="s">
        <v>209</v>
      </c>
      <c r="C22" s="143" t="s">
        <v>242</v>
      </c>
      <c r="D22" s="144" t="s">
        <v>412</v>
      </c>
      <c r="E22" s="20">
        <f>IFERROR(VLOOKUP(Vertailu[[#This Row],[Y-tunnus]],'3.2 Suoritepäätös 2019'!$A:$S,COLUMN('3.2 Suoritepäätös 2019'!Q:Q),FALSE)-VLOOKUP(Vertailu[[#This Row],[Y-tunnus]],'3.2 Suoritepäätös 2019'!$A:$S,COLUMN('3.2 Suoritepäätös 2019'!L:L),FALSE),0)</f>
        <v>291737</v>
      </c>
      <c r="F22" s="20">
        <f>IFERROR(VLOOKUP(Vertailu[[#This Row],[Y-tunnus]],'1.2 Ohjaus-laskentataulu'!A:AG,COLUMN('1.2 Ohjaus-laskentataulu'!Z:Z),FALSE),0)</f>
        <v>295191</v>
      </c>
      <c r="G22" s="20">
        <f>IFERROR(Vertailu[[#This Row],[Simuloitu rahoitus pl. hark. kor. ilman alv, €]]-Vertailu[[#This Row],[2019 rahoitus pl. hark. kor. ilman alv, €]],0)</f>
        <v>3454</v>
      </c>
      <c r="H22" s="37">
        <f>IFERROR(Vertailu[[#This Row],[Muutos, € 1]]/Vertailu[[#This Row],[2019 rahoitus pl. hark. kor. ilman alv, €]],0)</f>
        <v>1.1839430720134917E-2</v>
      </c>
      <c r="I22" s="132">
        <f>IFERROR(VLOOKUP(Vertailu[[#This Row],[Y-tunnus]],'3.2 Suoritepäätös 2019'!$A:$S,COLUMN('3.2 Suoritepäätös 2019'!Q:Q),FALSE),0)</f>
        <v>291737</v>
      </c>
      <c r="J22" s="134">
        <f>IFERROR(VLOOKUP(Vertailu[[#This Row],[Y-tunnus]],'1.2 Ohjaus-laskentataulu'!A:AG,COLUMN('1.2 Ohjaus-laskentataulu'!AE:AE),FALSE),0)</f>
        <v>295191</v>
      </c>
      <c r="K22" s="20">
        <f>IFERROR(Vertailu[[#This Row],[Simuloitu rahoitus sis. hark. kor. ilman alv, €]]-Vertailu[[#This Row],[2019 rahoitus sis. hark. kor. ilman alv, €]],0)</f>
        <v>3454</v>
      </c>
      <c r="L22" s="18">
        <f>IFERROR(Vertailu[[#This Row],[Muutos, € 2]]/Vertailu[[#This Row],[2019 rahoitus sis. hark. kor. ilman alv, €]],0)</f>
        <v>1.1839430720134917E-2</v>
      </c>
      <c r="M22" s="134">
        <f>IFERROR(VLOOKUP(Vertailu[[#This Row],[Y-tunnus]],'3.2 Suoritepäätös 2019'!$A:$S,COLUMN('3.2 Suoritepäätös 2019'!Q:Q),FALSE)+VLOOKUP(Vertailu[[#This Row],[Y-tunnus]],'3.2 Suoritepäätös 2019'!$A:$S,COLUMN('3.2 Suoritepäätös 2019'!R:R),FALSE),0)</f>
        <v>307198</v>
      </c>
      <c r="N22" s="132">
        <f>IFERROR(VLOOKUP(Vertailu[[#This Row],[Y-tunnus]],'1.2 Ohjaus-laskentataulu'!A:AG,COLUMN('1.2 Ohjaus-laskentataulu'!AG:AG),FALSE),0)</f>
        <v>295191</v>
      </c>
      <c r="O22" s="142">
        <f>IFERROR(Vertailu[[#This Row],[Simuloitu rahoitus sis. hark. kor. + alv, €]]-Vertailu[[#This Row],[2019 rahoitus sis. hark. kor. + alv, €]],0)</f>
        <v>-12007</v>
      </c>
      <c r="P22" s="37">
        <f>IFERROR(Vertailu[[#This Row],[Muutos, € 3]]/Vertailu[[#This Row],[2019 rahoitus sis. hark. kor. + alv, €]],0)</f>
        <v>-3.9085540921490372E-2</v>
      </c>
    </row>
    <row r="23" spans="1:16" x14ac:dyDescent="0.25">
      <c r="A23" s="24" t="s">
        <v>390</v>
      </c>
      <c r="B23" s="143" t="s">
        <v>153</v>
      </c>
      <c r="C23" s="143" t="s">
        <v>247</v>
      </c>
      <c r="D23" s="144" t="s">
        <v>412</v>
      </c>
      <c r="E23" s="20">
        <f>IFERROR(VLOOKUP(Vertailu[[#This Row],[Y-tunnus]],'3.2 Suoritepäätös 2019'!$A:$S,COLUMN('3.2 Suoritepäätös 2019'!Q:Q),FALSE)-VLOOKUP(Vertailu[[#This Row],[Y-tunnus]],'3.2 Suoritepäätös 2019'!$A:$S,COLUMN('3.2 Suoritepäätös 2019'!L:L),FALSE),0)</f>
        <v>306521</v>
      </c>
      <c r="F23" s="20">
        <f>IFERROR(VLOOKUP(Vertailu[[#This Row],[Y-tunnus]],'1.2 Ohjaus-laskentataulu'!A:AG,COLUMN('1.2 Ohjaus-laskentataulu'!Z:Z),FALSE),0)</f>
        <v>297727</v>
      </c>
      <c r="G23" s="20">
        <f>IFERROR(Vertailu[[#This Row],[Simuloitu rahoitus pl. hark. kor. ilman alv, €]]-Vertailu[[#This Row],[2019 rahoitus pl. hark. kor. ilman alv, €]],0)</f>
        <v>-8794</v>
      </c>
      <c r="H23" s="37">
        <f>IFERROR(Vertailu[[#This Row],[Muutos, € 1]]/Vertailu[[#This Row],[2019 rahoitus pl. hark. kor. ilman alv, €]],0)</f>
        <v>-2.8689714570942937E-2</v>
      </c>
      <c r="I23" s="132">
        <f>IFERROR(VLOOKUP(Vertailu[[#This Row],[Y-tunnus]],'3.2 Suoritepäätös 2019'!$A:$S,COLUMN('3.2 Suoritepäätös 2019'!Q:Q),FALSE),0)</f>
        <v>306521</v>
      </c>
      <c r="J23" s="134">
        <f>IFERROR(VLOOKUP(Vertailu[[#This Row],[Y-tunnus]],'1.2 Ohjaus-laskentataulu'!A:AG,COLUMN('1.2 Ohjaus-laskentataulu'!AE:AE),FALSE),0)</f>
        <v>297727</v>
      </c>
      <c r="K23" s="20">
        <f>IFERROR(Vertailu[[#This Row],[Simuloitu rahoitus sis. hark. kor. ilman alv, €]]-Vertailu[[#This Row],[2019 rahoitus sis. hark. kor. ilman alv, €]],0)</f>
        <v>-8794</v>
      </c>
      <c r="L23" s="18">
        <f>IFERROR(Vertailu[[#This Row],[Muutos, € 2]]/Vertailu[[#This Row],[2019 rahoitus sis. hark. kor. ilman alv, €]],0)</f>
        <v>-2.8689714570942937E-2</v>
      </c>
      <c r="M23" s="134">
        <f>IFERROR(VLOOKUP(Vertailu[[#This Row],[Y-tunnus]],'3.2 Suoritepäätös 2019'!$A:$S,COLUMN('3.2 Suoritepäätös 2019'!Q:Q),FALSE)+VLOOKUP(Vertailu[[#This Row],[Y-tunnus]],'3.2 Suoritepäätös 2019'!$A:$S,COLUMN('3.2 Suoritepäätös 2019'!R:R),FALSE),0)</f>
        <v>320381</v>
      </c>
      <c r="N23" s="132">
        <f>IFERROR(VLOOKUP(Vertailu[[#This Row],[Y-tunnus]],'1.2 Ohjaus-laskentataulu'!A:AG,COLUMN('1.2 Ohjaus-laskentataulu'!AG:AG),FALSE),0)</f>
        <v>297727</v>
      </c>
      <c r="O23" s="142">
        <f>IFERROR(Vertailu[[#This Row],[Simuloitu rahoitus sis. hark. kor. + alv, €]]-Vertailu[[#This Row],[2019 rahoitus sis. hark. kor. + alv, €]],0)</f>
        <v>-22654</v>
      </c>
      <c r="P23" s="37">
        <f>IFERROR(Vertailu[[#This Row],[Muutos, € 3]]/Vertailu[[#This Row],[2019 rahoitus sis. hark. kor. + alv, €]],0)</f>
        <v>-7.0709561428424286E-2</v>
      </c>
    </row>
    <row r="24" spans="1:16" x14ac:dyDescent="0.25">
      <c r="A24" s="24" t="s">
        <v>389</v>
      </c>
      <c r="B24" s="143" t="s">
        <v>36</v>
      </c>
      <c r="C24" s="143" t="s">
        <v>244</v>
      </c>
      <c r="D24" s="144" t="s">
        <v>412</v>
      </c>
      <c r="E24" s="20">
        <f>IFERROR(VLOOKUP(Vertailu[[#This Row],[Y-tunnus]],'3.2 Suoritepäätös 2019'!$A:$S,COLUMN('3.2 Suoritepäätös 2019'!Q:Q),FALSE)-VLOOKUP(Vertailu[[#This Row],[Y-tunnus]],'3.2 Suoritepäätös 2019'!$A:$S,COLUMN('3.2 Suoritepäätös 2019'!L:L),FALSE),0)</f>
        <v>1154191</v>
      </c>
      <c r="F24" s="20">
        <f>IFERROR(VLOOKUP(Vertailu[[#This Row],[Y-tunnus]],'1.2 Ohjaus-laskentataulu'!A:AG,COLUMN('1.2 Ohjaus-laskentataulu'!Z:Z),FALSE),0)</f>
        <v>1089785</v>
      </c>
      <c r="G24" s="20">
        <f>IFERROR(Vertailu[[#This Row],[Simuloitu rahoitus pl. hark. kor. ilman alv, €]]-Vertailu[[#This Row],[2019 rahoitus pl. hark. kor. ilman alv, €]],0)</f>
        <v>-64406</v>
      </c>
      <c r="H24" s="37">
        <f>IFERROR(Vertailu[[#This Row],[Muutos, € 1]]/Vertailu[[#This Row],[2019 rahoitus pl. hark. kor. ilman alv, €]],0)</f>
        <v>-5.5801856018631232E-2</v>
      </c>
      <c r="I24" s="132">
        <f>IFERROR(VLOOKUP(Vertailu[[#This Row],[Y-tunnus]],'3.2 Suoritepäätös 2019'!$A:$S,COLUMN('3.2 Suoritepäätös 2019'!Q:Q),FALSE),0)</f>
        <v>1154191</v>
      </c>
      <c r="J24" s="134">
        <f>IFERROR(VLOOKUP(Vertailu[[#This Row],[Y-tunnus]],'1.2 Ohjaus-laskentataulu'!A:AG,COLUMN('1.2 Ohjaus-laskentataulu'!AE:AE),FALSE),0)</f>
        <v>1089785</v>
      </c>
      <c r="K24" s="20">
        <f>IFERROR(Vertailu[[#This Row],[Simuloitu rahoitus sis. hark. kor. ilman alv, €]]-Vertailu[[#This Row],[2019 rahoitus sis. hark. kor. ilman alv, €]],0)</f>
        <v>-64406</v>
      </c>
      <c r="L24" s="18">
        <f>IFERROR(Vertailu[[#This Row],[Muutos, € 2]]/Vertailu[[#This Row],[2019 rahoitus sis. hark. kor. ilman alv, €]],0)</f>
        <v>-5.5801856018631232E-2</v>
      </c>
      <c r="M24" s="134">
        <f>IFERROR(VLOOKUP(Vertailu[[#This Row],[Y-tunnus]],'3.2 Suoritepäätös 2019'!$A:$S,COLUMN('3.2 Suoritepäätös 2019'!Q:Q),FALSE)+VLOOKUP(Vertailu[[#This Row],[Y-tunnus]],'3.2 Suoritepäätös 2019'!$A:$S,COLUMN('3.2 Suoritepäätös 2019'!R:R),FALSE),0)</f>
        <v>1216219</v>
      </c>
      <c r="N24" s="132">
        <f>IFERROR(VLOOKUP(Vertailu[[#This Row],[Y-tunnus]],'1.2 Ohjaus-laskentataulu'!A:AG,COLUMN('1.2 Ohjaus-laskentataulu'!AG:AG),FALSE),0)</f>
        <v>1159466.8999999999</v>
      </c>
      <c r="O24" s="142">
        <f>IFERROR(Vertailu[[#This Row],[Simuloitu rahoitus sis. hark. kor. + alv, €]]-Vertailu[[#This Row],[2019 rahoitus sis. hark. kor. + alv, €]],0)</f>
        <v>-56752.100000000093</v>
      </c>
      <c r="P24" s="37">
        <f>IFERROR(Vertailu[[#This Row],[Muutos, € 3]]/Vertailu[[#This Row],[2019 rahoitus sis. hark. kor. + alv, €]],0)</f>
        <v>-4.6662730971971406E-2</v>
      </c>
    </row>
    <row r="25" spans="1:16" x14ac:dyDescent="0.25">
      <c r="A25" s="24" t="s">
        <v>388</v>
      </c>
      <c r="B25" s="143" t="s">
        <v>37</v>
      </c>
      <c r="C25" s="143" t="s">
        <v>254</v>
      </c>
      <c r="D25" s="144" t="s">
        <v>412</v>
      </c>
      <c r="E25" s="20">
        <f>IFERROR(VLOOKUP(Vertailu[[#This Row],[Y-tunnus]],'3.2 Suoritepäätös 2019'!$A:$S,COLUMN('3.2 Suoritepäätös 2019'!Q:Q),FALSE)-VLOOKUP(Vertailu[[#This Row],[Y-tunnus]],'3.2 Suoritepäätös 2019'!$A:$S,COLUMN('3.2 Suoritepäätös 2019'!L:L),FALSE),0)</f>
        <v>2932574</v>
      </c>
      <c r="F25" s="20">
        <f>IFERROR(VLOOKUP(Vertailu[[#This Row],[Y-tunnus]],'1.2 Ohjaus-laskentataulu'!A:AG,COLUMN('1.2 Ohjaus-laskentataulu'!Z:Z),FALSE),0)</f>
        <v>2424368</v>
      </c>
      <c r="G25" s="20">
        <f>IFERROR(Vertailu[[#This Row],[Simuloitu rahoitus pl. hark. kor. ilman alv, €]]-Vertailu[[#This Row],[2019 rahoitus pl. hark. kor. ilman alv, €]],0)</f>
        <v>-508206</v>
      </c>
      <c r="H25" s="37">
        <f>IFERROR(Vertailu[[#This Row],[Muutos, € 1]]/Vertailu[[#This Row],[2019 rahoitus pl. hark. kor. ilman alv, €]],0)</f>
        <v>-0.17329690572173115</v>
      </c>
      <c r="I25" s="132">
        <f>IFERROR(VLOOKUP(Vertailu[[#This Row],[Y-tunnus]],'3.2 Suoritepäätös 2019'!$A:$S,COLUMN('3.2 Suoritepäätös 2019'!Q:Q),FALSE),0)</f>
        <v>2932574</v>
      </c>
      <c r="J25" s="134">
        <f>IFERROR(VLOOKUP(Vertailu[[#This Row],[Y-tunnus]],'1.2 Ohjaus-laskentataulu'!A:AG,COLUMN('1.2 Ohjaus-laskentataulu'!AE:AE),FALSE),0)</f>
        <v>2424368</v>
      </c>
      <c r="K25" s="20">
        <f>IFERROR(Vertailu[[#This Row],[Simuloitu rahoitus sis. hark. kor. ilman alv, €]]-Vertailu[[#This Row],[2019 rahoitus sis. hark. kor. ilman alv, €]],0)</f>
        <v>-508206</v>
      </c>
      <c r="L25" s="18">
        <f>IFERROR(Vertailu[[#This Row],[Muutos, € 2]]/Vertailu[[#This Row],[2019 rahoitus sis. hark. kor. ilman alv, €]],0)</f>
        <v>-0.17329690572173115</v>
      </c>
      <c r="M25" s="134">
        <f>IFERROR(VLOOKUP(Vertailu[[#This Row],[Y-tunnus]],'3.2 Suoritepäätös 2019'!$A:$S,COLUMN('3.2 Suoritepäätös 2019'!Q:Q),FALSE)+VLOOKUP(Vertailu[[#This Row],[Y-tunnus]],'3.2 Suoritepäätös 2019'!$A:$S,COLUMN('3.2 Suoritepäätös 2019'!R:R),FALSE),0)</f>
        <v>3090390</v>
      </c>
      <c r="N25" s="132">
        <f>IFERROR(VLOOKUP(Vertailu[[#This Row],[Y-tunnus]],'1.2 Ohjaus-laskentataulu'!A:AG,COLUMN('1.2 Ohjaus-laskentataulu'!AG:AG),FALSE),0)</f>
        <v>2641754.2400000002</v>
      </c>
      <c r="O25" s="142">
        <f>IFERROR(Vertailu[[#This Row],[Simuloitu rahoitus sis. hark. kor. + alv, €]]-Vertailu[[#This Row],[2019 rahoitus sis. hark. kor. + alv, €]],0)</f>
        <v>-448635.75999999978</v>
      </c>
      <c r="P25" s="37">
        <f>IFERROR(Vertailu[[#This Row],[Muutos, € 3]]/Vertailu[[#This Row],[2019 rahoitus sis. hark. kor. + alv, €]],0)</f>
        <v>-0.14517124375887824</v>
      </c>
    </row>
    <row r="26" spans="1:16" x14ac:dyDescent="0.25">
      <c r="A26" s="24" t="s">
        <v>387</v>
      </c>
      <c r="B26" s="143" t="s">
        <v>210</v>
      </c>
      <c r="C26" s="143" t="s">
        <v>236</v>
      </c>
      <c r="D26" s="144" t="s">
        <v>412</v>
      </c>
      <c r="E26" s="20">
        <f>IFERROR(VLOOKUP(Vertailu[[#This Row],[Y-tunnus]],'3.2 Suoritepäätös 2019'!$A:$S,COLUMN('3.2 Suoritepäätös 2019'!Q:Q),FALSE)-VLOOKUP(Vertailu[[#This Row],[Y-tunnus]],'3.2 Suoritepäätös 2019'!$A:$S,COLUMN('3.2 Suoritepäätös 2019'!L:L),FALSE),0)</f>
        <v>132346</v>
      </c>
      <c r="F26" s="20">
        <f>IFERROR(VLOOKUP(Vertailu[[#This Row],[Y-tunnus]],'1.2 Ohjaus-laskentataulu'!A:AG,COLUMN('1.2 Ohjaus-laskentataulu'!Z:Z),FALSE),0)</f>
        <v>53314</v>
      </c>
      <c r="G26" s="20">
        <f>IFERROR(Vertailu[[#This Row],[Simuloitu rahoitus pl. hark. kor. ilman alv, €]]-Vertailu[[#This Row],[2019 rahoitus pl. hark. kor. ilman alv, €]],0)</f>
        <v>-79032</v>
      </c>
      <c r="H26" s="37">
        <f>IFERROR(Vertailu[[#This Row],[Muutos, € 1]]/Vertailu[[#This Row],[2019 rahoitus pl. hark. kor. ilman alv, €]],0)</f>
        <v>-0.59716198449518687</v>
      </c>
      <c r="I26" s="132">
        <f>IFERROR(VLOOKUP(Vertailu[[#This Row],[Y-tunnus]],'3.2 Suoritepäätös 2019'!$A:$S,COLUMN('3.2 Suoritepäätös 2019'!Q:Q),FALSE),0)</f>
        <v>132346</v>
      </c>
      <c r="J26" s="134">
        <f>IFERROR(VLOOKUP(Vertailu[[#This Row],[Y-tunnus]],'1.2 Ohjaus-laskentataulu'!A:AG,COLUMN('1.2 Ohjaus-laskentataulu'!AE:AE),FALSE),0)</f>
        <v>53314</v>
      </c>
      <c r="K26" s="20">
        <f>IFERROR(Vertailu[[#This Row],[Simuloitu rahoitus sis. hark. kor. ilman alv, €]]-Vertailu[[#This Row],[2019 rahoitus sis. hark. kor. ilman alv, €]],0)</f>
        <v>-79032</v>
      </c>
      <c r="L26" s="18">
        <f>IFERROR(Vertailu[[#This Row],[Muutos, € 2]]/Vertailu[[#This Row],[2019 rahoitus sis. hark. kor. ilman alv, €]],0)</f>
        <v>-0.59716198449518687</v>
      </c>
      <c r="M26" s="134">
        <f>IFERROR(VLOOKUP(Vertailu[[#This Row],[Y-tunnus]],'3.2 Suoritepäätös 2019'!$A:$S,COLUMN('3.2 Suoritepäätös 2019'!Q:Q),FALSE)+VLOOKUP(Vertailu[[#This Row],[Y-tunnus]],'3.2 Suoritepäätös 2019'!$A:$S,COLUMN('3.2 Suoritepäätös 2019'!R:R),FALSE),0)</f>
        <v>139162</v>
      </c>
      <c r="N26" s="132">
        <f>IFERROR(VLOOKUP(Vertailu[[#This Row],[Y-tunnus]],'1.2 Ohjaus-laskentataulu'!A:AG,COLUMN('1.2 Ohjaus-laskentataulu'!AG:AG),FALSE),0)</f>
        <v>57680.36</v>
      </c>
      <c r="O26" s="142">
        <f>IFERROR(Vertailu[[#This Row],[Simuloitu rahoitus sis. hark. kor. + alv, €]]-Vertailu[[#This Row],[2019 rahoitus sis. hark. kor. + alv, €]],0)</f>
        <v>-81481.64</v>
      </c>
      <c r="P26" s="37">
        <f>IFERROR(Vertailu[[#This Row],[Muutos, € 3]]/Vertailu[[#This Row],[2019 rahoitus sis. hark. kor. + alv, €]],0)</f>
        <v>-0.58551644845575657</v>
      </c>
    </row>
    <row r="27" spans="1:16" x14ac:dyDescent="0.25">
      <c r="A27" s="24" t="s">
        <v>386</v>
      </c>
      <c r="B27" s="143" t="s">
        <v>38</v>
      </c>
      <c r="C27" s="143" t="s">
        <v>236</v>
      </c>
      <c r="D27" s="144" t="s">
        <v>413</v>
      </c>
      <c r="E27" s="20">
        <f>IFERROR(VLOOKUP(Vertailu[[#This Row],[Y-tunnus]],'3.2 Suoritepäätös 2019'!$A:$S,COLUMN('3.2 Suoritepäätös 2019'!Q:Q),FALSE)-VLOOKUP(Vertailu[[#This Row],[Y-tunnus]],'3.2 Suoritepäätös 2019'!$A:$S,COLUMN('3.2 Suoritepäätös 2019'!L:L),FALSE),0)</f>
        <v>84866296</v>
      </c>
      <c r="F27" s="20">
        <f>IFERROR(VLOOKUP(Vertailu[[#This Row],[Y-tunnus]],'1.2 Ohjaus-laskentataulu'!A:AG,COLUMN('1.2 Ohjaus-laskentataulu'!Z:Z),FALSE),0)</f>
        <v>79265150</v>
      </c>
      <c r="G27" s="20">
        <f>IFERROR(Vertailu[[#This Row],[Simuloitu rahoitus pl. hark. kor. ilman alv, €]]-Vertailu[[#This Row],[2019 rahoitus pl. hark. kor. ilman alv, €]],0)</f>
        <v>-5601146</v>
      </c>
      <c r="H27" s="37">
        <f>IFERROR(Vertailu[[#This Row],[Muutos, € 1]]/Vertailu[[#This Row],[2019 rahoitus pl. hark. kor. ilman alv, €]],0)</f>
        <v>-6.5999651970200274E-2</v>
      </c>
      <c r="I27" s="132">
        <f>IFERROR(VLOOKUP(Vertailu[[#This Row],[Y-tunnus]],'3.2 Suoritepäätös 2019'!$A:$S,COLUMN('3.2 Suoritepäätös 2019'!Q:Q),FALSE),0)</f>
        <v>85016296</v>
      </c>
      <c r="J27" s="134">
        <f>IFERROR(VLOOKUP(Vertailu[[#This Row],[Y-tunnus]],'1.2 Ohjaus-laskentataulu'!A:AG,COLUMN('1.2 Ohjaus-laskentataulu'!AE:AE),FALSE),0)</f>
        <v>79265150</v>
      </c>
      <c r="K27" s="20">
        <f>IFERROR(Vertailu[[#This Row],[Simuloitu rahoitus sis. hark. kor. ilman alv, €]]-Vertailu[[#This Row],[2019 rahoitus sis. hark. kor. ilman alv, €]],0)</f>
        <v>-5751146</v>
      </c>
      <c r="L27" s="18">
        <f>IFERROR(Vertailu[[#This Row],[Muutos, € 2]]/Vertailu[[#This Row],[2019 rahoitus sis. hark. kor. ilman alv, €]],0)</f>
        <v>-6.764757194314841E-2</v>
      </c>
      <c r="M27" s="134">
        <f>IFERROR(VLOOKUP(Vertailu[[#This Row],[Y-tunnus]],'3.2 Suoritepäätös 2019'!$A:$S,COLUMN('3.2 Suoritepäätös 2019'!Q:Q),FALSE)+VLOOKUP(Vertailu[[#This Row],[Y-tunnus]],'3.2 Suoritepäätös 2019'!$A:$S,COLUMN('3.2 Suoritepäätös 2019'!R:R),FALSE),0)</f>
        <v>85016296</v>
      </c>
      <c r="N27" s="132">
        <f>IFERROR(VLOOKUP(Vertailu[[#This Row],[Y-tunnus]],'1.2 Ohjaus-laskentataulu'!A:AG,COLUMN('1.2 Ohjaus-laskentataulu'!AG:AG),FALSE),0)</f>
        <v>79265150</v>
      </c>
      <c r="O27" s="142">
        <f>IFERROR(Vertailu[[#This Row],[Simuloitu rahoitus sis. hark. kor. + alv, €]]-Vertailu[[#This Row],[2019 rahoitus sis. hark. kor. + alv, €]],0)</f>
        <v>-5751146</v>
      </c>
      <c r="P27" s="37">
        <f>IFERROR(Vertailu[[#This Row],[Muutos, € 3]]/Vertailu[[#This Row],[2019 rahoitus sis. hark. kor. + alv, €]],0)</f>
        <v>-6.764757194314841E-2</v>
      </c>
    </row>
    <row r="28" spans="1:16" x14ac:dyDescent="0.25">
      <c r="A28" s="24" t="s">
        <v>382</v>
      </c>
      <c r="B28" s="143" t="s">
        <v>39</v>
      </c>
      <c r="C28" s="143" t="s">
        <v>236</v>
      </c>
      <c r="D28" s="144" t="s">
        <v>412</v>
      </c>
      <c r="E28" s="20">
        <f>IFERROR(VLOOKUP(Vertailu[[#This Row],[Y-tunnus]],'3.2 Suoritepäätös 2019'!$A:$S,COLUMN('3.2 Suoritepäätös 2019'!Q:Q),FALSE)-VLOOKUP(Vertailu[[#This Row],[Y-tunnus]],'3.2 Suoritepäätös 2019'!$A:$S,COLUMN('3.2 Suoritepäätös 2019'!L:L),FALSE),0)</f>
        <v>891895</v>
      </c>
      <c r="F28" s="20">
        <f>IFERROR(VLOOKUP(Vertailu[[#This Row],[Y-tunnus]],'1.2 Ohjaus-laskentataulu'!A:AG,COLUMN('1.2 Ohjaus-laskentataulu'!Z:Z),FALSE),0)</f>
        <v>935138</v>
      </c>
      <c r="G28" s="20">
        <f>IFERROR(Vertailu[[#This Row],[Simuloitu rahoitus pl. hark. kor. ilman alv, €]]-Vertailu[[#This Row],[2019 rahoitus pl. hark. kor. ilman alv, €]],0)</f>
        <v>43243</v>
      </c>
      <c r="H28" s="37">
        <f>IFERROR(Vertailu[[#This Row],[Muutos, € 1]]/Vertailu[[#This Row],[2019 rahoitus pl. hark. kor. ilman alv, €]],0)</f>
        <v>4.848440679676419E-2</v>
      </c>
      <c r="I28" s="132">
        <f>IFERROR(VLOOKUP(Vertailu[[#This Row],[Y-tunnus]],'3.2 Suoritepäätös 2019'!$A:$S,COLUMN('3.2 Suoritepäätös 2019'!Q:Q),FALSE),0)</f>
        <v>891895</v>
      </c>
      <c r="J28" s="134">
        <f>IFERROR(VLOOKUP(Vertailu[[#This Row],[Y-tunnus]],'1.2 Ohjaus-laskentataulu'!A:AG,COLUMN('1.2 Ohjaus-laskentataulu'!AE:AE),FALSE),0)</f>
        <v>935138</v>
      </c>
      <c r="K28" s="20">
        <f>IFERROR(Vertailu[[#This Row],[Simuloitu rahoitus sis. hark. kor. ilman alv, €]]-Vertailu[[#This Row],[2019 rahoitus sis. hark. kor. ilman alv, €]],0)</f>
        <v>43243</v>
      </c>
      <c r="L28" s="18">
        <f>IFERROR(Vertailu[[#This Row],[Muutos, € 2]]/Vertailu[[#This Row],[2019 rahoitus sis. hark. kor. ilman alv, €]],0)</f>
        <v>4.848440679676419E-2</v>
      </c>
      <c r="M28" s="134">
        <f>IFERROR(VLOOKUP(Vertailu[[#This Row],[Y-tunnus]],'3.2 Suoritepäätös 2019'!$A:$S,COLUMN('3.2 Suoritepäätös 2019'!Q:Q),FALSE)+VLOOKUP(Vertailu[[#This Row],[Y-tunnus]],'3.2 Suoritepäätös 2019'!$A:$S,COLUMN('3.2 Suoritepäätös 2019'!R:R),FALSE),0)</f>
        <v>938645</v>
      </c>
      <c r="N28" s="132">
        <f>IFERROR(VLOOKUP(Vertailu[[#This Row],[Y-tunnus]],'1.2 Ohjaus-laskentataulu'!A:AG,COLUMN('1.2 Ohjaus-laskentataulu'!AG:AG),FALSE),0)</f>
        <v>958915.62</v>
      </c>
      <c r="O28" s="142">
        <f>IFERROR(Vertailu[[#This Row],[Simuloitu rahoitus sis. hark. kor. + alv, €]]-Vertailu[[#This Row],[2019 rahoitus sis. hark. kor. + alv, €]],0)</f>
        <v>20270.619999999995</v>
      </c>
      <c r="P28" s="37">
        <f>IFERROR(Vertailu[[#This Row],[Muutos, € 3]]/Vertailu[[#This Row],[2019 rahoitus sis. hark. kor. + alv, €]],0)</f>
        <v>2.1595619217062888E-2</v>
      </c>
    </row>
    <row r="29" spans="1:16" x14ac:dyDescent="0.25">
      <c r="A29" s="24" t="s">
        <v>385</v>
      </c>
      <c r="B29" s="143" t="s">
        <v>40</v>
      </c>
      <c r="C29" s="143" t="s">
        <v>236</v>
      </c>
      <c r="D29" s="144" t="s">
        <v>412</v>
      </c>
      <c r="E29" s="20">
        <f>IFERROR(VLOOKUP(Vertailu[[#This Row],[Y-tunnus]],'3.2 Suoritepäätös 2019'!$A:$S,COLUMN('3.2 Suoritepäätös 2019'!Q:Q),FALSE)-VLOOKUP(Vertailu[[#This Row],[Y-tunnus]],'3.2 Suoritepäätös 2019'!$A:$S,COLUMN('3.2 Suoritepäätös 2019'!L:L),FALSE),0)</f>
        <v>13929086</v>
      </c>
      <c r="F29" s="20">
        <f>IFERROR(VLOOKUP(Vertailu[[#This Row],[Y-tunnus]],'1.2 Ohjaus-laskentataulu'!A:AG,COLUMN('1.2 Ohjaus-laskentataulu'!Z:Z),FALSE),0)</f>
        <v>13671781</v>
      </c>
      <c r="G29" s="20">
        <f>IFERROR(Vertailu[[#This Row],[Simuloitu rahoitus pl. hark. kor. ilman alv, €]]-Vertailu[[#This Row],[2019 rahoitus pl. hark. kor. ilman alv, €]],0)</f>
        <v>-257305</v>
      </c>
      <c r="H29" s="37">
        <f>IFERROR(Vertailu[[#This Row],[Muutos, € 1]]/Vertailu[[#This Row],[2019 rahoitus pl. hark. kor. ilman alv, €]],0)</f>
        <v>-1.847249704682705E-2</v>
      </c>
      <c r="I29" s="132">
        <f>IFERROR(VLOOKUP(Vertailu[[#This Row],[Y-tunnus]],'3.2 Suoritepäätös 2019'!$A:$S,COLUMN('3.2 Suoritepäätös 2019'!Q:Q),FALSE),0)</f>
        <v>13929086</v>
      </c>
      <c r="J29" s="134">
        <f>IFERROR(VLOOKUP(Vertailu[[#This Row],[Y-tunnus]],'1.2 Ohjaus-laskentataulu'!A:AG,COLUMN('1.2 Ohjaus-laskentataulu'!AE:AE),FALSE),0)</f>
        <v>13671781</v>
      </c>
      <c r="K29" s="20">
        <f>IFERROR(Vertailu[[#This Row],[Simuloitu rahoitus sis. hark. kor. ilman alv, €]]-Vertailu[[#This Row],[2019 rahoitus sis. hark. kor. ilman alv, €]],0)</f>
        <v>-257305</v>
      </c>
      <c r="L29" s="18">
        <f>IFERROR(Vertailu[[#This Row],[Muutos, € 2]]/Vertailu[[#This Row],[2019 rahoitus sis. hark. kor. ilman alv, €]],0)</f>
        <v>-1.847249704682705E-2</v>
      </c>
      <c r="M29" s="134">
        <f>IFERROR(VLOOKUP(Vertailu[[#This Row],[Y-tunnus]],'3.2 Suoritepäätös 2019'!$A:$S,COLUMN('3.2 Suoritepäätös 2019'!Q:Q),FALSE)+VLOOKUP(Vertailu[[#This Row],[Y-tunnus]],'3.2 Suoritepäätös 2019'!$A:$S,COLUMN('3.2 Suoritepäätös 2019'!R:R),FALSE),0)</f>
        <v>14651286</v>
      </c>
      <c r="N29" s="132">
        <f>IFERROR(VLOOKUP(Vertailu[[#This Row],[Y-tunnus]],'1.2 Ohjaus-laskentataulu'!A:AG,COLUMN('1.2 Ohjaus-laskentataulu'!AG:AG),FALSE),0)</f>
        <v>14862571.140000001</v>
      </c>
      <c r="O29" s="142">
        <f>IFERROR(Vertailu[[#This Row],[Simuloitu rahoitus sis. hark. kor. + alv, €]]-Vertailu[[#This Row],[2019 rahoitus sis. hark. kor. + alv, €]],0)</f>
        <v>211285.1400000006</v>
      </c>
      <c r="P29" s="37">
        <f>IFERROR(Vertailu[[#This Row],[Muutos, € 3]]/Vertailu[[#This Row],[2019 rahoitus sis. hark. kor. + alv, €]],0)</f>
        <v>1.4420927964958202E-2</v>
      </c>
    </row>
    <row r="30" spans="1:16" x14ac:dyDescent="0.25">
      <c r="A30" s="24" t="s">
        <v>384</v>
      </c>
      <c r="B30" s="143" t="s">
        <v>41</v>
      </c>
      <c r="C30" s="143" t="s">
        <v>236</v>
      </c>
      <c r="D30" s="144" t="s">
        <v>412</v>
      </c>
      <c r="E30" s="20">
        <f>IFERROR(VLOOKUP(Vertailu[[#This Row],[Y-tunnus]],'3.2 Suoritepäätös 2019'!$A:$S,COLUMN('3.2 Suoritepäätös 2019'!Q:Q),FALSE)-VLOOKUP(Vertailu[[#This Row],[Y-tunnus]],'3.2 Suoritepäätös 2019'!$A:$S,COLUMN('3.2 Suoritepäätös 2019'!L:L),FALSE),0)</f>
        <v>47264507</v>
      </c>
      <c r="F30" s="20">
        <f>IFERROR(VLOOKUP(Vertailu[[#This Row],[Y-tunnus]],'1.2 Ohjaus-laskentataulu'!A:AG,COLUMN('1.2 Ohjaus-laskentataulu'!Z:Z),FALSE),0)</f>
        <v>49191414</v>
      </c>
      <c r="G30" s="20">
        <f>IFERROR(Vertailu[[#This Row],[Simuloitu rahoitus pl. hark. kor. ilman alv, €]]-Vertailu[[#This Row],[2019 rahoitus pl. hark. kor. ilman alv, €]],0)</f>
        <v>1926907</v>
      </c>
      <c r="H30" s="37">
        <f>IFERROR(Vertailu[[#This Row],[Muutos, € 1]]/Vertailu[[#This Row],[2019 rahoitus pl. hark. kor. ilman alv, €]],0)</f>
        <v>4.0768583495433476E-2</v>
      </c>
      <c r="I30" s="132">
        <f>IFERROR(VLOOKUP(Vertailu[[#This Row],[Y-tunnus]],'3.2 Suoritepäätös 2019'!$A:$S,COLUMN('3.2 Suoritepäätös 2019'!Q:Q),FALSE),0)</f>
        <v>47264507</v>
      </c>
      <c r="J30" s="134">
        <f>IFERROR(VLOOKUP(Vertailu[[#This Row],[Y-tunnus]],'1.2 Ohjaus-laskentataulu'!A:AG,COLUMN('1.2 Ohjaus-laskentataulu'!AE:AE),FALSE),0)</f>
        <v>49191414</v>
      </c>
      <c r="K30" s="20">
        <f>IFERROR(Vertailu[[#This Row],[Simuloitu rahoitus sis. hark. kor. ilman alv, €]]-Vertailu[[#This Row],[2019 rahoitus sis. hark. kor. ilman alv, €]],0)</f>
        <v>1926907</v>
      </c>
      <c r="L30" s="18">
        <f>IFERROR(Vertailu[[#This Row],[Muutos, € 2]]/Vertailu[[#This Row],[2019 rahoitus sis. hark. kor. ilman alv, €]],0)</f>
        <v>4.0768583495433476E-2</v>
      </c>
      <c r="M30" s="134">
        <f>IFERROR(VLOOKUP(Vertailu[[#This Row],[Y-tunnus]],'3.2 Suoritepäätös 2019'!$A:$S,COLUMN('3.2 Suoritepäätös 2019'!Q:Q),FALSE)+VLOOKUP(Vertailu[[#This Row],[Y-tunnus]],'3.2 Suoritepäätös 2019'!$A:$S,COLUMN('3.2 Suoritepäätös 2019'!R:R),FALSE),0)</f>
        <v>49880768</v>
      </c>
      <c r="N30" s="132">
        <f>IFERROR(VLOOKUP(Vertailu[[#This Row],[Y-tunnus]],'1.2 Ohjaus-laskentataulu'!A:AG,COLUMN('1.2 Ohjaus-laskentataulu'!AG:AG),FALSE),0)</f>
        <v>51438958.93</v>
      </c>
      <c r="O30" s="142">
        <f>IFERROR(Vertailu[[#This Row],[Simuloitu rahoitus sis. hark. kor. + alv, €]]-Vertailu[[#This Row],[2019 rahoitus sis. hark. kor. + alv, €]],0)</f>
        <v>1558190.9299999997</v>
      </c>
      <c r="P30" s="37">
        <f>IFERROR(Vertailu[[#This Row],[Muutos, € 3]]/Vertailu[[#This Row],[2019 rahoitus sis. hark. kor. + alv, €]],0)</f>
        <v>3.1238310725287946E-2</v>
      </c>
    </row>
    <row r="31" spans="1:16" x14ac:dyDescent="0.25">
      <c r="A31" s="24" t="s">
        <v>383</v>
      </c>
      <c r="B31" s="143" t="s">
        <v>42</v>
      </c>
      <c r="C31" s="143" t="s">
        <v>332</v>
      </c>
      <c r="D31" s="144" t="s">
        <v>412</v>
      </c>
      <c r="E31" s="20">
        <f>IFERROR(VLOOKUP(Vertailu[[#This Row],[Y-tunnus]],'3.2 Suoritepäätös 2019'!$A:$S,COLUMN('3.2 Suoritepäätös 2019'!Q:Q),FALSE)-VLOOKUP(Vertailu[[#This Row],[Y-tunnus]],'3.2 Suoritepäätös 2019'!$A:$S,COLUMN('3.2 Suoritepäätös 2019'!L:L),FALSE),0)</f>
        <v>4470214</v>
      </c>
      <c r="F31" s="20">
        <f>IFERROR(VLOOKUP(Vertailu[[#This Row],[Y-tunnus]],'1.2 Ohjaus-laskentataulu'!A:AG,COLUMN('1.2 Ohjaus-laskentataulu'!Z:Z),FALSE),0)</f>
        <v>3556510</v>
      </c>
      <c r="G31" s="20">
        <f>IFERROR(Vertailu[[#This Row],[Simuloitu rahoitus pl. hark. kor. ilman alv, €]]-Vertailu[[#This Row],[2019 rahoitus pl. hark. kor. ilman alv, €]],0)</f>
        <v>-913704</v>
      </c>
      <c r="H31" s="37">
        <f>IFERROR(Vertailu[[#This Row],[Muutos, € 1]]/Vertailu[[#This Row],[2019 rahoitus pl. hark. kor. ilman alv, €]],0)</f>
        <v>-0.20439826818134435</v>
      </c>
      <c r="I31" s="132">
        <f>IFERROR(VLOOKUP(Vertailu[[#This Row],[Y-tunnus]],'3.2 Suoritepäätös 2019'!$A:$S,COLUMN('3.2 Suoritepäätös 2019'!Q:Q),FALSE),0)</f>
        <v>4470214</v>
      </c>
      <c r="J31" s="134">
        <f>IFERROR(VLOOKUP(Vertailu[[#This Row],[Y-tunnus]],'1.2 Ohjaus-laskentataulu'!A:AG,COLUMN('1.2 Ohjaus-laskentataulu'!AE:AE),FALSE),0)</f>
        <v>3556510</v>
      </c>
      <c r="K31" s="20">
        <f>IFERROR(Vertailu[[#This Row],[Simuloitu rahoitus sis. hark. kor. ilman alv, €]]-Vertailu[[#This Row],[2019 rahoitus sis. hark. kor. ilman alv, €]],0)</f>
        <v>-913704</v>
      </c>
      <c r="L31" s="18">
        <f>IFERROR(Vertailu[[#This Row],[Muutos, € 2]]/Vertailu[[#This Row],[2019 rahoitus sis. hark. kor. ilman alv, €]],0)</f>
        <v>-0.20439826818134435</v>
      </c>
      <c r="M31" s="134">
        <f>IFERROR(VLOOKUP(Vertailu[[#This Row],[Y-tunnus]],'3.2 Suoritepäätös 2019'!$A:$S,COLUMN('3.2 Suoritepäätös 2019'!Q:Q),FALSE)+VLOOKUP(Vertailu[[#This Row],[Y-tunnus]],'3.2 Suoritepäätös 2019'!$A:$S,COLUMN('3.2 Suoritepäätös 2019'!R:R),FALSE),0)</f>
        <v>4705977</v>
      </c>
      <c r="N31" s="132">
        <f>IFERROR(VLOOKUP(Vertailu[[#This Row],[Y-tunnus]],'1.2 Ohjaus-laskentataulu'!A:AG,COLUMN('1.2 Ohjaus-laskentataulu'!AG:AG),FALSE),0)</f>
        <v>3837670.74</v>
      </c>
      <c r="O31" s="142">
        <f>IFERROR(Vertailu[[#This Row],[Simuloitu rahoitus sis. hark. kor. + alv, €]]-Vertailu[[#This Row],[2019 rahoitus sis. hark. kor. + alv, €]],0)</f>
        <v>-868306.25999999978</v>
      </c>
      <c r="P31" s="37">
        <f>IFERROR(Vertailu[[#This Row],[Muutos, € 3]]/Vertailu[[#This Row],[2019 rahoitus sis. hark. kor. + alv, €]],0)</f>
        <v>-0.1845113692650856</v>
      </c>
    </row>
    <row r="32" spans="1:16" x14ac:dyDescent="0.25">
      <c r="A32" s="24" t="s">
        <v>380</v>
      </c>
      <c r="B32" s="143" t="s">
        <v>43</v>
      </c>
      <c r="C32" s="143" t="s">
        <v>236</v>
      </c>
      <c r="D32" s="144" t="s">
        <v>412</v>
      </c>
      <c r="E32" s="20">
        <f>IFERROR(VLOOKUP(Vertailu[[#This Row],[Y-tunnus]],'3.2 Suoritepäätös 2019'!$A:$S,COLUMN('3.2 Suoritepäätös 2019'!Q:Q),FALSE)-VLOOKUP(Vertailu[[#This Row],[Y-tunnus]],'3.2 Suoritepäätös 2019'!$A:$S,COLUMN('3.2 Suoritepäätös 2019'!L:L),FALSE),0)</f>
        <v>30690270</v>
      </c>
      <c r="F32" s="20">
        <f>IFERROR(VLOOKUP(Vertailu[[#This Row],[Y-tunnus]],'1.2 Ohjaus-laskentataulu'!A:AG,COLUMN('1.2 Ohjaus-laskentataulu'!Z:Z),FALSE),0)</f>
        <v>30292425</v>
      </c>
      <c r="G32" s="20">
        <f>IFERROR(Vertailu[[#This Row],[Simuloitu rahoitus pl. hark. kor. ilman alv, €]]-Vertailu[[#This Row],[2019 rahoitus pl. hark. kor. ilman alv, €]],0)</f>
        <v>-397845</v>
      </c>
      <c r="H32" s="37">
        <f>IFERROR(Vertailu[[#This Row],[Muutos, € 1]]/Vertailu[[#This Row],[2019 rahoitus pl. hark. kor. ilman alv, €]],0)</f>
        <v>-1.2963229062500916E-2</v>
      </c>
      <c r="I32" s="132">
        <f>IFERROR(VLOOKUP(Vertailu[[#This Row],[Y-tunnus]],'3.2 Suoritepäätös 2019'!$A:$S,COLUMN('3.2 Suoritepäätös 2019'!Q:Q),FALSE),0)</f>
        <v>30690270</v>
      </c>
      <c r="J32" s="134">
        <f>IFERROR(VLOOKUP(Vertailu[[#This Row],[Y-tunnus]],'1.2 Ohjaus-laskentataulu'!A:AG,COLUMN('1.2 Ohjaus-laskentataulu'!AE:AE),FALSE),0)</f>
        <v>30292425</v>
      </c>
      <c r="K32" s="20">
        <f>IFERROR(Vertailu[[#This Row],[Simuloitu rahoitus sis. hark. kor. ilman alv, €]]-Vertailu[[#This Row],[2019 rahoitus sis. hark. kor. ilman alv, €]],0)</f>
        <v>-397845</v>
      </c>
      <c r="L32" s="18">
        <f>IFERROR(Vertailu[[#This Row],[Muutos, € 2]]/Vertailu[[#This Row],[2019 rahoitus sis. hark. kor. ilman alv, €]],0)</f>
        <v>-1.2963229062500916E-2</v>
      </c>
      <c r="M32" s="134">
        <f>IFERROR(VLOOKUP(Vertailu[[#This Row],[Y-tunnus]],'3.2 Suoritepäätös 2019'!$A:$S,COLUMN('3.2 Suoritepäätös 2019'!Q:Q),FALSE)+VLOOKUP(Vertailu[[#This Row],[Y-tunnus]],'3.2 Suoritepäätös 2019'!$A:$S,COLUMN('3.2 Suoritepäätös 2019'!R:R),FALSE),0)</f>
        <v>32307124</v>
      </c>
      <c r="N32" s="132">
        <f>IFERROR(VLOOKUP(Vertailu[[#This Row],[Y-tunnus]],'1.2 Ohjaus-laskentataulu'!A:AG,COLUMN('1.2 Ohjaus-laskentataulu'!AG:AG),FALSE),0)</f>
        <v>31944616.050000001</v>
      </c>
      <c r="O32" s="142">
        <f>IFERROR(Vertailu[[#This Row],[Simuloitu rahoitus sis. hark. kor. + alv, €]]-Vertailu[[#This Row],[2019 rahoitus sis. hark. kor. + alv, €]],0)</f>
        <v>-362507.94999999925</v>
      </c>
      <c r="P32" s="37">
        <f>IFERROR(Vertailu[[#This Row],[Muutos, € 3]]/Vertailu[[#This Row],[2019 rahoitus sis. hark. kor. + alv, €]],0)</f>
        <v>-1.1220681543798182E-2</v>
      </c>
    </row>
    <row r="33" spans="1:16" x14ac:dyDescent="0.25">
      <c r="A33" s="24" t="s">
        <v>379</v>
      </c>
      <c r="B33" s="143" t="s">
        <v>44</v>
      </c>
      <c r="C33" s="143" t="s">
        <v>332</v>
      </c>
      <c r="D33" s="144" t="s">
        <v>412</v>
      </c>
      <c r="E33" s="20">
        <f>IFERROR(VLOOKUP(Vertailu[[#This Row],[Y-tunnus]],'3.2 Suoritepäätös 2019'!$A:$S,COLUMN('3.2 Suoritepäätös 2019'!Q:Q),FALSE)-VLOOKUP(Vertailu[[#This Row],[Y-tunnus]],'3.2 Suoritepäätös 2019'!$A:$S,COLUMN('3.2 Suoritepäätös 2019'!L:L),FALSE),0)</f>
        <v>5618640</v>
      </c>
      <c r="F33" s="20">
        <f>IFERROR(VLOOKUP(Vertailu[[#This Row],[Y-tunnus]],'1.2 Ohjaus-laskentataulu'!A:AG,COLUMN('1.2 Ohjaus-laskentataulu'!Z:Z),FALSE),0)</f>
        <v>5404678</v>
      </c>
      <c r="G33" s="20">
        <f>IFERROR(Vertailu[[#This Row],[Simuloitu rahoitus pl. hark. kor. ilman alv, €]]-Vertailu[[#This Row],[2019 rahoitus pl. hark. kor. ilman alv, €]],0)</f>
        <v>-213962</v>
      </c>
      <c r="H33" s="37">
        <f>IFERROR(Vertailu[[#This Row],[Muutos, € 1]]/Vertailu[[#This Row],[2019 rahoitus pl. hark. kor. ilman alv, €]],0)</f>
        <v>-3.808074551848846E-2</v>
      </c>
      <c r="I33" s="132">
        <f>IFERROR(VLOOKUP(Vertailu[[#This Row],[Y-tunnus]],'3.2 Suoritepäätös 2019'!$A:$S,COLUMN('3.2 Suoritepäätös 2019'!Q:Q),FALSE),0)</f>
        <v>5618640</v>
      </c>
      <c r="J33" s="134">
        <f>IFERROR(VLOOKUP(Vertailu[[#This Row],[Y-tunnus]],'1.2 Ohjaus-laskentataulu'!A:AG,COLUMN('1.2 Ohjaus-laskentataulu'!AE:AE),FALSE),0)</f>
        <v>5404678</v>
      </c>
      <c r="K33" s="20">
        <f>IFERROR(Vertailu[[#This Row],[Simuloitu rahoitus sis. hark. kor. ilman alv, €]]-Vertailu[[#This Row],[2019 rahoitus sis. hark. kor. ilman alv, €]],0)</f>
        <v>-213962</v>
      </c>
      <c r="L33" s="18">
        <f>IFERROR(Vertailu[[#This Row],[Muutos, € 2]]/Vertailu[[#This Row],[2019 rahoitus sis. hark. kor. ilman alv, €]],0)</f>
        <v>-3.808074551848846E-2</v>
      </c>
      <c r="M33" s="134">
        <f>IFERROR(VLOOKUP(Vertailu[[#This Row],[Y-tunnus]],'3.2 Suoritepäätös 2019'!$A:$S,COLUMN('3.2 Suoritepäätös 2019'!Q:Q),FALSE)+VLOOKUP(Vertailu[[#This Row],[Y-tunnus]],'3.2 Suoritepäätös 2019'!$A:$S,COLUMN('3.2 Suoritepäätös 2019'!R:R),FALSE),0)</f>
        <v>5917895</v>
      </c>
      <c r="N33" s="132">
        <f>IFERROR(VLOOKUP(Vertailu[[#This Row],[Y-tunnus]],'1.2 Ohjaus-laskentataulu'!A:AG,COLUMN('1.2 Ohjaus-laskentataulu'!AG:AG),FALSE),0)</f>
        <v>5814998.3099999996</v>
      </c>
      <c r="O33" s="142">
        <f>IFERROR(Vertailu[[#This Row],[Simuloitu rahoitus sis. hark. kor. + alv, €]]-Vertailu[[#This Row],[2019 rahoitus sis. hark. kor. + alv, €]],0)</f>
        <v>-102896.69000000041</v>
      </c>
      <c r="P33" s="37">
        <f>IFERROR(Vertailu[[#This Row],[Muutos, € 3]]/Vertailu[[#This Row],[2019 rahoitus sis. hark. kor. + alv, €]],0)</f>
        <v>-1.7387380141080638E-2</v>
      </c>
    </row>
    <row r="34" spans="1:16" x14ac:dyDescent="0.25">
      <c r="A34" s="24" t="s">
        <v>378</v>
      </c>
      <c r="B34" s="143" t="s">
        <v>45</v>
      </c>
      <c r="C34" s="143" t="s">
        <v>236</v>
      </c>
      <c r="D34" s="144" t="s">
        <v>412</v>
      </c>
      <c r="E34" s="20">
        <f>IFERROR(VLOOKUP(Vertailu[[#This Row],[Y-tunnus]],'3.2 Suoritepäätös 2019'!$A:$S,COLUMN('3.2 Suoritepäätös 2019'!Q:Q),FALSE)-VLOOKUP(Vertailu[[#This Row],[Y-tunnus]],'3.2 Suoritepäätös 2019'!$A:$S,COLUMN('3.2 Suoritepäätös 2019'!L:L),FALSE),0)</f>
        <v>27367165</v>
      </c>
      <c r="F34" s="20">
        <f>IFERROR(VLOOKUP(Vertailu[[#This Row],[Y-tunnus]],'1.2 Ohjaus-laskentataulu'!A:AG,COLUMN('1.2 Ohjaus-laskentataulu'!Z:Z),FALSE),0)</f>
        <v>28184929</v>
      </c>
      <c r="G34" s="20">
        <f>IFERROR(Vertailu[[#This Row],[Simuloitu rahoitus pl. hark. kor. ilman alv, €]]-Vertailu[[#This Row],[2019 rahoitus pl. hark. kor. ilman alv, €]],0)</f>
        <v>817764</v>
      </c>
      <c r="H34" s="37">
        <f>IFERROR(Vertailu[[#This Row],[Muutos, € 1]]/Vertailu[[#This Row],[2019 rahoitus pl. hark. kor. ilman alv, €]],0)</f>
        <v>2.9881209836678371E-2</v>
      </c>
      <c r="I34" s="132">
        <f>IFERROR(VLOOKUP(Vertailu[[#This Row],[Y-tunnus]],'3.2 Suoritepäätös 2019'!$A:$S,COLUMN('3.2 Suoritepäätös 2019'!Q:Q),FALSE),0)</f>
        <v>27367165</v>
      </c>
      <c r="J34" s="134">
        <f>IFERROR(VLOOKUP(Vertailu[[#This Row],[Y-tunnus]],'1.2 Ohjaus-laskentataulu'!A:AG,COLUMN('1.2 Ohjaus-laskentataulu'!AE:AE),FALSE),0)</f>
        <v>28184929</v>
      </c>
      <c r="K34" s="20">
        <f>IFERROR(Vertailu[[#This Row],[Simuloitu rahoitus sis. hark. kor. ilman alv, €]]-Vertailu[[#This Row],[2019 rahoitus sis. hark. kor. ilman alv, €]],0)</f>
        <v>817764</v>
      </c>
      <c r="L34" s="18">
        <f>IFERROR(Vertailu[[#This Row],[Muutos, € 2]]/Vertailu[[#This Row],[2019 rahoitus sis. hark. kor. ilman alv, €]],0)</f>
        <v>2.9881209836678371E-2</v>
      </c>
      <c r="M34" s="134">
        <f>IFERROR(VLOOKUP(Vertailu[[#This Row],[Y-tunnus]],'3.2 Suoritepäätös 2019'!$A:$S,COLUMN('3.2 Suoritepäätös 2019'!Q:Q),FALSE)+VLOOKUP(Vertailu[[#This Row],[Y-tunnus]],'3.2 Suoritepäätös 2019'!$A:$S,COLUMN('3.2 Suoritepäätös 2019'!R:R),FALSE),0)</f>
        <v>28881691</v>
      </c>
      <c r="N34" s="132">
        <f>IFERROR(VLOOKUP(Vertailu[[#This Row],[Y-tunnus]],'1.2 Ohjaus-laskentataulu'!A:AG,COLUMN('1.2 Ohjaus-laskentataulu'!AG:AG),FALSE),0)</f>
        <v>29432495.109999999</v>
      </c>
      <c r="O34" s="142">
        <f>IFERROR(Vertailu[[#This Row],[Simuloitu rahoitus sis. hark. kor. + alv, €]]-Vertailu[[#This Row],[2019 rahoitus sis. hark. kor. + alv, €]],0)</f>
        <v>550804.1099999994</v>
      </c>
      <c r="P34" s="37">
        <f>IFERROR(Vertailu[[#This Row],[Muutos, € 3]]/Vertailu[[#This Row],[2019 rahoitus sis. hark. kor. + alv, €]],0)</f>
        <v>1.9071047813647733E-2</v>
      </c>
    </row>
    <row r="35" spans="1:16" x14ac:dyDescent="0.25">
      <c r="A35" s="24" t="s">
        <v>377</v>
      </c>
      <c r="B35" s="143" t="s">
        <v>46</v>
      </c>
      <c r="C35" s="143" t="s">
        <v>270</v>
      </c>
      <c r="D35" s="144" t="s">
        <v>412</v>
      </c>
      <c r="E35" s="20">
        <f>IFERROR(VLOOKUP(Vertailu[[#This Row],[Y-tunnus]],'3.2 Suoritepäätös 2019'!$A:$S,COLUMN('3.2 Suoritepäätös 2019'!Q:Q),FALSE)-VLOOKUP(Vertailu[[#This Row],[Y-tunnus]],'3.2 Suoritepäätös 2019'!$A:$S,COLUMN('3.2 Suoritepäätös 2019'!L:L),FALSE),0)</f>
        <v>396241</v>
      </c>
      <c r="F35" s="20">
        <f>IFERROR(VLOOKUP(Vertailu[[#This Row],[Y-tunnus]],'1.2 Ohjaus-laskentataulu'!A:AG,COLUMN('1.2 Ohjaus-laskentataulu'!Z:Z),FALSE),0)</f>
        <v>464325</v>
      </c>
      <c r="G35" s="20">
        <f>IFERROR(Vertailu[[#This Row],[Simuloitu rahoitus pl. hark. kor. ilman alv, €]]-Vertailu[[#This Row],[2019 rahoitus pl. hark. kor. ilman alv, €]],0)</f>
        <v>68084</v>
      </c>
      <c r="H35" s="37">
        <f>IFERROR(Vertailu[[#This Row],[Muutos, € 1]]/Vertailu[[#This Row],[2019 rahoitus pl. hark. kor. ilman alv, €]],0)</f>
        <v>0.17182472283282144</v>
      </c>
      <c r="I35" s="132">
        <f>IFERROR(VLOOKUP(Vertailu[[#This Row],[Y-tunnus]],'3.2 Suoritepäätös 2019'!$A:$S,COLUMN('3.2 Suoritepäätös 2019'!Q:Q),FALSE),0)</f>
        <v>396241</v>
      </c>
      <c r="J35" s="134">
        <f>IFERROR(VLOOKUP(Vertailu[[#This Row],[Y-tunnus]],'1.2 Ohjaus-laskentataulu'!A:AG,COLUMN('1.2 Ohjaus-laskentataulu'!AE:AE),FALSE),0)</f>
        <v>464325</v>
      </c>
      <c r="K35" s="20">
        <f>IFERROR(Vertailu[[#This Row],[Simuloitu rahoitus sis. hark. kor. ilman alv, €]]-Vertailu[[#This Row],[2019 rahoitus sis. hark. kor. ilman alv, €]],0)</f>
        <v>68084</v>
      </c>
      <c r="L35" s="18">
        <f>IFERROR(Vertailu[[#This Row],[Muutos, € 2]]/Vertailu[[#This Row],[2019 rahoitus sis. hark. kor. ilman alv, €]],0)</f>
        <v>0.17182472283282144</v>
      </c>
      <c r="M35" s="134">
        <f>IFERROR(VLOOKUP(Vertailu[[#This Row],[Y-tunnus]],'3.2 Suoritepäätös 2019'!$A:$S,COLUMN('3.2 Suoritepäätös 2019'!Q:Q),FALSE)+VLOOKUP(Vertailu[[#This Row],[Y-tunnus]],'3.2 Suoritepäätös 2019'!$A:$S,COLUMN('3.2 Suoritepäätös 2019'!R:R),FALSE),0)</f>
        <v>417420</v>
      </c>
      <c r="N35" s="132">
        <f>IFERROR(VLOOKUP(Vertailu[[#This Row],[Y-tunnus]],'1.2 Ohjaus-laskentataulu'!A:AG,COLUMN('1.2 Ohjaus-laskentataulu'!AG:AG),FALSE),0)</f>
        <v>495140</v>
      </c>
      <c r="O35" s="142">
        <f>IFERROR(Vertailu[[#This Row],[Simuloitu rahoitus sis. hark. kor. + alv, €]]-Vertailu[[#This Row],[2019 rahoitus sis. hark. kor. + alv, €]],0)</f>
        <v>77720</v>
      </c>
      <c r="P35" s="37">
        <f>IFERROR(Vertailu[[#This Row],[Muutos, € 3]]/Vertailu[[#This Row],[2019 rahoitus sis. hark. kor. + alv, €]],0)</f>
        <v>0.18619136601025346</v>
      </c>
    </row>
    <row r="36" spans="1:16" x14ac:dyDescent="0.25">
      <c r="A36" s="24" t="s">
        <v>376</v>
      </c>
      <c r="B36" s="143" t="s">
        <v>47</v>
      </c>
      <c r="C36" s="143" t="s">
        <v>270</v>
      </c>
      <c r="D36" s="144" t="s">
        <v>411</v>
      </c>
      <c r="E36" s="20">
        <f>IFERROR(VLOOKUP(Vertailu[[#This Row],[Y-tunnus]],'3.2 Suoritepäätös 2019'!$A:$S,COLUMN('3.2 Suoritepäätös 2019'!Q:Q),FALSE)-VLOOKUP(Vertailu[[#This Row],[Y-tunnus]],'3.2 Suoritepäätös 2019'!$A:$S,COLUMN('3.2 Suoritepäätös 2019'!L:L),FALSE),0)</f>
        <v>13363895</v>
      </c>
      <c r="F36" s="20">
        <f>IFERROR(VLOOKUP(Vertailu[[#This Row],[Y-tunnus]],'1.2 Ohjaus-laskentataulu'!A:AG,COLUMN('1.2 Ohjaus-laskentataulu'!Z:Z),FALSE),0)</f>
        <v>13810182</v>
      </c>
      <c r="G36" s="20">
        <f>IFERROR(Vertailu[[#This Row],[Simuloitu rahoitus pl. hark. kor. ilman alv, €]]-Vertailu[[#This Row],[2019 rahoitus pl. hark. kor. ilman alv, €]],0)</f>
        <v>446287</v>
      </c>
      <c r="H36" s="37">
        <f>IFERROR(Vertailu[[#This Row],[Muutos, € 1]]/Vertailu[[#This Row],[2019 rahoitus pl. hark. kor. ilman alv, €]],0)</f>
        <v>3.3394979532538976E-2</v>
      </c>
      <c r="I36" s="132">
        <f>IFERROR(VLOOKUP(Vertailu[[#This Row],[Y-tunnus]],'3.2 Suoritepäätös 2019'!$A:$S,COLUMN('3.2 Suoritepäätös 2019'!Q:Q),FALSE),0)</f>
        <v>13363895</v>
      </c>
      <c r="J36" s="134">
        <f>IFERROR(VLOOKUP(Vertailu[[#This Row],[Y-tunnus]],'1.2 Ohjaus-laskentataulu'!A:AG,COLUMN('1.2 Ohjaus-laskentataulu'!AE:AE),FALSE),0)</f>
        <v>13810182</v>
      </c>
      <c r="K36" s="20">
        <f>IFERROR(Vertailu[[#This Row],[Simuloitu rahoitus sis. hark. kor. ilman alv, €]]-Vertailu[[#This Row],[2019 rahoitus sis. hark. kor. ilman alv, €]],0)</f>
        <v>446287</v>
      </c>
      <c r="L36" s="18">
        <f>IFERROR(Vertailu[[#This Row],[Muutos, € 2]]/Vertailu[[#This Row],[2019 rahoitus sis. hark. kor. ilman alv, €]],0)</f>
        <v>3.3394979532538976E-2</v>
      </c>
      <c r="M36" s="134">
        <f>IFERROR(VLOOKUP(Vertailu[[#This Row],[Y-tunnus]],'3.2 Suoritepäätös 2019'!$A:$S,COLUMN('3.2 Suoritepäätös 2019'!Q:Q),FALSE)+VLOOKUP(Vertailu[[#This Row],[Y-tunnus]],'3.2 Suoritepäätös 2019'!$A:$S,COLUMN('3.2 Suoritepäätös 2019'!R:R),FALSE),0)</f>
        <v>13363895</v>
      </c>
      <c r="N36" s="132">
        <f>IFERROR(VLOOKUP(Vertailu[[#This Row],[Y-tunnus]],'1.2 Ohjaus-laskentataulu'!A:AG,COLUMN('1.2 Ohjaus-laskentataulu'!AG:AG),FALSE),0)</f>
        <v>13810182</v>
      </c>
      <c r="O36" s="142">
        <f>IFERROR(Vertailu[[#This Row],[Simuloitu rahoitus sis. hark. kor. + alv, €]]-Vertailu[[#This Row],[2019 rahoitus sis. hark. kor. + alv, €]],0)</f>
        <v>446287</v>
      </c>
      <c r="P36" s="37">
        <f>IFERROR(Vertailu[[#This Row],[Muutos, € 3]]/Vertailu[[#This Row],[2019 rahoitus sis. hark. kor. + alv, €]],0)</f>
        <v>3.3394979532538976E-2</v>
      </c>
    </row>
    <row r="37" spans="1:16" x14ac:dyDescent="0.25">
      <c r="A37" s="24" t="s">
        <v>375</v>
      </c>
      <c r="B37" s="143" t="s">
        <v>48</v>
      </c>
      <c r="C37" s="143" t="s">
        <v>315</v>
      </c>
      <c r="D37" s="144" t="s">
        <v>412</v>
      </c>
      <c r="E37" s="20">
        <f>IFERROR(VLOOKUP(Vertailu[[#This Row],[Y-tunnus]],'3.2 Suoritepäätös 2019'!$A:$S,COLUMN('3.2 Suoritepäätös 2019'!Q:Q),FALSE)-VLOOKUP(Vertailu[[#This Row],[Y-tunnus]],'3.2 Suoritepäätös 2019'!$A:$S,COLUMN('3.2 Suoritepäätös 2019'!L:L),FALSE),0)</f>
        <v>484957</v>
      </c>
      <c r="F37" s="20">
        <f>IFERROR(VLOOKUP(Vertailu[[#This Row],[Y-tunnus]],'1.2 Ohjaus-laskentataulu'!A:AG,COLUMN('1.2 Ohjaus-laskentataulu'!Z:Z),FALSE),0)</f>
        <v>564184</v>
      </c>
      <c r="G37" s="20">
        <f>IFERROR(Vertailu[[#This Row],[Simuloitu rahoitus pl. hark. kor. ilman alv, €]]-Vertailu[[#This Row],[2019 rahoitus pl. hark. kor. ilman alv, €]],0)</f>
        <v>79227</v>
      </c>
      <c r="H37" s="37">
        <f>IFERROR(Vertailu[[#This Row],[Muutos, € 1]]/Vertailu[[#This Row],[2019 rahoitus pl. hark. kor. ilman alv, €]],0)</f>
        <v>0.16336912344805829</v>
      </c>
      <c r="I37" s="132">
        <f>IFERROR(VLOOKUP(Vertailu[[#This Row],[Y-tunnus]],'3.2 Suoritepäätös 2019'!$A:$S,COLUMN('3.2 Suoritepäätös 2019'!Q:Q),FALSE),0)</f>
        <v>484957</v>
      </c>
      <c r="J37" s="134">
        <f>IFERROR(VLOOKUP(Vertailu[[#This Row],[Y-tunnus]],'1.2 Ohjaus-laskentataulu'!A:AG,COLUMN('1.2 Ohjaus-laskentataulu'!AE:AE),FALSE),0)</f>
        <v>564184</v>
      </c>
      <c r="K37" s="20">
        <f>IFERROR(Vertailu[[#This Row],[Simuloitu rahoitus sis. hark. kor. ilman alv, €]]-Vertailu[[#This Row],[2019 rahoitus sis. hark. kor. ilman alv, €]],0)</f>
        <v>79227</v>
      </c>
      <c r="L37" s="18">
        <f>IFERROR(Vertailu[[#This Row],[Muutos, € 2]]/Vertailu[[#This Row],[2019 rahoitus sis. hark. kor. ilman alv, €]],0)</f>
        <v>0.16336912344805829</v>
      </c>
      <c r="M37" s="134">
        <f>IFERROR(VLOOKUP(Vertailu[[#This Row],[Y-tunnus]],'3.2 Suoritepäätös 2019'!$A:$S,COLUMN('3.2 Suoritepäätös 2019'!Q:Q),FALSE)+VLOOKUP(Vertailu[[#This Row],[Y-tunnus]],'3.2 Suoritepäätös 2019'!$A:$S,COLUMN('3.2 Suoritepäätös 2019'!R:R),FALSE),0)</f>
        <v>510985</v>
      </c>
      <c r="N37" s="132">
        <f>IFERROR(VLOOKUP(Vertailu[[#This Row],[Y-tunnus]],'1.2 Ohjaus-laskentataulu'!A:AG,COLUMN('1.2 Ohjaus-laskentataulu'!AG:AG),FALSE),0)</f>
        <v>585892.23</v>
      </c>
      <c r="O37" s="142">
        <f>IFERROR(Vertailu[[#This Row],[Simuloitu rahoitus sis. hark. kor. + alv, €]]-Vertailu[[#This Row],[2019 rahoitus sis. hark. kor. + alv, €]],0)</f>
        <v>74907.229999999981</v>
      </c>
      <c r="P37" s="37">
        <f>IFERROR(Vertailu[[#This Row],[Muutos, € 3]]/Vertailu[[#This Row],[2019 rahoitus sis. hark. kor. + alv, €]],0)</f>
        <v>0.14659379433838562</v>
      </c>
    </row>
    <row r="38" spans="1:16" x14ac:dyDescent="0.25">
      <c r="A38" s="24" t="s">
        <v>372</v>
      </c>
      <c r="B38" s="143" t="s">
        <v>49</v>
      </c>
      <c r="C38" s="143" t="s">
        <v>315</v>
      </c>
      <c r="D38" s="144" t="s">
        <v>413</v>
      </c>
      <c r="E38" s="20">
        <f>IFERROR(VLOOKUP(Vertailu[[#This Row],[Y-tunnus]],'3.2 Suoritepäätös 2019'!$A:$S,COLUMN('3.2 Suoritepäätös 2019'!Q:Q),FALSE)-VLOOKUP(Vertailu[[#This Row],[Y-tunnus]],'3.2 Suoritepäätös 2019'!$A:$S,COLUMN('3.2 Suoritepäätös 2019'!L:L),FALSE),0)</f>
        <v>941016</v>
      </c>
      <c r="F38" s="20">
        <f>IFERROR(VLOOKUP(Vertailu[[#This Row],[Y-tunnus]],'1.2 Ohjaus-laskentataulu'!A:AG,COLUMN('1.2 Ohjaus-laskentataulu'!Z:Z),FALSE),0)</f>
        <v>974351</v>
      </c>
      <c r="G38" s="20">
        <f>IFERROR(Vertailu[[#This Row],[Simuloitu rahoitus pl. hark. kor. ilman alv, €]]-Vertailu[[#This Row],[2019 rahoitus pl. hark. kor. ilman alv, €]],0)</f>
        <v>33335</v>
      </c>
      <c r="H38" s="37">
        <f>IFERROR(Vertailu[[#This Row],[Muutos, € 1]]/Vertailu[[#This Row],[2019 rahoitus pl. hark. kor. ilman alv, €]],0)</f>
        <v>3.542447737339216E-2</v>
      </c>
      <c r="I38" s="132">
        <f>IFERROR(VLOOKUP(Vertailu[[#This Row],[Y-tunnus]],'3.2 Suoritepäätös 2019'!$A:$S,COLUMN('3.2 Suoritepäätös 2019'!Q:Q),FALSE),0)</f>
        <v>941016</v>
      </c>
      <c r="J38" s="134">
        <f>IFERROR(VLOOKUP(Vertailu[[#This Row],[Y-tunnus]],'1.2 Ohjaus-laskentataulu'!A:AG,COLUMN('1.2 Ohjaus-laskentataulu'!AE:AE),FALSE),0)</f>
        <v>974351</v>
      </c>
      <c r="K38" s="20">
        <f>IFERROR(Vertailu[[#This Row],[Simuloitu rahoitus sis. hark. kor. ilman alv, €]]-Vertailu[[#This Row],[2019 rahoitus sis. hark. kor. ilman alv, €]],0)</f>
        <v>33335</v>
      </c>
      <c r="L38" s="18">
        <f>IFERROR(Vertailu[[#This Row],[Muutos, € 2]]/Vertailu[[#This Row],[2019 rahoitus sis. hark. kor. ilman alv, €]],0)</f>
        <v>3.542447737339216E-2</v>
      </c>
      <c r="M38" s="134">
        <f>IFERROR(VLOOKUP(Vertailu[[#This Row],[Y-tunnus]],'3.2 Suoritepäätös 2019'!$A:$S,COLUMN('3.2 Suoritepäätös 2019'!Q:Q),FALSE)+VLOOKUP(Vertailu[[#This Row],[Y-tunnus]],'3.2 Suoritepäätös 2019'!$A:$S,COLUMN('3.2 Suoritepäätös 2019'!R:R),FALSE),0)</f>
        <v>941016</v>
      </c>
      <c r="N38" s="132">
        <f>IFERROR(VLOOKUP(Vertailu[[#This Row],[Y-tunnus]],'1.2 Ohjaus-laskentataulu'!A:AG,COLUMN('1.2 Ohjaus-laskentataulu'!AG:AG),FALSE),0)</f>
        <v>974351</v>
      </c>
      <c r="O38" s="142">
        <f>IFERROR(Vertailu[[#This Row],[Simuloitu rahoitus sis. hark. kor. + alv, €]]-Vertailu[[#This Row],[2019 rahoitus sis. hark. kor. + alv, €]],0)</f>
        <v>33335</v>
      </c>
      <c r="P38" s="37">
        <f>IFERROR(Vertailu[[#This Row],[Muutos, € 3]]/Vertailu[[#This Row],[2019 rahoitus sis. hark. kor. + alv, €]],0)</f>
        <v>3.542447737339216E-2</v>
      </c>
    </row>
    <row r="39" spans="1:16" x14ac:dyDescent="0.25">
      <c r="A39" s="24" t="s">
        <v>371</v>
      </c>
      <c r="B39" s="143" t="s">
        <v>50</v>
      </c>
      <c r="C39" s="143" t="s">
        <v>244</v>
      </c>
      <c r="D39" s="144" t="s">
        <v>411</v>
      </c>
      <c r="E39" s="20">
        <f>IFERROR(VLOOKUP(Vertailu[[#This Row],[Y-tunnus]],'3.2 Suoritepäätös 2019'!$A:$S,COLUMN('3.2 Suoritepäätös 2019'!Q:Q),FALSE)-VLOOKUP(Vertailu[[#This Row],[Y-tunnus]],'3.2 Suoritepäätös 2019'!$A:$S,COLUMN('3.2 Suoritepäätös 2019'!L:L),FALSE),0)</f>
        <v>28412776</v>
      </c>
      <c r="F39" s="20">
        <f>IFERROR(VLOOKUP(Vertailu[[#This Row],[Y-tunnus]],'1.2 Ohjaus-laskentataulu'!A:AG,COLUMN('1.2 Ohjaus-laskentataulu'!Z:Z),FALSE),0)</f>
        <v>28537605</v>
      </c>
      <c r="G39" s="20">
        <f>IFERROR(Vertailu[[#This Row],[Simuloitu rahoitus pl. hark. kor. ilman alv, €]]-Vertailu[[#This Row],[2019 rahoitus pl. hark. kor. ilman alv, €]],0)</f>
        <v>124829</v>
      </c>
      <c r="H39" s="37">
        <f>IFERROR(Vertailu[[#This Row],[Muutos, € 1]]/Vertailu[[#This Row],[2019 rahoitus pl. hark. kor. ilman alv, €]],0)</f>
        <v>4.393410907825409E-3</v>
      </c>
      <c r="I39" s="132">
        <f>IFERROR(VLOOKUP(Vertailu[[#This Row],[Y-tunnus]],'3.2 Suoritepäätös 2019'!$A:$S,COLUMN('3.2 Suoritepäätös 2019'!Q:Q),FALSE),0)</f>
        <v>28412776</v>
      </c>
      <c r="J39" s="134">
        <f>IFERROR(VLOOKUP(Vertailu[[#This Row],[Y-tunnus]],'1.2 Ohjaus-laskentataulu'!A:AG,COLUMN('1.2 Ohjaus-laskentataulu'!AE:AE),FALSE),0)</f>
        <v>28537605</v>
      </c>
      <c r="K39" s="20">
        <f>IFERROR(Vertailu[[#This Row],[Simuloitu rahoitus sis. hark. kor. ilman alv, €]]-Vertailu[[#This Row],[2019 rahoitus sis. hark. kor. ilman alv, €]],0)</f>
        <v>124829</v>
      </c>
      <c r="L39" s="18">
        <f>IFERROR(Vertailu[[#This Row],[Muutos, € 2]]/Vertailu[[#This Row],[2019 rahoitus sis. hark. kor. ilman alv, €]],0)</f>
        <v>4.393410907825409E-3</v>
      </c>
      <c r="M39" s="134">
        <f>IFERROR(VLOOKUP(Vertailu[[#This Row],[Y-tunnus]],'3.2 Suoritepäätös 2019'!$A:$S,COLUMN('3.2 Suoritepäätös 2019'!Q:Q),FALSE)+VLOOKUP(Vertailu[[#This Row],[Y-tunnus]],'3.2 Suoritepäätös 2019'!$A:$S,COLUMN('3.2 Suoritepäätös 2019'!R:R),FALSE),0)</f>
        <v>28412776</v>
      </c>
      <c r="N39" s="132">
        <f>IFERROR(VLOOKUP(Vertailu[[#This Row],[Y-tunnus]],'1.2 Ohjaus-laskentataulu'!A:AG,COLUMN('1.2 Ohjaus-laskentataulu'!AG:AG),FALSE),0)</f>
        <v>28537605</v>
      </c>
      <c r="O39" s="142">
        <f>IFERROR(Vertailu[[#This Row],[Simuloitu rahoitus sis. hark. kor. + alv, €]]-Vertailu[[#This Row],[2019 rahoitus sis. hark. kor. + alv, €]],0)</f>
        <v>124829</v>
      </c>
      <c r="P39" s="37">
        <f>IFERROR(Vertailu[[#This Row],[Muutos, € 3]]/Vertailu[[#This Row],[2019 rahoitus sis. hark. kor. + alv, €]],0)</f>
        <v>4.393410907825409E-3</v>
      </c>
    </row>
    <row r="40" spans="1:16" x14ac:dyDescent="0.25">
      <c r="A40" s="24" t="s">
        <v>370</v>
      </c>
      <c r="B40" s="143" t="s">
        <v>51</v>
      </c>
      <c r="C40" s="143" t="s">
        <v>236</v>
      </c>
      <c r="D40" s="144" t="s">
        <v>412</v>
      </c>
      <c r="E40" s="20">
        <f>IFERROR(VLOOKUP(Vertailu[[#This Row],[Y-tunnus]],'3.2 Suoritepäätös 2019'!$A:$S,COLUMN('3.2 Suoritepäätös 2019'!Q:Q),FALSE)-VLOOKUP(Vertailu[[#This Row],[Y-tunnus]],'3.2 Suoritepäätös 2019'!$A:$S,COLUMN('3.2 Suoritepäätös 2019'!L:L),FALSE),0)</f>
        <v>598282</v>
      </c>
      <c r="F40" s="20">
        <f>IFERROR(VLOOKUP(Vertailu[[#This Row],[Y-tunnus]],'1.2 Ohjaus-laskentataulu'!A:AG,COLUMN('1.2 Ohjaus-laskentataulu'!Z:Z),FALSE),0)</f>
        <v>945245</v>
      </c>
      <c r="G40" s="20">
        <f>IFERROR(Vertailu[[#This Row],[Simuloitu rahoitus pl. hark. kor. ilman alv, €]]-Vertailu[[#This Row],[2019 rahoitus pl. hark. kor. ilman alv, €]],0)</f>
        <v>346963</v>
      </c>
      <c r="H40" s="37">
        <f>IFERROR(Vertailu[[#This Row],[Muutos, € 1]]/Vertailu[[#This Row],[2019 rahoitus pl. hark. kor. ilman alv, €]],0)</f>
        <v>0.57993220588284455</v>
      </c>
      <c r="I40" s="132">
        <f>IFERROR(VLOOKUP(Vertailu[[#This Row],[Y-tunnus]],'3.2 Suoritepäätös 2019'!$A:$S,COLUMN('3.2 Suoritepäätös 2019'!Q:Q),FALSE),0)</f>
        <v>798282</v>
      </c>
      <c r="J40" s="134">
        <f>IFERROR(VLOOKUP(Vertailu[[#This Row],[Y-tunnus]],'1.2 Ohjaus-laskentataulu'!A:AG,COLUMN('1.2 Ohjaus-laskentataulu'!AE:AE),FALSE),0)</f>
        <v>945245</v>
      </c>
      <c r="K40" s="20">
        <f>IFERROR(Vertailu[[#This Row],[Simuloitu rahoitus sis. hark. kor. ilman alv, €]]-Vertailu[[#This Row],[2019 rahoitus sis. hark. kor. ilman alv, €]],0)</f>
        <v>146963</v>
      </c>
      <c r="L40" s="18">
        <f>IFERROR(Vertailu[[#This Row],[Muutos, € 2]]/Vertailu[[#This Row],[2019 rahoitus sis. hark. kor. ilman alv, €]],0)</f>
        <v>0.18409910282331307</v>
      </c>
      <c r="M40" s="134">
        <f>IFERROR(VLOOKUP(Vertailu[[#This Row],[Y-tunnus]],'3.2 Suoritepäätös 2019'!$A:$S,COLUMN('3.2 Suoritepäätös 2019'!Q:Q),FALSE)+VLOOKUP(Vertailu[[#This Row],[Y-tunnus]],'3.2 Suoritepäätös 2019'!$A:$S,COLUMN('3.2 Suoritepäätös 2019'!R:R),FALSE),0)</f>
        <v>841356</v>
      </c>
      <c r="N40" s="132">
        <f>IFERROR(VLOOKUP(Vertailu[[#This Row],[Y-tunnus]],'1.2 Ohjaus-laskentataulu'!A:AG,COLUMN('1.2 Ohjaus-laskentataulu'!AG:AG),FALSE),0)</f>
        <v>984536</v>
      </c>
      <c r="O40" s="142">
        <f>IFERROR(Vertailu[[#This Row],[Simuloitu rahoitus sis. hark. kor. + alv, €]]-Vertailu[[#This Row],[2019 rahoitus sis. hark. kor. + alv, €]],0)</f>
        <v>143180</v>
      </c>
      <c r="P40" s="37">
        <f>IFERROR(Vertailu[[#This Row],[Muutos, € 3]]/Vertailu[[#This Row],[2019 rahoitus sis. hark. kor. + alv, €]],0)</f>
        <v>0.17017766557794797</v>
      </c>
    </row>
    <row r="41" spans="1:16" x14ac:dyDescent="0.25">
      <c r="A41" s="24" t="s">
        <v>369</v>
      </c>
      <c r="B41" s="143" t="s">
        <v>52</v>
      </c>
      <c r="C41" s="143" t="s">
        <v>238</v>
      </c>
      <c r="D41" s="144" t="s">
        <v>411</v>
      </c>
      <c r="E41" s="20">
        <f>IFERROR(VLOOKUP(Vertailu[[#This Row],[Y-tunnus]],'3.2 Suoritepäätös 2019'!$A:$S,COLUMN('3.2 Suoritepäätös 2019'!Q:Q),FALSE)-VLOOKUP(Vertailu[[#This Row],[Y-tunnus]],'3.2 Suoritepäätös 2019'!$A:$S,COLUMN('3.2 Suoritepäätös 2019'!L:L),FALSE),0)</f>
        <v>63802613</v>
      </c>
      <c r="F41" s="20">
        <f>IFERROR(VLOOKUP(Vertailu[[#This Row],[Y-tunnus]],'1.2 Ohjaus-laskentataulu'!A:AG,COLUMN('1.2 Ohjaus-laskentataulu'!Z:Z),FALSE),0)</f>
        <v>63436247</v>
      </c>
      <c r="G41" s="20">
        <f>IFERROR(Vertailu[[#This Row],[Simuloitu rahoitus pl. hark. kor. ilman alv, €]]-Vertailu[[#This Row],[2019 rahoitus pl. hark. kor. ilman alv, €]],0)</f>
        <v>-366366</v>
      </c>
      <c r="H41" s="37">
        <f>IFERROR(Vertailu[[#This Row],[Muutos, € 1]]/Vertailu[[#This Row],[2019 rahoitus pl. hark. kor. ilman alv, €]],0)</f>
        <v>-5.74217861578804E-3</v>
      </c>
      <c r="I41" s="132">
        <f>IFERROR(VLOOKUP(Vertailu[[#This Row],[Y-tunnus]],'3.2 Suoritepäätös 2019'!$A:$S,COLUMN('3.2 Suoritepäätös 2019'!Q:Q),FALSE),0)</f>
        <v>63802613</v>
      </c>
      <c r="J41" s="134">
        <f>IFERROR(VLOOKUP(Vertailu[[#This Row],[Y-tunnus]],'1.2 Ohjaus-laskentataulu'!A:AG,COLUMN('1.2 Ohjaus-laskentataulu'!AE:AE),FALSE),0)</f>
        <v>63436247</v>
      </c>
      <c r="K41" s="20">
        <f>IFERROR(Vertailu[[#This Row],[Simuloitu rahoitus sis. hark. kor. ilman alv, €]]-Vertailu[[#This Row],[2019 rahoitus sis. hark. kor. ilman alv, €]],0)</f>
        <v>-366366</v>
      </c>
      <c r="L41" s="18">
        <f>IFERROR(Vertailu[[#This Row],[Muutos, € 2]]/Vertailu[[#This Row],[2019 rahoitus sis. hark. kor. ilman alv, €]],0)</f>
        <v>-5.74217861578804E-3</v>
      </c>
      <c r="M41" s="134">
        <f>IFERROR(VLOOKUP(Vertailu[[#This Row],[Y-tunnus]],'3.2 Suoritepäätös 2019'!$A:$S,COLUMN('3.2 Suoritepäätös 2019'!Q:Q),FALSE)+VLOOKUP(Vertailu[[#This Row],[Y-tunnus]],'3.2 Suoritepäätös 2019'!$A:$S,COLUMN('3.2 Suoritepäätös 2019'!R:R),FALSE),0)</f>
        <v>63802613</v>
      </c>
      <c r="N41" s="132">
        <f>IFERROR(VLOOKUP(Vertailu[[#This Row],[Y-tunnus]],'1.2 Ohjaus-laskentataulu'!A:AG,COLUMN('1.2 Ohjaus-laskentataulu'!AG:AG),FALSE),0)</f>
        <v>63436247</v>
      </c>
      <c r="O41" s="142">
        <f>IFERROR(Vertailu[[#This Row],[Simuloitu rahoitus sis. hark. kor. + alv, €]]-Vertailu[[#This Row],[2019 rahoitus sis. hark. kor. + alv, €]],0)</f>
        <v>-366366</v>
      </c>
      <c r="P41" s="37">
        <f>IFERROR(Vertailu[[#This Row],[Muutos, € 3]]/Vertailu[[#This Row],[2019 rahoitus sis. hark. kor. + alv, €]],0)</f>
        <v>-5.74217861578804E-3</v>
      </c>
    </row>
    <row r="42" spans="1:16" x14ac:dyDescent="0.25">
      <c r="A42" s="24" t="s">
        <v>374</v>
      </c>
      <c r="B42" s="143" t="s">
        <v>53</v>
      </c>
      <c r="C42" s="143" t="s">
        <v>238</v>
      </c>
      <c r="D42" s="144" t="s">
        <v>412</v>
      </c>
      <c r="E42" s="20">
        <f>IFERROR(VLOOKUP(Vertailu[[#This Row],[Y-tunnus]],'3.2 Suoritepäätös 2019'!$A:$S,COLUMN('3.2 Suoritepäätös 2019'!Q:Q),FALSE)-VLOOKUP(Vertailu[[#This Row],[Y-tunnus]],'3.2 Suoritepäätös 2019'!$A:$S,COLUMN('3.2 Suoritepäätös 2019'!L:L),FALSE),0)</f>
        <v>1573444</v>
      </c>
      <c r="F42" s="20">
        <f>IFERROR(VLOOKUP(Vertailu[[#This Row],[Y-tunnus]],'1.2 Ohjaus-laskentataulu'!A:AG,COLUMN('1.2 Ohjaus-laskentataulu'!Z:Z),FALSE),0)</f>
        <v>1601290</v>
      </c>
      <c r="G42" s="20">
        <f>IFERROR(Vertailu[[#This Row],[Simuloitu rahoitus pl. hark. kor. ilman alv, €]]-Vertailu[[#This Row],[2019 rahoitus pl. hark. kor. ilman alv, €]],0)</f>
        <v>27846</v>
      </c>
      <c r="H42" s="37">
        <f>IFERROR(Vertailu[[#This Row],[Muutos, € 1]]/Vertailu[[#This Row],[2019 rahoitus pl. hark. kor. ilman alv, €]],0)</f>
        <v>1.7697483990532871E-2</v>
      </c>
      <c r="I42" s="132">
        <f>IFERROR(VLOOKUP(Vertailu[[#This Row],[Y-tunnus]],'3.2 Suoritepäätös 2019'!$A:$S,COLUMN('3.2 Suoritepäätös 2019'!Q:Q),FALSE),0)</f>
        <v>1573444</v>
      </c>
      <c r="J42" s="134">
        <f>IFERROR(VLOOKUP(Vertailu[[#This Row],[Y-tunnus]],'1.2 Ohjaus-laskentataulu'!A:AG,COLUMN('1.2 Ohjaus-laskentataulu'!AE:AE),FALSE),0)</f>
        <v>1601290</v>
      </c>
      <c r="K42" s="20">
        <f>IFERROR(Vertailu[[#This Row],[Simuloitu rahoitus sis. hark. kor. ilman alv, €]]-Vertailu[[#This Row],[2019 rahoitus sis. hark. kor. ilman alv, €]],0)</f>
        <v>27846</v>
      </c>
      <c r="L42" s="18">
        <f>IFERROR(Vertailu[[#This Row],[Muutos, € 2]]/Vertailu[[#This Row],[2019 rahoitus sis. hark. kor. ilman alv, €]],0)</f>
        <v>1.7697483990532871E-2</v>
      </c>
      <c r="M42" s="134">
        <f>IFERROR(VLOOKUP(Vertailu[[#This Row],[Y-tunnus]],'3.2 Suoritepäätös 2019'!$A:$S,COLUMN('3.2 Suoritepäätös 2019'!Q:Q),FALSE)+VLOOKUP(Vertailu[[#This Row],[Y-tunnus]],'3.2 Suoritepäätös 2019'!$A:$S,COLUMN('3.2 Suoritepäätös 2019'!R:R),FALSE),0)</f>
        <v>1658024</v>
      </c>
      <c r="N42" s="132">
        <f>IFERROR(VLOOKUP(Vertailu[[#This Row],[Y-tunnus]],'1.2 Ohjaus-laskentataulu'!A:AG,COLUMN('1.2 Ohjaus-laskentataulu'!AG:AG),FALSE),0)</f>
        <v>1609953.22</v>
      </c>
      <c r="O42" s="142">
        <f>IFERROR(Vertailu[[#This Row],[Simuloitu rahoitus sis. hark. kor. + alv, €]]-Vertailu[[#This Row],[2019 rahoitus sis. hark. kor. + alv, €]],0)</f>
        <v>-48070.780000000028</v>
      </c>
      <c r="P42" s="37">
        <f>IFERROR(Vertailu[[#This Row],[Muutos, € 3]]/Vertailu[[#This Row],[2019 rahoitus sis. hark. kor. + alv, €]],0)</f>
        <v>-2.8992813131776155E-2</v>
      </c>
    </row>
    <row r="43" spans="1:16" x14ac:dyDescent="0.25">
      <c r="A43" s="24" t="s">
        <v>373</v>
      </c>
      <c r="B43" s="143" t="s">
        <v>54</v>
      </c>
      <c r="C43" s="143" t="s">
        <v>238</v>
      </c>
      <c r="D43" s="144" t="s">
        <v>412</v>
      </c>
      <c r="E43" s="20">
        <f>IFERROR(VLOOKUP(Vertailu[[#This Row],[Y-tunnus]],'3.2 Suoritepäätös 2019'!$A:$S,COLUMN('3.2 Suoritepäätös 2019'!Q:Q),FALSE)-VLOOKUP(Vertailu[[#This Row],[Y-tunnus]],'3.2 Suoritepäätös 2019'!$A:$S,COLUMN('3.2 Suoritepäätös 2019'!L:L),FALSE),0)</f>
        <v>1151499</v>
      </c>
      <c r="F43" s="20">
        <f>IFERROR(VLOOKUP(Vertailu[[#This Row],[Y-tunnus]],'1.2 Ohjaus-laskentataulu'!A:AG,COLUMN('1.2 Ohjaus-laskentataulu'!Z:Z),FALSE),0)</f>
        <v>1230540</v>
      </c>
      <c r="G43" s="20">
        <f>IFERROR(Vertailu[[#This Row],[Simuloitu rahoitus pl. hark. kor. ilman alv, €]]-Vertailu[[#This Row],[2019 rahoitus pl. hark. kor. ilman alv, €]],0)</f>
        <v>79041</v>
      </c>
      <c r="H43" s="37">
        <f>IFERROR(Vertailu[[#This Row],[Muutos, € 1]]/Vertailu[[#This Row],[2019 rahoitus pl. hark. kor. ilman alv, €]],0)</f>
        <v>6.8641831213053589E-2</v>
      </c>
      <c r="I43" s="132">
        <f>IFERROR(VLOOKUP(Vertailu[[#This Row],[Y-tunnus]],'3.2 Suoritepäätös 2019'!$A:$S,COLUMN('3.2 Suoritepäätös 2019'!Q:Q),FALSE),0)</f>
        <v>1151499</v>
      </c>
      <c r="J43" s="134">
        <f>IFERROR(VLOOKUP(Vertailu[[#This Row],[Y-tunnus]],'1.2 Ohjaus-laskentataulu'!A:AG,COLUMN('1.2 Ohjaus-laskentataulu'!AE:AE),FALSE),0)</f>
        <v>1230540</v>
      </c>
      <c r="K43" s="20">
        <f>IFERROR(Vertailu[[#This Row],[Simuloitu rahoitus sis. hark. kor. ilman alv, €]]-Vertailu[[#This Row],[2019 rahoitus sis. hark. kor. ilman alv, €]],0)</f>
        <v>79041</v>
      </c>
      <c r="L43" s="18">
        <f>IFERROR(Vertailu[[#This Row],[Muutos, € 2]]/Vertailu[[#This Row],[2019 rahoitus sis. hark. kor. ilman alv, €]],0)</f>
        <v>6.8641831213053589E-2</v>
      </c>
      <c r="M43" s="134">
        <f>IFERROR(VLOOKUP(Vertailu[[#This Row],[Y-tunnus]],'3.2 Suoritepäätös 2019'!$A:$S,COLUMN('3.2 Suoritepäätös 2019'!Q:Q),FALSE)+VLOOKUP(Vertailu[[#This Row],[Y-tunnus]],'3.2 Suoritepäätös 2019'!$A:$S,COLUMN('3.2 Suoritepäätös 2019'!R:R),FALSE),0)</f>
        <v>1212887</v>
      </c>
      <c r="N43" s="132">
        <f>IFERROR(VLOOKUP(Vertailu[[#This Row],[Y-tunnus]],'1.2 Ohjaus-laskentataulu'!A:AG,COLUMN('1.2 Ohjaus-laskentataulu'!AG:AG),FALSE),0)</f>
        <v>1299983.05</v>
      </c>
      <c r="O43" s="142">
        <f>IFERROR(Vertailu[[#This Row],[Simuloitu rahoitus sis. hark. kor. + alv, €]]-Vertailu[[#This Row],[2019 rahoitus sis. hark. kor. + alv, €]],0)</f>
        <v>87096.050000000047</v>
      </c>
      <c r="P43" s="37">
        <f>IFERROR(Vertailu[[#This Row],[Muutos, € 3]]/Vertailu[[#This Row],[2019 rahoitus sis. hark. kor. + alv, €]],0)</f>
        <v>7.1808874198503278E-2</v>
      </c>
    </row>
    <row r="44" spans="1:16" x14ac:dyDescent="0.25">
      <c r="A44" s="24" t="s">
        <v>368</v>
      </c>
      <c r="B44" s="143" t="s">
        <v>55</v>
      </c>
      <c r="C44" s="143" t="s">
        <v>269</v>
      </c>
      <c r="D44" s="144" t="s">
        <v>411</v>
      </c>
      <c r="E44" s="20">
        <f>IFERROR(VLOOKUP(Vertailu[[#This Row],[Y-tunnus]],'3.2 Suoritepäätös 2019'!$A:$S,COLUMN('3.2 Suoritepäätös 2019'!Q:Q),FALSE)-VLOOKUP(Vertailu[[#This Row],[Y-tunnus]],'3.2 Suoritepäätös 2019'!$A:$S,COLUMN('3.2 Suoritepäätös 2019'!L:L),FALSE),0)</f>
        <v>5079458</v>
      </c>
      <c r="F44" s="20">
        <f>IFERROR(VLOOKUP(Vertailu[[#This Row],[Y-tunnus]],'1.2 Ohjaus-laskentataulu'!A:AG,COLUMN('1.2 Ohjaus-laskentataulu'!Z:Z),FALSE),0)</f>
        <v>5775706</v>
      </c>
      <c r="G44" s="20">
        <f>IFERROR(Vertailu[[#This Row],[Simuloitu rahoitus pl. hark. kor. ilman alv, €]]-Vertailu[[#This Row],[2019 rahoitus pl. hark. kor. ilman alv, €]],0)</f>
        <v>696248</v>
      </c>
      <c r="H44" s="37">
        <f>IFERROR(Vertailu[[#This Row],[Muutos, € 1]]/Vertailu[[#This Row],[2019 rahoitus pl. hark. kor. ilman alv, €]],0)</f>
        <v>0.13707131745158638</v>
      </c>
      <c r="I44" s="132">
        <f>IFERROR(VLOOKUP(Vertailu[[#This Row],[Y-tunnus]],'3.2 Suoritepäätös 2019'!$A:$S,COLUMN('3.2 Suoritepäätös 2019'!Q:Q),FALSE),0)</f>
        <v>5079458</v>
      </c>
      <c r="J44" s="134">
        <f>IFERROR(VLOOKUP(Vertailu[[#This Row],[Y-tunnus]],'1.2 Ohjaus-laskentataulu'!A:AG,COLUMN('1.2 Ohjaus-laskentataulu'!AE:AE),FALSE),0)</f>
        <v>5775706</v>
      </c>
      <c r="K44" s="20">
        <f>IFERROR(Vertailu[[#This Row],[Simuloitu rahoitus sis. hark. kor. ilman alv, €]]-Vertailu[[#This Row],[2019 rahoitus sis. hark. kor. ilman alv, €]],0)</f>
        <v>696248</v>
      </c>
      <c r="L44" s="18">
        <f>IFERROR(Vertailu[[#This Row],[Muutos, € 2]]/Vertailu[[#This Row],[2019 rahoitus sis. hark. kor. ilman alv, €]],0)</f>
        <v>0.13707131745158638</v>
      </c>
      <c r="M44" s="134">
        <f>IFERROR(VLOOKUP(Vertailu[[#This Row],[Y-tunnus]],'3.2 Suoritepäätös 2019'!$A:$S,COLUMN('3.2 Suoritepäätös 2019'!Q:Q),FALSE)+VLOOKUP(Vertailu[[#This Row],[Y-tunnus]],'3.2 Suoritepäätös 2019'!$A:$S,COLUMN('3.2 Suoritepäätös 2019'!R:R),FALSE),0)</f>
        <v>5079458</v>
      </c>
      <c r="N44" s="132">
        <f>IFERROR(VLOOKUP(Vertailu[[#This Row],[Y-tunnus]],'1.2 Ohjaus-laskentataulu'!A:AG,COLUMN('1.2 Ohjaus-laskentataulu'!AG:AG),FALSE),0)</f>
        <v>5775706</v>
      </c>
      <c r="O44" s="142">
        <f>IFERROR(Vertailu[[#This Row],[Simuloitu rahoitus sis. hark. kor. + alv, €]]-Vertailu[[#This Row],[2019 rahoitus sis. hark. kor. + alv, €]],0)</f>
        <v>696248</v>
      </c>
      <c r="P44" s="37">
        <f>IFERROR(Vertailu[[#This Row],[Muutos, € 3]]/Vertailu[[#This Row],[2019 rahoitus sis. hark. kor. + alv, €]],0)</f>
        <v>0.13707131745158638</v>
      </c>
    </row>
    <row r="45" spans="1:16" x14ac:dyDescent="0.25">
      <c r="A45" s="24" t="s">
        <v>367</v>
      </c>
      <c r="B45" s="143" t="s">
        <v>56</v>
      </c>
      <c r="C45" s="143" t="s">
        <v>246</v>
      </c>
      <c r="D45" s="144" t="s">
        <v>413</v>
      </c>
      <c r="E45" s="20">
        <f>IFERROR(VLOOKUP(Vertailu[[#This Row],[Y-tunnus]],'3.2 Suoritepäätös 2019'!$A:$S,COLUMN('3.2 Suoritepäätös 2019'!Q:Q),FALSE)-VLOOKUP(Vertailu[[#This Row],[Y-tunnus]],'3.2 Suoritepäätös 2019'!$A:$S,COLUMN('3.2 Suoritepäätös 2019'!L:L),FALSE),0)</f>
        <v>25331672</v>
      </c>
      <c r="F45" s="20">
        <f>IFERROR(VLOOKUP(Vertailu[[#This Row],[Y-tunnus]],'1.2 Ohjaus-laskentataulu'!A:AG,COLUMN('1.2 Ohjaus-laskentataulu'!Z:Z),FALSE),0)</f>
        <v>25696229</v>
      </c>
      <c r="G45" s="20">
        <f>IFERROR(Vertailu[[#This Row],[Simuloitu rahoitus pl. hark. kor. ilman alv, €]]-Vertailu[[#This Row],[2019 rahoitus pl. hark. kor. ilman alv, €]],0)</f>
        <v>364557</v>
      </c>
      <c r="H45" s="37">
        <f>IFERROR(Vertailu[[#This Row],[Muutos, € 1]]/Vertailu[[#This Row],[2019 rahoitus pl. hark. kor. ilman alv, €]],0)</f>
        <v>1.4391351664430204E-2</v>
      </c>
      <c r="I45" s="132">
        <f>IFERROR(VLOOKUP(Vertailu[[#This Row],[Y-tunnus]],'3.2 Suoritepäätös 2019'!$A:$S,COLUMN('3.2 Suoritepäätös 2019'!Q:Q),FALSE),0)</f>
        <v>25331672</v>
      </c>
      <c r="J45" s="134">
        <f>IFERROR(VLOOKUP(Vertailu[[#This Row],[Y-tunnus]],'1.2 Ohjaus-laskentataulu'!A:AG,COLUMN('1.2 Ohjaus-laskentataulu'!AE:AE),FALSE),0)</f>
        <v>25696229</v>
      </c>
      <c r="K45" s="20">
        <f>IFERROR(Vertailu[[#This Row],[Simuloitu rahoitus sis. hark. kor. ilman alv, €]]-Vertailu[[#This Row],[2019 rahoitus sis. hark. kor. ilman alv, €]],0)</f>
        <v>364557</v>
      </c>
      <c r="L45" s="18">
        <f>IFERROR(Vertailu[[#This Row],[Muutos, € 2]]/Vertailu[[#This Row],[2019 rahoitus sis. hark. kor. ilman alv, €]],0)</f>
        <v>1.4391351664430204E-2</v>
      </c>
      <c r="M45" s="134">
        <f>IFERROR(VLOOKUP(Vertailu[[#This Row],[Y-tunnus]],'3.2 Suoritepäätös 2019'!$A:$S,COLUMN('3.2 Suoritepäätös 2019'!Q:Q),FALSE)+VLOOKUP(Vertailu[[#This Row],[Y-tunnus]],'3.2 Suoritepäätös 2019'!$A:$S,COLUMN('3.2 Suoritepäätös 2019'!R:R),FALSE),0)</f>
        <v>25331672</v>
      </c>
      <c r="N45" s="132">
        <f>IFERROR(VLOOKUP(Vertailu[[#This Row],[Y-tunnus]],'1.2 Ohjaus-laskentataulu'!A:AG,COLUMN('1.2 Ohjaus-laskentataulu'!AG:AG),FALSE),0)</f>
        <v>25696229</v>
      </c>
      <c r="O45" s="142">
        <f>IFERROR(Vertailu[[#This Row],[Simuloitu rahoitus sis. hark. kor. + alv, €]]-Vertailu[[#This Row],[2019 rahoitus sis. hark. kor. + alv, €]],0)</f>
        <v>364557</v>
      </c>
      <c r="P45" s="37">
        <f>IFERROR(Vertailu[[#This Row],[Muutos, € 3]]/Vertailu[[#This Row],[2019 rahoitus sis. hark. kor. + alv, €]],0)</f>
        <v>1.4391351664430204E-2</v>
      </c>
    </row>
    <row r="46" spans="1:16" x14ac:dyDescent="0.25">
      <c r="A46" s="24" t="s">
        <v>366</v>
      </c>
      <c r="B46" s="143" t="s">
        <v>211</v>
      </c>
      <c r="C46" s="143" t="s">
        <v>244</v>
      </c>
      <c r="D46" s="144" t="s">
        <v>412</v>
      </c>
      <c r="E46" s="20">
        <f>IFERROR(VLOOKUP(Vertailu[[#This Row],[Y-tunnus]],'3.2 Suoritepäätös 2019'!$A:$S,COLUMN('3.2 Suoritepäätös 2019'!Q:Q),FALSE)-VLOOKUP(Vertailu[[#This Row],[Y-tunnus]],'3.2 Suoritepäätös 2019'!$A:$S,COLUMN('3.2 Suoritepäätös 2019'!L:L),FALSE),0)</f>
        <v>900575</v>
      </c>
      <c r="F46" s="20">
        <f>IFERROR(VLOOKUP(Vertailu[[#This Row],[Y-tunnus]],'1.2 Ohjaus-laskentataulu'!A:AG,COLUMN('1.2 Ohjaus-laskentataulu'!Z:Z),FALSE),0)</f>
        <v>828632</v>
      </c>
      <c r="G46" s="20">
        <f>IFERROR(Vertailu[[#This Row],[Simuloitu rahoitus pl. hark. kor. ilman alv, €]]-Vertailu[[#This Row],[2019 rahoitus pl. hark. kor. ilman alv, €]],0)</f>
        <v>-71943</v>
      </c>
      <c r="H46" s="37">
        <f>IFERROR(Vertailu[[#This Row],[Muutos, € 1]]/Vertailu[[#This Row],[2019 rahoitus pl. hark. kor. ilman alv, €]],0)</f>
        <v>-7.9885628626155517E-2</v>
      </c>
      <c r="I46" s="132">
        <f>IFERROR(VLOOKUP(Vertailu[[#This Row],[Y-tunnus]],'3.2 Suoritepäätös 2019'!$A:$S,COLUMN('3.2 Suoritepäätös 2019'!Q:Q),FALSE),0)</f>
        <v>900575</v>
      </c>
      <c r="J46" s="134">
        <f>IFERROR(VLOOKUP(Vertailu[[#This Row],[Y-tunnus]],'1.2 Ohjaus-laskentataulu'!A:AG,COLUMN('1.2 Ohjaus-laskentataulu'!AE:AE),FALSE),0)</f>
        <v>828632</v>
      </c>
      <c r="K46" s="20">
        <f>IFERROR(Vertailu[[#This Row],[Simuloitu rahoitus sis. hark. kor. ilman alv, €]]-Vertailu[[#This Row],[2019 rahoitus sis. hark. kor. ilman alv, €]],0)</f>
        <v>-71943</v>
      </c>
      <c r="L46" s="18">
        <f>IFERROR(Vertailu[[#This Row],[Muutos, € 2]]/Vertailu[[#This Row],[2019 rahoitus sis. hark. kor. ilman alv, €]],0)</f>
        <v>-7.9885628626155517E-2</v>
      </c>
      <c r="M46" s="134">
        <f>IFERROR(VLOOKUP(Vertailu[[#This Row],[Y-tunnus]],'3.2 Suoritepäätös 2019'!$A:$S,COLUMN('3.2 Suoritepäätös 2019'!Q:Q),FALSE)+VLOOKUP(Vertailu[[#This Row],[Y-tunnus]],'3.2 Suoritepäätös 2019'!$A:$S,COLUMN('3.2 Suoritepäätös 2019'!R:R),FALSE),0)</f>
        <v>948560</v>
      </c>
      <c r="N46" s="132">
        <f>IFERROR(VLOOKUP(Vertailu[[#This Row],[Y-tunnus]],'1.2 Ohjaus-laskentataulu'!A:AG,COLUMN('1.2 Ohjaus-laskentataulu'!AG:AG),FALSE),0)</f>
        <v>855807.2</v>
      </c>
      <c r="O46" s="142">
        <f>IFERROR(Vertailu[[#This Row],[Simuloitu rahoitus sis. hark. kor. + alv, €]]-Vertailu[[#This Row],[2019 rahoitus sis. hark. kor. + alv, €]],0)</f>
        <v>-92752.800000000047</v>
      </c>
      <c r="P46" s="37">
        <f>IFERROR(Vertailu[[#This Row],[Muutos, € 3]]/Vertailu[[#This Row],[2019 rahoitus sis. hark. kor. + alv, €]],0)</f>
        <v>-9.7782744370414149E-2</v>
      </c>
    </row>
    <row r="47" spans="1:16" x14ac:dyDescent="0.25">
      <c r="A47" s="24" t="s">
        <v>365</v>
      </c>
      <c r="B47" s="143" t="s">
        <v>58</v>
      </c>
      <c r="C47" s="143" t="s">
        <v>236</v>
      </c>
      <c r="D47" s="144" t="s">
        <v>412</v>
      </c>
      <c r="E47" s="20">
        <f>IFERROR(VLOOKUP(Vertailu[[#This Row],[Y-tunnus]],'3.2 Suoritepäätös 2019'!$A:$S,COLUMN('3.2 Suoritepäätös 2019'!Q:Q),FALSE)-VLOOKUP(Vertailu[[#This Row],[Y-tunnus]],'3.2 Suoritepäätös 2019'!$A:$S,COLUMN('3.2 Suoritepäätös 2019'!L:L),FALSE),0)</f>
        <v>923871</v>
      </c>
      <c r="F47" s="20">
        <f>IFERROR(VLOOKUP(Vertailu[[#This Row],[Y-tunnus]],'1.2 Ohjaus-laskentataulu'!A:AG,COLUMN('1.2 Ohjaus-laskentataulu'!Z:Z),FALSE),0)</f>
        <v>907774</v>
      </c>
      <c r="G47" s="20">
        <f>IFERROR(Vertailu[[#This Row],[Simuloitu rahoitus pl. hark. kor. ilman alv, €]]-Vertailu[[#This Row],[2019 rahoitus pl. hark. kor. ilman alv, €]],0)</f>
        <v>-16097</v>
      </c>
      <c r="H47" s="37">
        <f>IFERROR(Vertailu[[#This Row],[Muutos, € 1]]/Vertailu[[#This Row],[2019 rahoitus pl. hark. kor. ilman alv, €]],0)</f>
        <v>-1.74234281625898E-2</v>
      </c>
      <c r="I47" s="132">
        <f>IFERROR(VLOOKUP(Vertailu[[#This Row],[Y-tunnus]],'3.2 Suoritepäätös 2019'!$A:$S,COLUMN('3.2 Suoritepäätös 2019'!Q:Q),FALSE),0)</f>
        <v>923871</v>
      </c>
      <c r="J47" s="134">
        <f>IFERROR(VLOOKUP(Vertailu[[#This Row],[Y-tunnus]],'1.2 Ohjaus-laskentataulu'!A:AG,COLUMN('1.2 Ohjaus-laskentataulu'!AE:AE),FALSE),0)</f>
        <v>907774</v>
      </c>
      <c r="K47" s="20">
        <f>IFERROR(Vertailu[[#This Row],[Simuloitu rahoitus sis. hark. kor. ilman alv, €]]-Vertailu[[#This Row],[2019 rahoitus sis. hark. kor. ilman alv, €]],0)</f>
        <v>-16097</v>
      </c>
      <c r="L47" s="18">
        <f>IFERROR(Vertailu[[#This Row],[Muutos, € 2]]/Vertailu[[#This Row],[2019 rahoitus sis. hark. kor. ilman alv, €]],0)</f>
        <v>-1.74234281625898E-2</v>
      </c>
      <c r="M47" s="134">
        <f>IFERROR(VLOOKUP(Vertailu[[#This Row],[Y-tunnus]],'3.2 Suoritepäätös 2019'!$A:$S,COLUMN('3.2 Suoritepäätös 2019'!Q:Q),FALSE)+VLOOKUP(Vertailu[[#This Row],[Y-tunnus]],'3.2 Suoritepäätös 2019'!$A:$S,COLUMN('3.2 Suoritepäätös 2019'!R:R),FALSE),0)</f>
        <v>972451</v>
      </c>
      <c r="N47" s="132">
        <f>IFERROR(VLOOKUP(Vertailu[[#This Row],[Y-tunnus]],'1.2 Ohjaus-laskentataulu'!A:AG,COLUMN('1.2 Ohjaus-laskentataulu'!AG:AG),FALSE),0)</f>
        <v>949998.95</v>
      </c>
      <c r="O47" s="142">
        <f>IFERROR(Vertailu[[#This Row],[Simuloitu rahoitus sis. hark. kor. + alv, €]]-Vertailu[[#This Row],[2019 rahoitus sis. hark. kor. + alv, €]],0)</f>
        <v>-22452.050000000047</v>
      </c>
      <c r="P47" s="37">
        <f>IFERROR(Vertailu[[#This Row],[Muutos, € 3]]/Vertailu[[#This Row],[2019 rahoitus sis. hark. kor. + alv, €]],0)</f>
        <v>-2.308810418211308E-2</v>
      </c>
    </row>
    <row r="48" spans="1:16" x14ac:dyDescent="0.25">
      <c r="A48" s="24" t="s">
        <v>364</v>
      </c>
      <c r="B48" s="143" t="s">
        <v>59</v>
      </c>
      <c r="C48" s="143" t="s">
        <v>236</v>
      </c>
      <c r="D48" s="144" t="s">
        <v>412</v>
      </c>
      <c r="E48" s="20">
        <f>IFERROR(VLOOKUP(Vertailu[[#This Row],[Y-tunnus]],'3.2 Suoritepäätös 2019'!$A:$S,COLUMN('3.2 Suoritepäätös 2019'!Q:Q),FALSE)-VLOOKUP(Vertailu[[#This Row],[Y-tunnus]],'3.2 Suoritepäätös 2019'!$A:$S,COLUMN('3.2 Suoritepäätös 2019'!L:L),FALSE),0)</f>
        <v>507077</v>
      </c>
      <c r="F48" s="20">
        <f>IFERROR(VLOOKUP(Vertailu[[#This Row],[Y-tunnus]],'1.2 Ohjaus-laskentataulu'!A:AG,COLUMN('1.2 Ohjaus-laskentataulu'!Z:Z),FALSE),0)</f>
        <v>429986</v>
      </c>
      <c r="G48" s="20">
        <f>IFERROR(Vertailu[[#This Row],[Simuloitu rahoitus pl. hark. kor. ilman alv, €]]-Vertailu[[#This Row],[2019 rahoitus pl. hark. kor. ilman alv, €]],0)</f>
        <v>-77091</v>
      </c>
      <c r="H48" s="37">
        <f>IFERROR(Vertailu[[#This Row],[Muutos, € 1]]/Vertailu[[#This Row],[2019 rahoitus pl. hark. kor. ilman alv, €]],0)</f>
        <v>-0.15203016504396769</v>
      </c>
      <c r="I48" s="132">
        <f>IFERROR(VLOOKUP(Vertailu[[#This Row],[Y-tunnus]],'3.2 Suoritepäätös 2019'!$A:$S,COLUMN('3.2 Suoritepäätös 2019'!Q:Q),FALSE),0)</f>
        <v>507077</v>
      </c>
      <c r="J48" s="134">
        <f>IFERROR(VLOOKUP(Vertailu[[#This Row],[Y-tunnus]],'1.2 Ohjaus-laskentataulu'!A:AG,COLUMN('1.2 Ohjaus-laskentataulu'!AE:AE),FALSE),0)</f>
        <v>429986</v>
      </c>
      <c r="K48" s="20">
        <f>IFERROR(Vertailu[[#This Row],[Simuloitu rahoitus sis. hark. kor. ilman alv, €]]-Vertailu[[#This Row],[2019 rahoitus sis. hark. kor. ilman alv, €]],0)</f>
        <v>-77091</v>
      </c>
      <c r="L48" s="18">
        <f>IFERROR(Vertailu[[#This Row],[Muutos, € 2]]/Vertailu[[#This Row],[2019 rahoitus sis. hark. kor. ilman alv, €]],0)</f>
        <v>-0.15203016504396769</v>
      </c>
      <c r="M48" s="134">
        <f>IFERROR(VLOOKUP(Vertailu[[#This Row],[Y-tunnus]],'3.2 Suoritepäätös 2019'!$A:$S,COLUMN('3.2 Suoritepäätös 2019'!Q:Q),FALSE)+VLOOKUP(Vertailu[[#This Row],[Y-tunnus]],'3.2 Suoritepäätös 2019'!$A:$S,COLUMN('3.2 Suoritepäätös 2019'!R:R),FALSE),0)</f>
        <v>535164</v>
      </c>
      <c r="N48" s="132">
        <f>IFERROR(VLOOKUP(Vertailu[[#This Row],[Y-tunnus]],'1.2 Ohjaus-laskentataulu'!A:AG,COLUMN('1.2 Ohjaus-laskentataulu'!AG:AG),FALSE),0)</f>
        <v>429986</v>
      </c>
      <c r="O48" s="142">
        <f>IFERROR(Vertailu[[#This Row],[Simuloitu rahoitus sis. hark. kor. + alv, €]]-Vertailu[[#This Row],[2019 rahoitus sis. hark. kor. + alv, €]],0)</f>
        <v>-105178</v>
      </c>
      <c r="P48" s="37">
        <f>IFERROR(Vertailu[[#This Row],[Muutos, € 3]]/Vertailu[[#This Row],[2019 rahoitus sis. hark. kor. + alv, €]],0)</f>
        <v>-0.19653414654199461</v>
      </c>
    </row>
    <row r="49" spans="1:16" x14ac:dyDescent="0.25">
      <c r="A49" s="24" t="s">
        <v>363</v>
      </c>
      <c r="B49" s="143" t="s">
        <v>60</v>
      </c>
      <c r="C49" s="143" t="s">
        <v>238</v>
      </c>
      <c r="D49" s="144" t="s">
        <v>412</v>
      </c>
      <c r="E49" s="20">
        <f>IFERROR(VLOOKUP(Vertailu[[#This Row],[Y-tunnus]],'3.2 Suoritepäätös 2019'!$A:$S,COLUMN('3.2 Suoritepäätös 2019'!Q:Q),FALSE)-VLOOKUP(Vertailu[[#This Row],[Y-tunnus]],'3.2 Suoritepäätös 2019'!$A:$S,COLUMN('3.2 Suoritepäätös 2019'!L:L),FALSE),0)</f>
        <v>154281</v>
      </c>
      <c r="F49" s="20">
        <f>IFERROR(VLOOKUP(Vertailu[[#This Row],[Y-tunnus]],'1.2 Ohjaus-laskentataulu'!A:AG,COLUMN('1.2 Ohjaus-laskentataulu'!Z:Z),FALSE),0)</f>
        <v>179510</v>
      </c>
      <c r="G49" s="20">
        <f>IFERROR(Vertailu[[#This Row],[Simuloitu rahoitus pl. hark. kor. ilman alv, €]]-Vertailu[[#This Row],[2019 rahoitus pl. hark. kor. ilman alv, €]],0)</f>
        <v>25229</v>
      </c>
      <c r="H49" s="37">
        <f>IFERROR(Vertailu[[#This Row],[Muutos, € 1]]/Vertailu[[#This Row],[2019 rahoitus pl. hark. kor. ilman alv, €]],0)</f>
        <v>0.16352629293302481</v>
      </c>
      <c r="I49" s="132">
        <f>IFERROR(VLOOKUP(Vertailu[[#This Row],[Y-tunnus]],'3.2 Suoritepäätös 2019'!$A:$S,COLUMN('3.2 Suoritepäätös 2019'!Q:Q),FALSE),0)</f>
        <v>154281</v>
      </c>
      <c r="J49" s="134">
        <f>IFERROR(VLOOKUP(Vertailu[[#This Row],[Y-tunnus]],'1.2 Ohjaus-laskentataulu'!A:AG,COLUMN('1.2 Ohjaus-laskentataulu'!AE:AE),FALSE),0)</f>
        <v>179510</v>
      </c>
      <c r="K49" s="20">
        <f>IFERROR(Vertailu[[#This Row],[Simuloitu rahoitus sis. hark. kor. ilman alv, €]]-Vertailu[[#This Row],[2019 rahoitus sis. hark. kor. ilman alv, €]],0)</f>
        <v>25229</v>
      </c>
      <c r="L49" s="18">
        <f>IFERROR(Vertailu[[#This Row],[Muutos, € 2]]/Vertailu[[#This Row],[2019 rahoitus sis. hark. kor. ilman alv, €]],0)</f>
        <v>0.16352629293302481</v>
      </c>
      <c r="M49" s="134">
        <f>IFERROR(VLOOKUP(Vertailu[[#This Row],[Y-tunnus]],'3.2 Suoritepäätös 2019'!$A:$S,COLUMN('3.2 Suoritepäätös 2019'!Q:Q),FALSE)+VLOOKUP(Vertailu[[#This Row],[Y-tunnus]],'3.2 Suoritepäätös 2019'!$A:$S,COLUMN('3.2 Suoritepäätös 2019'!R:R),FALSE),0)</f>
        <v>162698</v>
      </c>
      <c r="N49" s="132">
        <f>IFERROR(VLOOKUP(Vertailu[[#This Row],[Y-tunnus]],'1.2 Ohjaus-laskentataulu'!A:AG,COLUMN('1.2 Ohjaus-laskentataulu'!AG:AG),FALSE),0)</f>
        <v>179510</v>
      </c>
      <c r="O49" s="142">
        <f>IFERROR(Vertailu[[#This Row],[Simuloitu rahoitus sis. hark. kor. + alv, €]]-Vertailu[[#This Row],[2019 rahoitus sis. hark. kor. + alv, €]],0)</f>
        <v>16812</v>
      </c>
      <c r="P49" s="37">
        <f>IFERROR(Vertailu[[#This Row],[Muutos, € 3]]/Vertailu[[#This Row],[2019 rahoitus sis. hark. kor. + alv, €]],0)</f>
        <v>0.10333255479477314</v>
      </c>
    </row>
    <row r="50" spans="1:16" x14ac:dyDescent="0.25">
      <c r="A50" s="24" t="s">
        <v>362</v>
      </c>
      <c r="B50" s="143" t="s">
        <v>61</v>
      </c>
      <c r="C50" s="143" t="s">
        <v>236</v>
      </c>
      <c r="D50" s="144" t="s">
        <v>412</v>
      </c>
      <c r="E50" s="20">
        <f>IFERROR(VLOOKUP(Vertailu[[#This Row],[Y-tunnus]],'3.2 Suoritepäätös 2019'!$A:$S,COLUMN('3.2 Suoritepäätös 2019'!Q:Q),FALSE)-VLOOKUP(Vertailu[[#This Row],[Y-tunnus]],'3.2 Suoritepäätös 2019'!$A:$S,COLUMN('3.2 Suoritepäätös 2019'!L:L),FALSE),0)</f>
        <v>4823229</v>
      </c>
      <c r="F50" s="20">
        <f>IFERROR(VLOOKUP(Vertailu[[#This Row],[Y-tunnus]],'1.2 Ohjaus-laskentataulu'!A:AG,COLUMN('1.2 Ohjaus-laskentataulu'!Z:Z),FALSE),0)</f>
        <v>4802991</v>
      </c>
      <c r="G50" s="20">
        <f>IFERROR(Vertailu[[#This Row],[Simuloitu rahoitus pl. hark. kor. ilman alv, €]]-Vertailu[[#This Row],[2019 rahoitus pl. hark. kor. ilman alv, €]],0)</f>
        <v>-20238</v>
      </c>
      <c r="H50" s="37">
        <f>IFERROR(Vertailu[[#This Row],[Muutos, € 1]]/Vertailu[[#This Row],[2019 rahoitus pl. hark. kor. ilman alv, €]],0)</f>
        <v>-4.1959442522841025E-3</v>
      </c>
      <c r="I50" s="132">
        <f>IFERROR(VLOOKUP(Vertailu[[#This Row],[Y-tunnus]],'3.2 Suoritepäätös 2019'!$A:$S,COLUMN('3.2 Suoritepäätös 2019'!Q:Q),FALSE),0)</f>
        <v>4823229</v>
      </c>
      <c r="J50" s="134">
        <f>IFERROR(VLOOKUP(Vertailu[[#This Row],[Y-tunnus]],'1.2 Ohjaus-laskentataulu'!A:AG,COLUMN('1.2 Ohjaus-laskentataulu'!AE:AE),FALSE),0)</f>
        <v>4802991</v>
      </c>
      <c r="K50" s="20">
        <f>IFERROR(Vertailu[[#This Row],[Simuloitu rahoitus sis. hark. kor. ilman alv, €]]-Vertailu[[#This Row],[2019 rahoitus sis. hark. kor. ilman alv, €]],0)</f>
        <v>-20238</v>
      </c>
      <c r="L50" s="18">
        <f>IFERROR(Vertailu[[#This Row],[Muutos, € 2]]/Vertailu[[#This Row],[2019 rahoitus sis. hark. kor. ilman alv, €]],0)</f>
        <v>-4.1959442522841025E-3</v>
      </c>
      <c r="M50" s="134">
        <f>IFERROR(VLOOKUP(Vertailu[[#This Row],[Y-tunnus]],'3.2 Suoritepäätös 2019'!$A:$S,COLUMN('3.2 Suoritepäätös 2019'!Q:Q),FALSE)+VLOOKUP(Vertailu[[#This Row],[Y-tunnus]],'3.2 Suoritepäätös 2019'!$A:$S,COLUMN('3.2 Suoritepäätös 2019'!R:R),FALSE),0)</f>
        <v>5074407</v>
      </c>
      <c r="N50" s="132">
        <f>IFERROR(VLOOKUP(Vertailu[[#This Row],[Y-tunnus]],'1.2 Ohjaus-laskentataulu'!A:AG,COLUMN('1.2 Ohjaus-laskentataulu'!AG:AG),FALSE),0)</f>
        <v>5217451.9400000004</v>
      </c>
      <c r="O50" s="142">
        <f>IFERROR(Vertailu[[#This Row],[Simuloitu rahoitus sis. hark. kor. + alv, €]]-Vertailu[[#This Row],[2019 rahoitus sis. hark. kor. + alv, €]],0)</f>
        <v>143044.94000000041</v>
      </c>
      <c r="P50" s="37">
        <f>IFERROR(Vertailu[[#This Row],[Muutos, € 3]]/Vertailu[[#This Row],[2019 rahoitus sis. hark. kor. + alv, €]],0)</f>
        <v>2.8189488939298801E-2</v>
      </c>
    </row>
    <row r="51" spans="1:16" x14ac:dyDescent="0.25">
      <c r="A51" s="24" t="s">
        <v>361</v>
      </c>
      <c r="B51" s="143" t="s">
        <v>62</v>
      </c>
      <c r="C51" s="143" t="s">
        <v>343</v>
      </c>
      <c r="D51" s="144" t="s">
        <v>412</v>
      </c>
      <c r="E51" s="20">
        <f>IFERROR(VLOOKUP(Vertailu[[#This Row],[Y-tunnus]],'3.2 Suoritepäätös 2019'!$A:$S,COLUMN('3.2 Suoritepäätös 2019'!Q:Q),FALSE)-VLOOKUP(Vertailu[[#This Row],[Y-tunnus]],'3.2 Suoritepäätös 2019'!$A:$S,COLUMN('3.2 Suoritepäätös 2019'!L:L),FALSE),0)</f>
        <v>653586</v>
      </c>
      <c r="F51" s="20">
        <f>IFERROR(VLOOKUP(Vertailu[[#This Row],[Y-tunnus]],'1.2 Ohjaus-laskentataulu'!A:AG,COLUMN('1.2 Ohjaus-laskentataulu'!Z:Z),FALSE),0)</f>
        <v>678501</v>
      </c>
      <c r="G51" s="20">
        <f>IFERROR(Vertailu[[#This Row],[Simuloitu rahoitus pl. hark. kor. ilman alv, €]]-Vertailu[[#This Row],[2019 rahoitus pl. hark. kor. ilman alv, €]],0)</f>
        <v>24915</v>
      </c>
      <c r="H51" s="37">
        <f>IFERROR(Vertailu[[#This Row],[Muutos, € 1]]/Vertailu[[#This Row],[2019 rahoitus pl. hark. kor. ilman alv, €]],0)</f>
        <v>3.8120461576594357E-2</v>
      </c>
      <c r="I51" s="132">
        <f>IFERROR(VLOOKUP(Vertailu[[#This Row],[Y-tunnus]],'3.2 Suoritepäätös 2019'!$A:$S,COLUMN('3.2 Suoritepäätös 2019'!Q:Q),FALSE),0)</f>
        <v>653586</v>
      </c>
      <c r="J51" s="134">
        <f>IFERROR(VLOOKUP(Vertailu[[#This Row],[Y-tunnus]],'1.2 Ohjaus-laskentataulu'!A:AG,COLUMN('1.2 Ohjaus-laskentataulu'!AE:AE),FALSE),0)</f>
        <v>678501</v>
      </c>
      <c r="K51" s="20">
        <f>IFERROR(Vertailu[[#This Row],[Simuloitu rahoitus sis. hark. kor. ilman alv, €]]-Vertailu[[#This Row],[2019 rahoitus sis. hark. kor. ilman alv, €]],0)</f>
        <v>24915</v>
      </c>
      <c r="L51" s="18">
        <f>IFERROR(Vertailu[[#This Row],[Muutos, € 2]]/Vertailu[[#This Row],[2019 rahoitus sis. hark. kor. ilman alv, €]],0)</f>
        <v>3.8120461576594357E-2</v>
      </c>
      <c r="M51" s="134">
        <f>IFERROR(VLOOKUP(Vertailu[[#This Row],[Y-tunnus]],'3.2 Suoritepäätös 2019'!$A:$S,COLUMN('3.2 Suoritepäätös 2019'!Q:Q),FALSE)+VLOOKUP(Vertailu[[#This Row],[Y-tunnus]],'3.2 Suoritepäätös 2019'!$A:$S,COLUMN('3.2 Suoritepäätös 2019'!R:R),FALSE),0)</f>
        <v>687253</v>
      </c>
      <c r="N51" s="132">
        <f>IFERROR(VLOOKUP(Vertailu[[#This Row],[Y-tunnus]],'1.2 Ohjaus-laskentataulu'!A:AG,COLUMN('1.2 Ohjaus-laskentataulu'!AG:AG),FALSE),0)</f>
        <v>712209.32</v>
      </c>
      <c r="O51" s="142">
        <f>IFERROR(Vertailu[[#This Row],[Simuloitu rahoitus sis. hark. kor. + alv, €]]-Vertailu[[#This Row],[2019 rahoitus sis. hark. kor. + alv, €]],0)</f>
        <v>24956.319999999949</v>
      </c>
      <c r="P51" s="37">
        <f>IFERROR(Vertailu[[#This Row],[Muutos, € 3]]/Vertailu[[#This Row],[2019 rahoitus sis. hark. kor. + alv, €]],0)</f>
        <v>3.6313148141950559E-2</v>
      </c>
    </row>
    <row r="52" spans="1:16" x14ac:dyDescent="0.25">
      <c r="A52" s="24" t="s">
        <v>360</v>
      </c>
      <c r="B52" s="143" t="s">
        <v>63</v>
      </c>
      <c r="C52" s="143" t="s">
        <v>236</v>
      </c>
      <c r="D52" s="144" t="s">
        <v>412</v>
      </c>
      <c r="E52" s="20">
        <f>IFERROR(VLOOKUP(Vertailu[[#This Row],[Y-tunnus]],'3.2 Suoritepäätös 2019'!$A:$S,COLUMN('3.2 Suoritepäätös 2019'!Q:Q),FALSE)-VLOOKUP(Vertailu[[#This Row],[Y-tunnus]],'3.2 Suoritepäätös 2019'!$A:$S,COLUMN('3.2 Suoritepäätös 2019'!L:L),FALSE),0)</f>
        <v>701241</v>
      </c>
      <c r="F52" s="20">
        <f>IFERROR(VLOOKUP(Vertailu[[#This Row],[Y-tunnus]],'1.2 Ohjaus-laskentataulu'!A:AG,COLUMN('1.2 Ohjaus-laskentataulu'!Z:Z),FALSE),0)</f>
        <v>637740</v>
      </c>
      <c r="G52" s="20">
        <f>IFERROR(Vertailu[[#This Row],[Simuloitu rahoitus pl. hark. kor. ilman alv, €]]-Vertailu[[#This Row],[2019 rahoitus pl. hark. kor. ilman alv, €]],0)</f>
        <v>-63501</v>
      </c>
      <c r="H52" s="37">
        <f>IFERROR(Vertailu[[#This Row],[Muutos, € 1]]/Vertailu[[#This Row],[2019 rahoitus pl. hark. kor. ilman alv, €]],0)</f>
        <v>-9.0555172900614767E-2</v>
      </c>
      <c r="I52" s="132">
        <f>IFERROR(VLOOKUP(Vertailu[[#This Row],[Y-tunnus]],'3.2 Suoritepäätös 2019'!$A:$S,COLUMN('3.2 Suoritepäätös 2019'!Q:Q),FALSE),0)</f>
        <v>761241</v>
      </c>
      <c r="J52" s="134">
        <f>IFERROR(VLOOKUP(Vertailu[[#This Row],[Y-tunnus]],'1.2 Ohjaus-laskentataulu'!A:AG,COLUMN('1.2 Ohjaus-laskentataulu'!AE:AE),FALSE),0)</f>
        <v>637740</v>
      </c>
      <c r="K52" s="20">
        <f>IFERROR(Vertailu[[#This Row],[Simuloitu rahoitus sis. hark. kor. ilman alv, €]]-Vertailu[[#This Row],[2019 rahoitus sis. hark. kor. ilman alv, €]],0)</f>
        <v>-123501</v>
      </c>
      <c r="L52" s="18">
        <f>IFERROR(Vertailu[[#This Row],[Muutos, € 2]]/Vertailu[[#This Row],[2019 rahoitus sis. hark. kor. ilman alv, €]],0)</f>
        <v>-0.16223640082444324</v>
      </c>
      <c r="M52" s="134">
        <f>IFERROR(VLOOKUP(Vertailu[[#This Row],[Y-tunnus]],'3.2 Suoritepäätös 2019'!$A:$S,COLUMN('3.2 Suoritepäätös 2019'!Q:Q),FALSE)+VLOOKUP(Vertailu[[#This Row],[Y-tunnus]],'3.2 Suoritepäätös 2019'!$A:$S,COLUMN('3.2 Suoritepäätös 2019'!R:R),FALSE),0)</f>
        <v>802062</v>
      </c>
      <c r="N52" s="132">
        <f>IFERROR(VLOOKUP(Vertailu[[#This Row],[Y-tunnus]],'1.2 Ohjaus-laskentataulu'!A:AG,COLUMN('1.2 Ohjaus-laskentataulu'!AG:AG),FALSE),0)</f>
        <v>675115.14</v>
      </c>
      <c r="O52" s="142">
        <f>IFERROR(Vertailu[[#This Row],[Simuloitu rahoitus sis. hark. kor. + alv, €]]-Vertailu[[#This Row],[2019 rahoitus sis. hark. kor. + alv, €]],0)</f>
        <v>-126946.85999999999</v>
      </c>
      <c r="P52" s="37">
        <f>IFERROR(Vertailu[[#This Row],[Muutos, € 3]]/Vertailu[[#This Row],[2019 rahoitus sis. hark. kor. + alv, €]],0)</f>
        <v>-0.15827561959050546</v>
      </c>
    </row>
    <row r="53" spans="1:16" x14ac:dyDescent="0.25">
      <c r="A53" s="24" t="s">
        <v>359</v>
      </c>
      <c r="B53" s="143" t="s">
        <v>64</v>
      </c>
      <c r="C53" s="143" t="s">
        <v>294</v>
      </c>
      <c r="D53" s="144" t="s">
        <v>411</v>
      </c>
      <c r="E53" s="20">
        <f>IFERROR(VLOOKUP(Vertailu[[#This Row],[Y-tunnus]],'3.2 Suoritepäätös 2019'!$A:$S,COLUMN('3.2 Suoritepäätös 2019'!Q:Q),FALSE)-VLOOKUP(Vertailu[[#This Row],[Y-tunnus]],'3.2 Suoritepäätös 2019'!$A:$S,COLUMN('3.2 Suoritepäätös 2019'!L:L),FALSE),0)</f>
        <v>23561004</v>
      </c>
      <c r="F53" s="20">
        <f>IFERROR(VLOOKUP(Vertailu[[#This Row],[Y-tunnus]],'1.2 Ohjaus-laskentataulu'!A:AG,COLUMN('1.2 Ohjaus-laskentataulu'!Z:Z),FALSE),0)</f>
        <v>22575885</v>
      </c>
      <c r="G53" s="20">
        <f>IFERROR(Vertailu[[#This Row],[Simuloitu rahoitus pl. hark. kor. ilman alv, €]]-Vertailu[[#This Row],[2019 rahoitus pl. hark. kor. ilman alv, €]],0)</f>
        <v>-985119</v>
      </c>
      <c r="H53" s="37">
        <f>IFERROR(Vertailu[[#This Row],[Muutos, € 1]]/Vertailu[[#This Row],[2019 rahoitus pl. hark. kor. ilman alv, €]],0)</f>
        <v>-4.1811418562638501E-2</v>
      </c>
      <c r="I53" s="132">
        <f>IFERROR(VLOOKUP(Vertailu[[#This Row],[Y-tunnus]],'3.2 Suoritepäätös 2019'!$A:$S,COLUMN('3.2 Suoritepäätös 2019'!Q:Q),FALSE),0)</f>
        <v>23561004</v>
      </c>
      <c r="J53" s="134">
        <f>IFERROR(VLOOKUP(Vertailu[[#This Row],[Y-tunnus]],'1.2 Ohjaus-laskentataulu'!A:AG,COLUMN('1.2 Ohjaus-laskentataulu'!AE:AE),FALSE),0)</f>
        <v>22575885</v>
      </c>
      <c r="K53" s="20">
        <f>IFERROR(Vertailu[[#This Row],[Simuloitu rahoitus sis. hark. kor. ilman alv, €]]-Vertailu[[#This Row],[2019 rahoitus sis. hark. kor. ilman alv, €]],0)</f>
        <v>-985119</v>
      </c>
      <c r="L53" s="18">
        <f>IFERROR(Vertailu[[#This Row],[Muutos, € 2]]/Vertailu[[#This Row],[2019 rahoitus sis. hark. kor. ilman alv, €]],0)</f>
        <v>-4.1811418562638501E-2</v>
      </c>
      <c r="M53" s="134">
        <f>IFERROR(VLOOKUP(Vertailu[[#This Row],[Y-tunnus]],'3.2 Suoritepäätös 2019'!$A:$S,COLUMN('3.2 Suoritepäätös 2019'!Q:Q),FALSE)+VLOOKUP(Vertailu[[#This Row],[Y-tunnus]],'3.2 Suoritepäätös 2019'!$A:$S,COLUMN('3.2 Suoritepäätös 2019'!R:R),FALSE),0)</f>
        <v>23561004</v>
      </c>
      <c r="N53" s="132">
        <f>IFERROR(VLOOKUP(Vertailu[[#This Row],[Y-tunnus]],'1.2 Ohjaus-laskentataulu'!A:AG,COLUMN('1.2 Ohjaus-laskentataulu'!AG:AG),FALSE),0)</f>
        <v>22575885</v>
      </c>
      <c r="O53" s="142">
        <f>IFERROR(Vertailu[[#This Row],[Simuloitu rahoitus sis. hark. kor. + alv, €]]-Vertailu[[#This Row],[2019 rahoitus sis. hark. kor. + alv, €]],0)</f>
        <v>-985119</v>
      </c>
      <c r="P53" s="37">
        <f>IFERROR(Vertailu[[#This Row],[Muutos, € 3]]/Vertailu[[#This Row],[2019 rahoitus sis. hark. kor. + alv, €]],0)</f>
        <v>-4.1811418562638501E-2</v>
      </c>
    </row>
    <row r="54" spans="1:16" x14ac:dyDescent="0.25">
      <c r="A54" s="24" t="s">
        <v>345</v>
      </c>
      <c r="B54" s="143" t="s">
        <v>65</v>
      </c>
      <c r="C54" s="143" t="s">
        <v>343</v>
      </c>
      <c r="D54" s="144" t="s">
        <v>412</v>
      </c>
      <c r="E54" s="20">
        <f>IFERROR(VLOOKUP(Vertailu[[#This Row],[Y-tunnus]],'3.2 Suoritepäätös 2019'!$A:$S,COLUMN('3.2 Suoritepäätös 2019'!Q:Q),FALSE)-VLOOKUP(Vertailu[[#This Row],[Y-tunnus]],'3.2 Suoritepäätös 2019'!$A:$S,COLUMN('3.2 Suoritepäätös 2019'!L:L),FALSE),0)</f>
        <v>659530</v>
      </c>
      <c r="F54" s="20">
        <f>IFERROR(VLOOKUP(Vertailu[[#This Row],[Y-tunnus]],'1.2 Ohjaus-laskentataulu'!A:AG,COLUMN('1.2 Ohjaus-laskentataulu'!Z:Z),FALSE),0)</f>
        <v>655987</v>
      </c>
      <c r="G54" s="20">
        <f>IFERROR(Vertailu[[#This Row],[Simuloitu rahoitus pl. hark. kor. ilman alv, €]]-Vertailu[[#This Row],[2019 rahoitus pl. hark. kor. ilman alv, €]],0)</f>
        <v>-3543</v>
      </c>
      <c r="H54" s="37">
        <f>IFERROR(Vertailu[[#This Row],[Muutos, € 1]]/Vertailu[[#This Row],[2019 rahoitus pl. hark. kor. ilman alv, €]],0)</f>
        <v>-5.3720073385592768E-3</v>
      </c>
      <c r="I54" s="132">
        <f>IFERROR(VLOOKUP(Vertailu[[#This Row],[Y-tunnus]],'3.2 Suoritepäätös 2019'!$A:$S,COLUMN('3.2 Suoritepäätös 2019'!Q:Q),FALSE),0)</f>
        <v>659530</v>
      </c>
      <c r="J54" s="134">
        <f>IFERROR(VLOOKUP(Vertailu[[#This Row],[Y-tunnus]],'1.2 Ohjaus-laskentataulu'!A:AG,COLUMN('1.2 Ohjaus-laskentataulu'!AE:AE),FALSE),0)</f>
        <v>655987</v>
      </c>
      <c r="K54" s="20">
        <f>IFERROR(Vertailu[[#This Row],[Simuloitu rahoitus sis. hark. kor. ilman alv, €]]-Vertailu[[#This Row],[2019 rahoitus sis. hark. kor. ilman alv, €]],0)</f>
        <v>-3543</v>
      </c>
      <c r="L54" s="18">
        <f>IFERROR(Vertailu[[#This Row],[Muutos, € 2]]/Vertailu[[#This Row],[2019 rahoitus sis. hark. kor. ilman alv, €]],0)</f>
        <v>-5.3720073385592768E-3</v>
      </c>
      <c r="M54" s="134">
        <f>IFERROR(VLOOKUP(Vertailu[[#This Row],[Y-tunnus]],'3.2 Suoritepäätös 2019'!$A:$S,COLUMN('3.2 Suoritepäätös 2019'!Q:Q),FALSE)+VLOOKUP(Vertailu[[#This Row],[Y-tunnus]],'3.2 Suoritepäätös 2019'!$A:$S,COLUMN('3.2 Suoritepäätös 2019'!R:R),FALSE),0)</f>
        <v>694432</v>
      </c>
      <c r="N54" s="132">
        <f>IFERROR(VLOOKUP(Vertailu[[#This Row],[Y-tunnus]],'1.2 Ohjaus-laskentataulu'!A:AG,COLUMN('1.2 Ohjaus-laskentataulu'!AG:AG),FALSE),0)</f>
        <v>671996.52</v>
      </c>
      <c r="O54" s="142">
        <f>IFERROR(Vertailu[[#This Row],[Simuloitu rahoitus sis. hark. kor. + alv, €]]-Vertailu[[#This Row],[2019 rahoitus sis. hark. kor. + alv, €]],0)</f>
        <v>-22435.479999999981</v>
      </c>
      <c r="P54" s="37">
        <f>IFERROR(Vertailu[[#This Row],[Muutos, € 3]]/Vertailu[[#This Row],[2019 rahoitus sis. hark. kor. + alv, €]],0)</f>
        <v>-3.2307670153449125E-2</v>
      </c>
    </row>
    <row r="55" spans="1:16" x14ac:dyDescent="0.25">
      <c r="A55" s="24" t="s">
        <v>344</v>
      </c>
      <c r="B55" s="143" t="s">
        <v>66</v>
      </c>
      <c r="C55" s="143" t="s">
        <v>343</v>
      </c>
      <c r="D55" s="144" t="s">
        <v>411</v>
      </c>
      <c r="E55" s="20">
        <f>IFERROR(VLOOKUP(Vertailu[[#This Row],[Y-tunnus]],'3.2 Suoritepäätös 2019'!$A:$S,COLUMN('3.2 Suoritepäätös 2019'!Q:Q),FALSE)-VLOOKUP(Vertailu[[#This Row],[Y-tunnus]],'3.2 Suoritepäätös 2019'!$A:$S,COLUMN('3.2 Suoritepäätös 2019'!L:L),FALSE),0)</f>
        <v>26044654</v>
      </c>
      <c r="F55" s="20">
        <f>IFERROR(VLOOKUP(Vertailu[[#This Row],[Y-tunnus]],'1.2 Ohjaus-laskentataulu'!A:AG,COLUMN('1.2 Ohjaus-laskentataulu'!Z:Z),FALSE),0)</f>
        <v>26462607</v>
      </c>
      <c r="G55" s="20">
        <f>IFERROR(Vertailu[[#This Row],[Simuloitu rahoitus pl. hark. kor. ilman alv, €]]-Vertailu[[#This Row],[2019 rahoitus pl. hark. kor. ilman alv, €]],0)</f>
        <v>417953</v>
      </c>
      <c r="H55" s="37">
        <f>IFERROR(Vertailu[[#This Row],[Muutos, € 1]]/Vertailu[[#This Row],[2019 rahoitus pl. hark. kor. ilman alv, €]],0)</f>
        <v>1.6047554327271923E-2</v>
      </c>
      <c r="I55" s="132">
        <f>IFERROR(VLOOKUP(Vertailu[[#This Row],[Y-tunnus]],'3.2 Suoritepäätös 2019'!$A:$S,COLUMN('3.2 Suoritepäätös 2019'!Q:Q),FALSE),0)</f>
        <v>26444654</v>
      </c>
      <c r="J55" s="134">
        <f>IFERROR(VLOOKUP(Vertailu[[#This Row],[Y-tunnus]],'1.2 Ohjaus-laskentataulu'!A:AG,COLUMN('1.2 Ohjaus-laskentataulu'!AE:AE),FALSE),0)</f>
        <v>26462607</v>
      </c>
      <c r="K55" s="20">
        <f>IFERROR(Vertailu[[#This Row],[Simuloitu rahoitus sis. hark. kor. ilman alv, €]]-Vertailu[[#This Row],[2019 rahoitus sis. hark. kor. ilman alv, €]],0)</f>
        <v>17953</v>
      </c>
      <c r="L55" s="18">
        <f>IFERROR(Vertailu[[#This Row],[Muutos, € 2]]/Vertailu[[#This Row],[2019 rahoitus sis. hark. kor. ilman alv, €]],0)</f>
        <v>6.7888957821115757E-4</v>
      </c>
      <c r="M55" s="134">
        <f>IFERROR(VLOOKUP(Vertailu[[#This Row],[Y-tunnus]],'3.2 Suoritepäätös 2019'!$A:$S,COLUMN('3.2 Suoritepäätös 2019'!Q:Q),FALSE)+VLOOKUP(Vertailu[[#This Row],[Y-tunnus]],'3.2 Suoritepäätös 2019'!$A:$S,COLUMN('3.2 Suoritepäätös 2019'!R:R),FALSE),0)</f>
        <v>26444654</v>
      </c>
      <c r="N55" s="132">
        <f>IFERROR(VLOOKUP(Vertailu[[#This Row],[Y-tunnus]],'1.2 Ohjaus-laskentataulu'!A:AG,COLUMN('1.2 Ohjaus-laskentataulu'!AG:AG),FALSE),0)</f>
        <v>26462607</v>
      </c>
      <c r="O55" s="142">
        <f>IFERROR(Vertailu[[#This Row],[Simuloitu rahoitus sis. hark. kor. + alv, €]]-Vertailu[[#This Row],[2019 rahoitus sis. hark. kor. + alv, €]],0)</f>
        <v>17953</v>
      </c>
      <c r="P55" s="37">
        <f>IFERROR(Vertailu[[#This Row],[Muutos, € 3]]/Vertailu[[#This Row],[2019 rahoitus sis. hark. kor. + alv, €]],0)</f>
        <v>6.7888957821115757E-4</v>
      </c>
    </row>
    <row r="56" spans="1:16" x14ac:dyDescent="0.25">
      <c r="A56" s="24" t="s">
        <v>338</v>
      </c>
      <c r="B56" s="143" t="s">
        <v>67</v>
      </c>
      <c r="C56" s="143" t="s">
        <v>236</v>
      </c>
      <c r="D56" s="144" t="s">
        <v>411</v>
      </c>
      <c r="E56" s="20">
        <f>IFERROR(VLOOKUP(Vertailu[[#This Row],[Y-tunnus]],'3.2 Suoritepäätös 2019'!$A:$S,COLUMN('3.2 Suoritepäätös 2019'!Q:Q),FALSE)-VLOOKUP(Vertailu[[#This Row],[Y-tunnus]],'3.2 Suoritepäätös 2019'!$A:$S,COLUMN('3.2 Suoritepäätös 2019'!L:L),FALSE),0)</f>
        <v>50252689</v>
      </c>
      <c r="F56" s="20">
        <f>IFERROR(VLOOKUP(Vertailu[[#This Row],[Y-tunnus]],'1.2 Ohjaus-laskentataulu'!A:AG,COLUMN('1.2 Ohjaus-laskentataulu'!Z:Z),FALSE),0)</f>
        <v>46900976</v>
      </c>
      <c r="G56" s="20">
        <f>IFERROR(Vertailu[[#This Row],[Simuloitu rahoitus pl. hark. kor. ilman alv, €]]-Vertailu[[#This Row],[2019 rahoitus pl. hark. kor. ilman alv, €]],0)</f>
        <v>-3351713</v>
      </c>
      <c r="H56" s="37">
        <f>IFERROR(Vertailu[[#This Row],[Muutos, € 1]]/Vertailu[[#This Row],[2019 rahoitus pl. hark. kor. ilman alv, €]],0)</f>
        <v>-6.6697187089829163E-2</v>
      </c>
      <c r="I56" s="132">
        <f>IFERROR(VLOOKUP(Vertailu[[#This Row],[Y-tunnus]],'3.2 Suoritepäätös 2019'!$A:$S,COLUMN('3.2 Suoritepäätös 2019'!Q:Q),FALSE),0)</f>
        <v>50252689</v>
      </c>
      <c r="J56" s="134">
        <f>IFERROR(VLOOKUP(Vertailu[[#This Row],[Y-tunnus]],'1.2 Ohjaus-laskentataulu'!A:AG,COLUMN('1.2 Ohjaus-laskentataulu'!AE:AE),FALSE),0)</f>
        <v>46900976</v>
      </c>
      <c r="K56" s="20">
        <f>IFERROR(Vertailu[[#This Row],[Simuloitu rahoitus sis. hark. kor. ilman alv, €]]-Vertailu[[#This Row],[2019 rahoitus sis. hark. kor. ilman alv, €]],0)</f>
        <v>-3351713</v>
      </c>
      <c r="L56" s="18">
        <f>IFERROR(Vertailu[[#This Row],[Muutos, € 2]]/Vertailu[[#This Row],[2019 rahoitus sis. hark. kor. ilman alv, €]],0)</f>
        <v>-6.6697187089829163E-2</v>
      </c>
      <c r="M56" s="134">
        <f>IFERROR(VLOOKUP(Vertailu[[#This Row],[Y-tunnus]],'3.2 Suoritepäätös 2019'!$A:$S,COLUMN('3.2 Suoritepäätös 2019'!Q:Q),FALSE)+VLOOKUP(Vertailu[[#This Row],[Y-tunnus]],'3.2 Suoritepäätös 2019'!$A:$S,COLUMN('3.2 Suoritepäätös 2019'!R:R),FALSE),0)</f>
        <v>50252689</v>
      </c>
      <c r="N56" s="132">
        <f>IFERROR(VLOOKUP(Vertailu[[#This Row],[Y-tunnus]],'1.2 Ohjaus-laskentataulu'!A:AG,COLUMN('1.2 Ohjaus-laskentataulu'!AG:AG),FALSE),0)</f>
        <v>46900976</v>
      </c>
      <c r="O56" s="142">
        <f>IFERROR(Vertailu[[#This Row],[Simuloitu rahoitus sis. hark. kor. + alv, €]]-Vertailu[[#This Row],[2019 rahoitus sis. hark. kor. + alv, €]],0)</f>
        <v>-3351713</v>
      </c>
      <c r="P56" s="37">
        <f>IFERROR(Vertailu[[#This Row],[Muutos, € 3]]/Vertailu[[#This Row],[2019 rahoitus sis. hark. kor. + alv, €]],0)</f>
        <v>-6.6697187089829163E-2</v>
      </c>
    </row>
    <row r="57" spans="1:16" x14ac:dyDescent="0.25">
      <c r="A57" s="24" t="s">
        <v>358</v>
      </c>
      <c r="B57" s="143" t="s">
        <v>68</v>
      </c>
      <c r="C57" s="143" t="s">
        <v>236</v>
      </c>
      <c r="D57" s="144" t="s">
        <v>412</v>
      </c>
      <c r="E57" s="20">
        <f>IFERROR(VLOOKUP(Vertailu[[#This Row],[Y-tunnus]],'3.2 Suoritepäätös 2019'!$A:$S,COLUMN('3.2 Suoritepäätös 2019'!Q:Q),FALSE)-VLOOKUP(Vertailu[[#This Row],[Y-tunnus]],'3.2 Suoritepäätös 2019'!$A:$S,COLUMN('3.2 Suoritepäätös 2019'!L:L),FALSE),0)</f>
        <v>1767165</v>
      </c>
      <c r="F57" s="20">
        <f>IFERROR(VLOOKUP(Vertailu[[#This Row],[Y-tunnus]],'1.2 Ohjaus-laskentataulu'!A:AG,COLUMN('1.2 Ohjaus-laskentataulu'!Z:Z),FALSE),0)</f>
        <v>1795337</v>
      </c>
      <c r="G57" s="20">
        <f>IFERROR(Vertailu[[#This Row],[Simuloitu rahoitus pl. hark. kor. ilman alv, €]]-Vertailu[[#This Row],[2019 rahoitus pl. hark. kor. ilman alv, €]],0)</f>
        <v>28172</v>
      </c>
      <c r="H57" s="37">
        <f>IFERROR(Vertailu[[#This Row],[Muutos, € 1]]/Vertailu[[#This Row],[2019 rahoitus pl. hark. kor. ilman alv, €]],0)</f>
        <v>1.5941918270223777E-2</v>
      </c>
      <c r="I57" s="132">
        <f>IFERROR(VLOOKUP(Vertailu[[#This Row],[Y-tunnus]],'3.2 Suoritepäätös 2019'!$A:$S,COLUMN('3.2 Suoritepäätös 2019'!Q:Q),FALSE),0)</f>
        <v>2067165</v>
      </c>
      <c r="J57" s="134">
        <f>IFERROR(VLOOKUP(Vertailu[[#This Row],[Y-tunnus]],'1.2 Ohjaus-laskentataulu'!A:AG,COLUMN('1.2 Ohjaus-laskentataulu'!AE:AE),FALSE),0)</f>
        <v>1795337</v>
      </c>
      <c r="K57" s="20">
        <f>IFERROR(Vertailu[[#This Row],[Simuloitu rahoitus sis. hark. kor. ilman alv, €]]-Vertailu[[#This Row],[2019 rahoitus sis. hark. kor. ilman alv, €]],0)</f>
        <v>-271828</v>
      </c>
      <c r="L57" s="18">
        <f>IFERROR(Vertailu[[#This Row],[Muutos, € 2]]/Vertailu[[#This Row],[2019 rahoitus sis. hark. kor. ilman alv, €]],0)</f>
        <v>-0.13149796944123956</v>
      </c>
      <c r="M57" s="134">
        <f>IFERROR(VLOOKUP(Vertailu[[#This Row],[Y-tunnus]],'3.2 Suoritepäätös 2019'!$A:$S,COLUMN('3.2 Suoritepäätös 2019'!Q:Q),FALSE)+VLOOKUP(Vertailu[[#This Row],[Y-tunnus]],'3.2 Suoritepäätös 2019'!$A:$S,COLUMN('3.2 Suoritepäätös 2019'!R:R),FALSE),0)</f>
        <v>2182117</v>
      </c>
      <c r="N57" s="132">
        <f>IFERROR(VLOOKUP(Vertailu[[#This Row],[Y-tunnus]],'1.2 Ohjaus-laskentataulu'!A:AG,COLUMN('1.2 Ohjaus-laskentataulu'!AG:AG),FALSE),0)</f>
        <v>2089095.75</v>
      </c>
      <c r="O57" s="142">
        <f>IFERROR(Vertailu[[#This Row],[Simuloitu rahoitus sis. hark. kor. + alv, €]]-Vertailu[[#This Row],[2019 rahoitus sis. hark. kor. + alv, €]],0)</f>
        <v>-93021.25</v>
      </c>
      <c r="P57" s="37">
        <f>IFERROR(Vertailu[[#This Row],[Muutos, € 3]]/Vertailu[[#This Row],[2019 rahoitus sis. hark. kor. + alv, €]],0)</f>
        <v>-4.2628901200073142E-2</v>
      </c>
    </row>
    <row r="58" spans="1:16" x14ac:dyDescent="0.25">
      <c r="A58" s="24" t="s">
        <v>357</v>
      </c>
      <c r="B58" s="143" t="s">
        <v>69</v>
      </c>
      <c r="C58" s="143" t="s">
        <v>332</v>
      </c>
      <c r="D58" s="144" t="s">
        <v>412</v>
      </c>
      <c r="E58" s="20">
        <f>IFERROR(VLOOKUP(Vertailu[[#This Row],[Y-tunnus]],'3.2 Suoritepäätös 2019'!$A:$S,COLUMN('3.2 Suoritepäätös 2019'!Q:Q),FALSE)-VLOOKUP(Vertailu[[#This Row],[Y-tunnus]],'3.2 Suoritepäätös 2019'!$A:$S,COLUMN('3.2 Suoritepäätös 2019'!L:L),FALSE),0)</f>
        <v>19053537</v>
      </c>
      <c r="F58" s="20">
        <f>IFERROR(VLOOKUP(Vertailu[[#This Row],[Y-tunnus]],'1.2 Ohjaus-laskentataulu'!A:AG,COLUMN('1.2 Ohjaus-laskentataulu'!Z:Z),FALSE),0)</f>
        <v>19731206</v>
      </c>
      <c r="G58" s="20">
        <f>IFERROR(Vertailu[[#This Row],[Simuloitu rahoitus pl. hark. kor. ilman alv, €]]-Vertailu[[#This Row],[2019 rahoitus pl. hark. kor. ilman alv, €]],0)</f>
        <v>677669</v>
      </c>
      <c r="H58" s="37">
        <f>IFERROR(Vertailu[[#This Row],[Muutos, € 1]]/Vertailu[[#This Row],[2019 rahoitus pl. hark. kor. ilman alv, €]],0)</f>
        <v>3.5566572232756576E-2</v>
      </c>
      <c r="I58" s="132">
        <f>IFERROR(VLOOKUP(Vertailu[[#This Row],[Y-tunnus]],'3.2 Suoritepäätös 2019'!$A:$S,COLUMN('3.2 Suoritepäätös 2019'!Q:Q),FALSE),0)</f>
        <v>19053537</v>
      </c>
      <c r="J58" s="134">
        <f>IFERROR(VLOOKUP(Vertailu[[#This Row],[Y-tunnus]],'1.2 Ohjaus-laskentataulu'!A:AG,COLUMN('1.2 Ohjaus-laskentataulu'!AE:AE),FALSE),0)</f>
        <v>19731206</v>
      </c>
      <c r="K58" s="20">
        <f>IFERROR(Vertailu[[#This Row],[Simuloitu rahoitus sis. hark. kor. ilman alv, €]]-Vertailu[[#This Row],[2019 rahoitus sis. hark. kor. ilman alv, €]],0)</f>
        <v>677669</v>
      </c>
      <c r="L58" s="18">
        <f>IFERROR(Vertailu[[#This Row],[Muutos, € 2]]/Vertailu[[#This Row],[2019 rahoitus sis. hark. kor. ilman alv, €]],0)</f>
        <v>3.5566572232756576E-2</v>
      </c>
      <c r="M58" s="134">
        <f>IFERROR(VLOOKUP(Vertailu[[#This Row],[Y-tunnus]],'3.2 Suoritepäätös 2019'!$A:$S,COLUMN('3.2 Suoritepäätös 2019'!Q:Q),FALSE)+VLOOKUP(Vertailu[[#This Row],[Y-tunnus]],'3.2 Suoritepäätös 2019'!$A:$S,COLUMN('3.2 Suoritepäätös 2019'!R:R),FALSE),0)</f>
        <v>20107242</v>
      </c>
      <c r="N58" s="132">
        <f>IFERROR(VLOOKUP(Vertailu[[#This Row],[Y-tunnus]],'1.2 Ohjaus-laskentataulu'!A:AG,COLUMN('1.2 Ohjaus-laskentataulu'!AG:AG),FALSE),0)</f>
        <v>20376364.780000001</v>
      </c>
      <c r="O58" s="142">
        <f>IFERROR(Vertailu[[#This Row],[Simuloitu rahoitus sis. hark. kor. + alv, €]]-Vertailu[[#This Row],[2019 rahoitus sis. hark. kor. + alv, €]],0)</f>
        <v>269122.78000000119</v>
      </c>
      <c r="P58" s="37">
        <f>IFERROR(Vertailu[[#This Row],[Muutos, € 3]]/Vertailu[[#This Row],[2019 rahoitus sis. hark. kor. + alv, €]],0)</f>
        <v>1.3384370666051625E-2</v>
      </c>
    </row>
    <row r="59" spans="1:16" x14ac:dyDescent="0.25">
      <c r="A59" s="24" t="s">
        <v>356</v>
      </c>
      <c r="B59" s="143" t="s">
        <v>70</v>
      </c>
      <c r="C59" s="143" t="s">
        <v>236</v>
      </c>
      <c r="D59" s="144" t="s">
        <v>412</v>
      </c>
      <c r="E59" s="20">
        <f>IFERROR(VLOOKUP(Vertailu[[#This Row],[Y-tunnus]],'3.2 Suoritepäätös 2019'!$A:$S,COLUMN('3.2 Suoritepäätös 2019'!Q:Q),FALSE)-VLOOKUP(Vertailu[[#This Row],[Y-tunnus]],'3.2 Suoritepäätös 2019'!$A:$S,COLUMN('3.2 Suoritepäätös 2019'!L:L),FALSE),0)</f>
        <v>13099265</v>
      </c>
      <c r="F59" s="20">
        <f>IFERROR(VLOOKUP(Vertailu[[#This Row],[Y-tunnus]],'1.2 Ohjaus-laskentataulu'!A:AG,COLUMN('1.2 Ohjaus-laskentataulu'!Z:Z),FALSE),0)</f>
        <v>12664525</v>
      </c>
      <c r="G59" s="20">
        <f>IFERROR(Vertailu[[#This Row],[Simuloitu rahoitus pl. hark. kor. ilman alv, €]]-Vertailu[[#This Row],[2019 rahoitus pl. hark. kor. ilman alv, €]],0)</f>
        <v>-434740</v>
      </c>
      <c r="H59" s="37">
        <f>IFERROR(Vertailu[[#This Row],[Muutos, € 1]]/Vertailu[[#This Row],[2019 rahoitus pl. hark. kor. ilman alv, €]],0)</f>
        <v>-3.3188121623617811E-2</v>
      </c>
      <c r="I59" s="132">
        <f>IFERROR(VLOOKUP(Vertailu[[#This Row],[Y-tunnus]],'3.2 Suoritepäätös 2019'!$A:$S,COLUMN('3.2 Suoritepäätös 2019'!Q:Q),FALSE),0)</f>
        <v>13099265</v>
      </c>
      <c r="J59" s="134">
        <f>IFERROR(VLOOKUP(Vertailu[[#This Row],[Y-tunnus]],'1.2 Ohjaus-laskentataulu'!A:AG,COLUMN('1.2 Ohjaus-laskentataulu'!AE:AE),FALSE),0)</f>
        <v>12664525</v>
      </c>
      <c r="K59" s="20">
        <f>IFERROR(Vertailu[[#This Row],[Simuloitu rahoitus sis. hark. kor. ilman alv, €]]-Vertailu[[#This Row],[2019 rahoitus sis. hark. kor. ilman alv, €]],0)</f>
        <v>-434740</v>
      </c>
      <c r="L59" s="18">
        <f>IFERROR(Vertailu[[#This Row],[Muutos, € 2]]/Vertailu[[#This Row],[2019 rahoitus sis. hark. kor. ilman alv, €]],0)</f>
        <v>-3.3188121623617811E-2</v>
      </c>
      <c r="M59" s="134">
        <f>IFERROR(VLOOKUP(Vertailu[[#This Row],[Y-tunnus]],'3.2 Suoritepäätös 2019'!$A:$S,COLUMN('3.2 Suoritepäätös 2019'!Q:Q),FALSE)+VLOOKUP(Vertailu[[#This Row],[Y-tunnus]],'3.2 Suoritepäätös 2019'!$A:$S,COLUMN('3.2 Suoritepäätös 2019'!R:R),FALSE),0)</f>
        <v>13796672</v>
      </c>
      <c r="N59" s="132">
        <f>IFERROR(VLOOKUP(Vertailu[[#This Row],[Y-tunnus]],'1.2 Ohjaus-laskentataulu'!A:AG,COLUMN('1.2 Ohjaus-laskentataulu'!AG:AG),FALSE),0)</f>
        <v>13216975.67</v>
      </c>
      <c r="O59" s="142">
        <f>IFERROR(Vertailu[[#This Row],[Simuloitu rahoitus sis. hark. kor. + alv, €]]-Vertailu[[#This Row],[2019 rahoitus sis. hark. kor. + alv, €]],0)</f>
        <v>-579696.33000000007</v>
      </c>
      <c r="P59" s="37">
        <f>IFERROR(Vertailu[[#This Row],[Muutos, € 3]]/Vertailu[[#This Row],[2019 rahoitus sis. hark. kor. + alv, €]],0)</f>
        <v>-4.2017113257458036E-2</v>
      </c>
    </row>
    <row r="60" spans="1:16" x14ac:dyDescent="0.25">
      <c r="A60" s="24" t="s">
        <v>355</v>
      </c>
      <c r="B60" s="143" t="s">
        <v>71</v>
      </c>
      <c r="C60" s="143" t="s">
        <v>236</v>
      </c>
      <c r="D60" s="144" t="s">
        <v>412</v>
      </c>
      <c r="E60" s="20">
        <f>IFERROR(VLOOKUP(Vertailu[[#This Row],[Y-tunnus]],'3.2 Suoritepäätös 2019'!$A:$S,COLUMN('3.2 Suoritepäätös 2019'!Q:Q),FALSE)-VLOOKUP(Vertailu[[#This Row],[Y-tunnus]],'3.2 Suoritepäätös 2019'!$A:$S,COLUMN('3.2 Suoritepäätös 2019'!L:L),FALSE),0)</f>
        <v>1648635</v>
      </c>
      <c r="F60" s="20">
        <f>IFERROR(VLOOKUP(Vertailu[[#This Row],[Y-tunnus]],'1.2 Ohjaus-laskentataulu'!A:AG,COLUMN('1.2 Ohjaus-laskentataulu'!Z:Z),FALSE),0)</f>
        <v>1721142</v>
      </c>
      <c r="G60" s="20">
        <f>IFERROR(Vertailu[[#This Row],[Simuloitu rahoitus pl. hark. kor. ilman alv, €]]-Vertailu[[#This Row],[2019 rahoitus pl. hark. kor. ilman alv, €]],0)</f>
        <v>72507</v>
      </c>
      <c r="H60" s="37">
        <f>IFERROR(Vertailu[[#This Row],[Muutos, € 1]]/Vertailu[[#This Row],[2019 rahoitus pl. hark. kor. ilman alv, €]],0)</f>
        <v>4.3980019834590434E-2</v>
      </c>
      <c r="I60" s="132">
        <f>IFERROR(VLOOKUP(Vertailu[[#This Row],[Y-tunnus]],'3.2 Suoritepäätös 2019'!$A:$S,COLUMN('3.2 Suoritepäätös 2019'!Q:Q),FALSE),0)</f>
        <v>1648635</v>
      </c>
      <c r="J60" s="134">
        <f>IFERROR(VLOOKUP(Vertailu[[#This Row],[Y-tunnus]],'1.2 Ohjaus-laskentataulu'!A:AG,COLUMN('1.2 Ohjaus-laskentataulu'!AE:AE),FALSE),0)</f>
        <v>1721142</v>
      </c>
      <c r="K60" s="20">
        <f>IFERROR(Vertailu[[#This Row],[Simuloitu rahoitus sis. hark. kor. ilman alv, €]]-Vertailu[[#This Row],[2019 rahoitus sis. hark. kor. ilman alv, €]],0)</f>
        <v>72507</v>
      </c>
      <c r="L60" s="18">
        <f>IFERROR(Vertailu[[#This Row],[Muutos, € 2]]/Vertailu[[#This Row],[2019 rahoitus sis. hark. kor. ilman alv, €]],0)</f>
        <v>4.3980019834590434E-2</v>
      </c>
      <c r="M60" s="134">
        <f>IFERROR(VLOOKUP(Vertailu[[#This Row],[Y-tunnus]],'3.2 Suoritepäätös 2019'!$A:$S,COLUMN('3.2 Suoritepäätös 2019'!Q:Q),FALSE)+VLOOKUP(Vertailu[[#This Row],[Y-tunnus]],'3.2 Suoritepäätös 2019'!$A:$S,COLUMN('3.2 Suoritepäätös 2019'!R:R),FALSE),0)</f>
        <v>1735502</v>
      </c>
      <c r="N60" s="132">
        <f>IFERROR(VLOOKUP(Vertailu[[#This Row],[Y-tunnus]],'1.2 Ohjaus-laskentataulu'!A:AG,COLUMN('1.2 Ohjaus-laskentataulu'!AG:AG),FALSE),0)</f>
        <v>1736112.28</v>
      </c>
      <c r="O60" s="142">
        <f>IFERROR(Vertailu[[#This Row],[Simuloitu rahoitus sis. hark. kor. + alv, €]]-Vertailu[[#This Row],[2019 rahoitus sis. hark. kor. + alv, €]],0)</f>
        <v>610.28000000002794</v>
      </c>
      <c r="P60" s="37">
        <f>IFERROR(Vertailu[[#This Row],[Muutos, € 3]]/Vertailu[[#This Row],[2019 rahoitus sis. hark. kor. + alv, €]],0)</f>
        <v>3.5164465382352079E-4</v>
      </c>
    </row>
    <row r="61" spans="1:16" x14ac:dyDescent="0.25">
      <c r="A61" s="24" t="s">
        <v>354</v>
      </c>
      <c r="B61" s="143" t="s">
        <v>72</v>
      </c>
      <c r="C61" s="143" t="s">
        <v>315</v>
      </c>
      <c r="D61" s="144" t="s">
        <v>412</v>
      </c>
      <c r="E61" s="20">
        <f>IFERROR(VLOOKUP(Vertailu[[#This Row],[Y-tunnus]],'3.2 Suoritepäätös 2019'!$A:$S,COLUMN('3.2 Suoritepäätös 2019'!Q:Q),FALSE)-VLOOKUP(Vertailu[[#This Row],[Y-tunnus]],'3.2 Suoritepäätös 2019'!$A:$S,COLUMN('3.2 Suoritepäätös 2019'!L:L),FALSE),0)</f>
        <v>144282</v>
      </c>
      <c r="F61" s="20">
        <f>IFERROR(VLOOKUP(Vertailu[[#This Row],[Y-tunnus]],'1.2 Ohjaus-laskentataulu'!A:AG,COLUMN('1.2 Ohjaus-laskentataulu'!Z:Z),FALSE),0)</f>
        <v>143674</v>
      </c>
      <c r="G61" s="20">
        <f>IFERROR(Vertailu[[#This Row],[Simuloitu rahoitus pl. hark. kor. ilman alv, €]]-Vertailu[[#This Row],[2019 rahoitus pl. hark. kor. ilman alv, €]],0)</f>
        <v>-608</v>
      </c>
      <c r="H61" s="37">
        <f>IFERROR(Vertailu[[#This Row],[Muutos, € 1]]/Vertailu[[#This Row],[2019 rahoitus pl. hark. kor. ilman alv, €]],0)</f>
        <v>-4.2139698645707714E-3</v>
      </c>
      <c r="I61" s="132">
        <f>IFERROR(VLOOKUP(Vertailu[[#This Row],[Y-tunnus]],'3.2 Suoritepäätös 2019'!$A:$S,COLUMN('3.2 Suoritepäätös 2019'!Q:Q),FALSE),0)</f>
        <v>144282</v>
      </c>
      <c r="J61" s="134">
        <f>IFERROR(VLOOKUP(Vertailu[[#This Row],[Y-tunnus]],'1.2 Ohjaus-laskentataulu'!A:AG,COLUMN('1.2 Ohjaus-laskentataulu'!AE:AE),FALSE),0)</f>
        <v>143674</v>
      </c>
      <c r="K61" s="20">
        <f>IFERROR(Vertailu[[#This Row],[Simuloitu rahoitus sis. hark. kor. ilman alv, €]]-Vertailu[[#This Row],[2019 rahoitus sis. hark. kor. ilman alv, €]],0)</f>
        <v>-608</v>
      </c>
      <c r="L61" s="18">
        <f>IFERROR(Vertailu[[#This Row],[Muutos, € 2]]/Vertailu[[#This Row],[2019 rahoitus sis. hark. kor. ilman alv, €]],0)</f>
        <v>-4.2139698645707714E-3</v>
      </c>
      <c r="M61" s="134">
        <f>IFERROR(VLOOKUP(Vertailu[[#This Row],[Y-tunnus]],'3.2 Suoritepäätös 2019'!$A:$S,COLUMN('3.2 Suoritepäätös 2019'!Q:Q),FALSE)+VLOOKUP(Vertailu[[#This Row],[Y-tunnus]],'3.2 Suoritepäätös 2019'!$A:$S,COLUMN('3.2 Suoritepäätös 2019'!R:R),FALSE),0)</f>
        <v>151967</v>
      </c>
      <c r="N61" s="132">
        <f>IFERROR(VLOOKUP(Vertailu[[#This Row],[Y-tunnus]],'1.2 Ohjaus-laskentataulu'!A:AG,COLUMN('1.2 Ohjaus-laskentataulu'!AG:AG),FALSE),0)</f>
        <v>150581.54999999999</v>
      </c>
      <c r="O61" s="142">
        <f>IFERROR(Vertailu[[#This Row],[Simuloitu rahoitus sis. hark. kor. + alv, €]]-Vertailu[[#This Row],[2019 rahoitus sis. hark. kor. + alv, €]],0)</f>
        <v>-1385.4500000000116</v>
      </c>
      <c r="P61" s="37">
        <f>IFERROR(Vertailu[[#This Row],[Muutos, € 3]]/Vertailu[[#This Row],[2019 rahoitus sis. hark. kor. + alv, €]],0)</f>
        <v>-9.1167819329197233E-3</v>
      </c>
    </row>
    <row r="62" spans="1:16" x14ac:dyDescent="0.25">
      <c r="A62" s="24" t="s">
        <v>353</v>
      </c>
      <c r="B62" s="143" t="s">
        <v>154</v>
      </c>
      <c r="C62" s="143" t="s">
        <v>236</v>
      </c>
      <c r="D62" s="144" t="s">
        <v>412</v>
      </c>
      <c r="E62" s="20">
        <f>IFERROR(VLOOKUP(Vertailu[[#This Row],[Y-tunnus]],'3.2 Suoritepäätös 2019'!$A:$S,COLUMN('3.2 Suoritepäätös 2019'!Q:Q),FALSE)-VLOOKUP(Vertailu[[#This Row],[Y-tunnus]],'3.2 Suoritepäätös 2019'!$A:$S,COLUMN('3.2 Suoritepäätös 2019'!L:L),FALSE),0)</f>
        <v>120201</v>
      </c>
      <c r="F62" s="20">
        <f>IFERROR(VLOOKUP(Vertailu[[#This Row],[Y-tunnus]],'1.2 Ohjaus-laskentataulu'!A:AG,COLUMN('1.2 Ohjaus-laskentataulu'!Z:Z),FALSE),0)</f>
        <v>236822</v>
      </c>
      <c r="G62" s="20">
        <f>IFERROR(Vertailu[[#This Row],[Simuloitu rahoitus pl. hark. kor. ilman alv, €]]-Vertailu[[#This Row],[2019 rahoitus pl. hark. kor. ilman alv, €]],0)</f>
        <v>116621</v>
      </c>
      <c r="H62" s="37">
        <f>IFERROR(Vertailu[[#This Row],[Muutos, € 1]]/Vertailu[[#This Row],[2019 rahoitus pl. hark. kor. ilman alv, €]],0)</f>
        <v>0.97021655393881912</v>
      </c>
      <c r="I62" s="132">
        <f>IFERROR(VLOOKUP(Vertailu[[#This Row],[Y-tunnus]],'3.2 Suoritepäätös 2019'!$A:$S,COLUMN('3.2 Suoritepäätös 2019'!Q:Q),FALSE),0)</f>
        <v>335201</v>
      </c>
      <c r="J62" s="134">
        <f>IFERROR(VLOOKUP(Vertailu[[#This Row],[Y-tunnus]],'1.2 Ohjaus-laskentataulu'!A:AG,COLUMN('1.2 Ohjaus-laskentataulu'!AE:AE),FALSE),0)</f>
        <v>236822</v>
      </c>
      <c r="K62" s="20">
        <f>IFERROR(Vertailu[[#This Row],[Simuloitu rahoitus sis. hark. kor. ilman alv, €]]-Vertailu[[#This Row],[2019 rahoitus sis. hark. kor. ilman alv, €]],0)</f>
        <v>-98379</v>
      </c>
      <c r="L62" s="18">
        <f>IFERROR(Vertailu[[#This Row],[Muutos, € 2]]/Vertailu[[#This Row],[2019 rahoitus sis. hark. kor. ilman alv, €]],0)</f>
        <v>-0.29349256117971007</v>
      </c>
      <c r="M62" s="134">
        <f>IFERROR(VLOOKUP(Vertailu[[#This Row],[Y-tunnus]],'3.2 Suoritepäätös 2019'!$A:$S,COLUMN('3.2 Suoritepäätös 2019'!Q:Q),FALSE)+VLOOKUP(Vertailu[[#This Row],[Y-tunnus]],'3.2 Suoritepäätös 2019'!$A:$S,COLUMN('3.2 Suoritepäätös 2019'!R:R),FALSE),0)</f>
        <v>353726</v>
      </c>
      <c r="N62" s="132">
        <f>IFERROR(VLOOKUP(Vertailu[[#This Row],[Y-tunnus]],'1.2 Ohjaus-laskentataulu'!A:AG,COLUMN('1.2 Ohjaus-laskentataulu'!AG:AG),FALSE),0)</f>
        <v>263409.46000000002</v>
      </c>
      <c r="O62" s="142">
        <f>IFERROR(Vertailu[[#This Row],[Simuloitu rahoitus sis. hark. kor. + alv, €]]-Vertailu[[#This Row],[2019 rahoitus sis. hark. kor. + alv, €]],0)</f>
        <v>-90316.539999999979</v>
      </c>
      <c r="P62" s="37">
        <f>IFERROR(Vertailu[[#This Row],[Muutos, € 3]]/Vertailu[[#This Row],[2019 rahoitus sis. hark. kor. + alv, €]],0)</f>
        <v>-0.2553290965323442</v>
      </c>
    </row>
    <row r="63" spans="1:16" x14ac:dyDescent="0.25">
      <c r="A63" s="24" t="s">
        <v>352</v>
      </c>
      <c r="B63" s="143" t="s">
        <v>171</v>
      </c>
      <c r="C63" s="143" t="s">
        <v>236</v>
      </c>
      <c r="D63" s="144" t="s">
        <v>412</v>
      </c>
      <c r="E63" s="20">
        <f>IFERROR(VLOOKUP(Vertailu[[#This Row],[Y-tunnus]],'3.2 Suoritepäätös 2019'!$A:$S,COLUMN('3.2 Suoritepäätös 2019'!Q:Q),FALSE)-VLOOKUP(Vertailu[[#This Row],[Y-tunnus]],'3.2 Suoritepäätös 2019'!$A:$S,COLUMN('3.2 Suoritepäätös 2019'!L:L),FALSE),0)</f>
        <v>51505</v>
      </c>
      <c r="F63" s="20">
        <f>IFERROR(VLOOKUP(Vertailu[[#This Row],[Y-tunnus]],'1.2 Ohjaus-laskentataulu'!A:AG,COLUMN('1.2 Ohjaus-laskentataulu'!Z:Z),FALSE),0)</f>
        <v>0</v>
      </c>
      <c r="G63" s="20">
        <f>IFERROR(Vertailu[[#This Row],[Simuloitu rahoitus pl. hark. kor. ilman alv, €]]-Vertailu[[#This Row],[2019 rahoitus pl. hark. kor. ilman alv, €]],0)</f>
        <v>-51505</v>
      </c>
      <c r="H63" s="37">
        <f>IFERROR(Vertailu[[#This Row],[Muutos, € 1]]/Vertailu[[#This Row],[2019 rahoitus pl. hark. kor. ilman alv, €]],0)</f>
        <v>-1</v>
      </c>
      <c r="I63" s="132">
        <f>IFERROR(VLOOKUP(Vertailu[[#This Row],[Y-tunnus]],'3.2 Suoritepäätös 2019'!$A:$S,COLUMN('3.2 Suoritepäätös 2019'!Q:Q),FALSE),0)</f>
        <v>89005</v>
      </c>
      <c r="J63" s="134">
        <f>IFERROR(VLOOKUP(Vertailu[[#This Row],[Y-tunnus]],'1.2 Ohjaus-laskentataulu'!A:AG,COLUMN('1.2 Ohjaus-laskentataulu'!AE:AE),FALSE),0)</f>
        <v>0</v>
      </c>
      <c r="K63" s="20">
        <f>IFERROR(Vertailu[[#This Row],[Simuloitu rahoitus sis. hark. kor. ilman alv, €]]-Vertailu[[#This Row],[2019 rahoitus sis. hark. kor. ilman alv, €]],0)</f>
        <v>-89005</v>
      </c>
      <c r="L63" s="18">
        <f>IFERROR(Vertailu[[#This Row],[Muutos, € 2]]/Vertailu[[#This Row],[2019 rahoitus sis. hark. kor. ilman alv, €]],0)</f>
        <v>-1</v>
      </c>
      <c r="M63" s="134">
        <f>IFERROR(VLOOKUP(Vertailu[[#This Row],[Y-tunnus]],'3.2 Suoritepäätös 2019'!$A:$S,COLUMN('3.2 Suoritepäätös 2019'!Q:Q),FALSE)+VLOOKUP(Vertailu[[#This Row],[Y-tunnus]],'3.2 Suoritepäätös 2019'!$A:$S,COLUMN('3.2 Suoritepäätös 2019'!R:R),FALSE),0)</f>
        <v>93985</v>
      </c>
      <c r="N63" s="132">
        <f>IFERROR(VLOOKUP(Vertailu[[#This Row],[Y-tunnus]],'1.2 Ohjaus-laskentataulu'!A:AG,COLUMN('1.2 Ohjaus-laskentataulu'!AG:AG),FALSE),0)</f>
        <v>42648.33</v>
      </c>
      <c r="O63" s="142">
        <f>IFERROR(Vertailu[[#This Row],[Simuloitu rahoitus sis. hark. kor. + alv, €]]-Vertailu[[#This Row],[2019 rahoitus sis. hark. kor. + alv, €]],0)</f>
        <v>-51336.67</v>
      </c>
      <c r="P63" s="37">
        <f>IFERROR(Vertailu[[#This Row],[Muutos, € 3]]/Vertailu[[#This Row],[2019 rahoitus sis. hark. kor. + alv, €]],0)</f>
        <v>-0.54622195031121989</v>
      </c>
    </row>
    <row r="64" spans="1:16" x14ac:dyDescent="0.25">
      <c r="A64" s="24" t="s">
        <v>351</v>
      </c>
      <c r="B64" s="143" t="s">
        <v>73</v>
      </c>
      <c r="C64" s="143" t="s">
        <v>269</v>
      </c>
      <c r="D64" s="144" t="s">
        <v>412</v>
      </c>
      <c r="E64" s="20">
        <f>IFERROR(VLOOKUP(Vertailu[[#This Row],[Y-tunnus]],'3.2 Suoritepäätös 2019'!$A:$S,COLUMN('3.2 Suoritepäätös 2019'!Q:Q),FALSE)-VLOOKUP(Vertailu[[#This Row],[Y-tunnus]],'3.2 Suoritepäätös 2019'!$A:$S,COLUMN('3.2 Suoritepäätös 2019'!L:L),FALSE),0)</f>
        <v>861599</v>
      </c>
      <c r="F64" s="20">
        <f>IFERROR(VLOOKUP(Vertailu[[#This Row],[Y-tunnus]],'1.2 Ohjaus-laskentataulu'!A:AG,COLUMN('1.2 Ohjaus-laskentataulu'!Z:Z),FALSE),0)</f>
        <v>940396</v>
      </c>
      <c r="G64" s="20">
        <f>IFERROR(Vertailu[[#This Row],[Simuloitu rahoitus pl. hark. kor. ilman alv, €]]-Vertailu[[#This Row],[2019 rahoitus pl. hark. kor. ilman alv, €]],0)</f>
        <v>78797</v>
      </c>
      <c r="H64" s="37">
        <f>IFERROR(Vertailu[[#This Row],[Muutos, € 1]]/Vertailu[[#This Row],[2019 rahoitus pl. hark. kor. ilman alv, €]],0)</f>
        <v>9.1454377268311599E-2</v>
      </c>
      <c r="I64" s="132">
        <f>IFERROR(VLOOKUP(Vertailu[[#This Row],[Y-tunnus]],'3.2 Suoritepäätös 2019'!$A:$S,COLUMN('3.2 Suoritepäätös 2019'!Q:Q),FALSE),0)</f>
        <v>861599</v>
      </c>
      <c r="J64" s="134">
        <f>IFERROR(VLOOKUP(Vertailu[[#This Row],[Y-tunnus]],'1.2 Ohjaus-laskentataulu'!A:AG,COLUMN('1.2 Ohjaus-laskentataulu'!AE:AE),FALSE),0)</f>
        <v>940396</v>
      </c>
      <c r="K64" s="20">
        <f>IFERROR(Vertailu[[#This Row],[Simuloitu rahoitus sis. hark. kor. ilman alv, €]]-Vertailu[[#This Row],[2019 rahoitus sis. hark. kor. ilman alv, €]],0)</f>
        <v>78797</v>
      </c>
      <c r="L64" s="18">
        <f>IFERROR(Vertailu[[#This Row],[Muutos, € 2]]/Vertailu[[#This Row],[2019 rahoitus sis. hark. kor. ilman alv, €]],0)</f>
        <v>9.1454377268311599E-2</v>
      </c>
      <c r="M64" s="134">
        <f>IFERROR(VLOOKUP(Vertailu[[#This Row],[Y-tunnus]],'3.2 Suoritepäätös 2019'!$A:$S,COLUMN('3.2 Suoritepäätös 2019'!Q:Q),FALSE)+VLOOKUP(Vertailu[[#This Row],[Y-tunnus]],'3.2 Suoritepäätös 2019'!$A:$S,COLUMN('3.2 Suoritepäätös 2019'!R:R),FALSE),0)</f>
        <v>907480</v>
      </c>
      <c r="N64" s="132">
        <f>IFERROR(VLOOKUP(Vertailu[[#This Row],[Y-tunnus]],'1.2 Ohjaus-laskentataulu'!A:AG,COLUMN('1.2 Ohjaus-laskentataulu'!AG:AG),FALSE),0)</f>
        <v>981144.75</v>
      </c>
      <c r="O64" s="142">
        <f>IFERROR(Vertailu[[#This Row],[Simuloitu rahoitus sis. hark. kor. + alv, €]]-Vertailu[[#This Row],[2019 rahoitus sis. hark. kor. + alv, €]],0)</f>
        <v>73664.75</v>
      </c>
      <c r="P64" s="37">
        <f>IFERROR(Vertailu[[#This Row],[Muutos, € 3]]/Vertailu[[#This Row],[2019 rahoitus sis. hark. kor. + alv, €]],0)</f>
        <v>8.1175067219112274E-2</v>
      </c>
    </row>
    <row r="65" spans="1:16" x14ac:dyDescent="0.25">
      <c r="A65" s="24" t="s">
        <v>350</v>
      </c>
      <c r="B65" s="143" t="s">
        <v>74</v>
      </c>
      <c r="C65" s="143" t="s">
        <v>254</v>
      </c>
      <c r="D65" s="144" t="s">
        <v>411</v>
      </c>
      <c r="E65" s="20">
        <f>IFERROR(VLOOKUP(Vertailu[[#This Row],[Y-tunnus]],'3.2 Suoritepäätös 2019'!$A:$S,COLUMN('3.2 Suoritepäätös 2019'!Q:Q),FALSE)-VLOOKUP(Vertailu[[#This Row],[Y-tunnus]],'3.2 Suoritepäätös 2019'!$A:$S,COLUMN('3.2 Suoritepäätös 2019'!L:L),FALSE),0)</f>
        <v>24092152</v>
      </c>
      <c r="F65" s="20">
        <f>IFERROR(VLOOKUP(Vertailu[[#This Row],[Y-tunnus]],'1.2 Ohjaus-laskentataulu'!A:AG,COLUMN('1.2 Ohjaus-laskentataulu'!Z:Z),FALSE),0)</f>
        <v>21610198</v>
      </c>
      <c r="G65" s="20">
        <f>IFERROR(Vertailu[[#This Row],[Simuloitu rahoitus pl. hark. kor. ilman alv, €]]-Vertailu[[#This Row],[2019 rahoitus pl. hark. kor. ilman alv, €]],0)</f>
        <v>-2481954</v>
      </c>
      <c r="H65" s="37">
        <f>IFERROR(Vertailu[[#This Row],[Muutos, € 1]]/Vertailu[[#This Row],[2019 rahoitus pl. hark. kor. ilman alv, €]],0)</f>
        <v>-0.10301919064764327</v>
      </c>
      <c r="I65" s="132">
        <f>IFERROR(VLOOKUP(Vertailu[[#This Row],[Y-tunnus]],'3.2 Suoritepäätös 2019'!$A:$S,COLUMN('3.2 Suoritepäätös 2019'!Q:Q),FALSE),0)</f>
        <v>24092152</v>
      </c>
      <c r="J65" s="134">
        <f>IFERROR(VLOOKUP(Vertailu[[#This Row],[Y-tunnus]],'1.2 Ohjaus-laskentataulu'!A:AG,COLUMN('1.2 Ohjaus-laskentataulu'!AE:AE),FALSE),0)</f>
        <v>21610198</v>
      </c>
      <c r="K65" s="20">
        <f>IFERROR(Vertailu[[#This Row],[Simuloitu rahoitus sis. hark. kor. ilman alv, €]]-Vertailu[[#This Row],[2019 rahoitus sis. hark. kor. ilman alv, €]],0)</f>
        <v>-2481954</v>
      </c>
      <c r="L65" s="18">
        <f>IFERROR(Vertailu[[#This Row],[Muutos, € 2]]/Vertailu[[#This Row],[2019 rahoitus sis. hark. kor. ilman alv, €]],0)</f>
        <v>-0.10301919064764327</v>
      </c>
      <c r="M65" s="134">
        <f>IFERROR(VLOOKUP(Vertailu[[#This Row],[Y-tunnus]],'3.2 Suoritepäätös 2019'!$A:$S,COLUMN('3.2 Suoritepäätös 2019'!Q:Q),FALSE)+VLOOKUP(Vertailu[[#This Row],[Y-tunnus]],'3.2 Suoritepäätös 2019'!$A:$S,COLUMN('3.2 Suoritepäätös 2019'!R:R),FALSE),0)</f>
        <v>24092152</v>
      </c>
      <c r="N65" s="132">
        <f>IFERROR(VLOOKUP(Vertailu[[#This Row],[Y-tunnus]],'1.2 Ohjaus-laskentataulu'!A:AG,COLUMN('1.2 Ohjaus-laskentataulu'!AG:AG),FALSE),0)</f>
        <v>21610198</v>
      </c>
      <c r="O65" s="142">
        <f>IFERROR(Vertailu[[#This Row],[Simuloitu rahoitus sis. hark. kor. + alv, €]]-Vertailu[[#This Row],[2019 rahoitus sis. hark. kor. + alv, €]],0)</f>
        <v>-2481954</v>
      </c>
      <c r="P65" s="37">
        <f>IFERROR(Vertailu[[#This Row],[Muutos, € 3]]/Vertailu[[#This Row],[2019 rahoitus sis. hark. kor. + alv, €]],0)</f>
        <v>-0.10301919064764327</v>
      </c>
    </row>
    <row r="66" spans="1:16" x14ac:dyDescent="0.25">
      <c r="A66" s="24" t="s">
        <v>349</v>
      </c>
      <c r="B66" s="143" t="s">
        <v>75</v>
      </c>
      <c r="C66" s="143" t="s">
        <v>250</v>
      </c>
      <c r="D66" s="144" t="s">
        <v>411</v>
      </c>
      <c r="E66" s="20">
        <f>IFERROR(VLOOKUP(Vertailu[[#This Row],[Y-tunnus]],'3.2 Suoritepäätös 2019'!$A:$S,COLUMN('3.2 Suoritepäätös 2019'!Q:Q),FALSE)-VLOOKUP(Vertailu[[#This Row],[Y-tunnus]],'3.2 Suoritepäätös 2019'!$A:$S,COLUMN('3.2 Suoritepäätös 2019'!L:L),FALSE),0)</f>
        <v>53644296</v>
      </c>
      <c r="F66" s="20">
        <f>IFERROR(VLOOKUP(Vertailu[[#This Row],[Y-tunnus]],'1.2 Ohjaus-laskentataulu'!A:AG,COLUMN('1.2 Ohjaus-laskentataulu'!Z:Z),FALSE),0)</f>
        <v>50689149</v>
      </c>
      <c r="G66" s="20">
        <f>IFERROR(Vertailu[[#This Row],[Simuloitu rahoitus pl. hark. kor. ilman alv, €]]-Vertailu[[#This Row],[2019 rahoitus pl. hark. kor. ilman alv, €]],0)</f>
        <v>-2955147</v>
      </c>
      <c r="H66" s="37">
        <f>IFERROR(Vertailu[[#This Row],[Muutos, € 1]]/Vertailu[[#This Row],[2019 rahoitus pl. hark. kor. ilman alv, €]],0)</f>
        <v>-5.508781399610501E-2</v>
      </c>
      <c r="I66" s="132">
        <f>IFERROR(VLOOKUP(Vertailu[[#This Row],[Y-tunnus]],'3.2 Suoritepäätös 2019'!$A:$S,COLUMN('3.2 Suoritepäätös 2019'!Q:Q),FALSE),0)</f>
        <v>53644296</v>
      </c>
      <c r="J66" s="134">
        <f>IFERROR(VLOOKUP(Vertailu[[#This Row],[Y-tunnus]],'1.2 Ohjaus-laskentataulu'!A:AG,COLUMN('1.2 Ohjaus-laskentataulu'!AE:AE),FALSE),0)</f>
        <v>50689149</v>
      </c>
      <c r="K66" s="20">
        <f>IFERROR(Vertailu[[#This Row],[Simuloitu rahoitus sis. hark. kor. ilman alv, €]]-Vertailu[[#This Row],[2019 rahoitus sis. hark. kor. ilman alv, €]],0)</f>
        <v>-2955147</v>
      </c>
      <c r="L66" s="18">
        <f>IFERROR(Vertailu[[#This Row],[Muutos, € 2]]/Vertailu[[#This Row],[2019 rahoitus sis. hark. kor. ilman alv, €]],0)</f>
        <v>-5.508781399610501E-2</v>
      </c>
      <c r="M66" s="134">
        <f>IFERROR(VLOOKUP(Vertailu[[#This Row],[Y-tunnus]],'3.2 Suoritepäätös 2019'!$A:$S,COLUMN('3.2 Suoritepäätös 2019'!Q:Q),FALSE)+VLOOKUP(Vertailu[[#This Row],[Y-tunnus]],'3.2 Suoritepäätös 2019'!$A:$S,COLUMN('3.2 Suoritepäätös 2019'!R:R),FALSE),0)</f>
        <v>53644296</v>
      </c>
      <c r="N66" s="132">
        <f>IFERROR(VLOOKUP(Vertailu[[#This Row],[Y-tunnus]],'1.2 Ohjaus-laskentataulu'!A:AG,COLUMN('1.2 Ohjaus-laskentataulu'!AG:AG),FALSE),0)</f>
        <v>50689149</v>
      </c>
      <c r="O66" s="142">
        <f>IFERROR(Vertailu[[#This Row],[Simuloitu rahoitus sis. hark. kor. + alv, €]]-Vertailu[[#This Row],[2019 rahoitus sis. hark. kor. + alv, €]],0)</f>
        <v>-2955147</v>
      </c>
      <c r="P66" s="37">
        <f>IFERROR(Vertailu[[#This Row],[Muutos, € 3]]/Vertailu[[#This Row],[2019 rahoitus sis. hark. kor. + alv, €]],0)</f>
        <v>-5.508781399610501E-2</v>
      </c>
    </row>
    <row r="67" spans="1:16" x14ac:dyDescent="0.25">
      <c r="A67" s="24" t="s">
        <v>348</v>
      </c>
      <c r="B67" s="143" t="s">
        <v>76</v>
      </c>
      <c r="C67" s="143" t="s">
        <v>332</v>
      </c>
      <c r="D67" s="144" t="s">
        <v>411</v>
      </c>
      <c r="E67" s="20">
        <f>IFERROR(VLOOKUP(Vertailu[[#This Row],[Y-tunnus]],'3.2 Suoritepäätös 2019'!$A:$S,COLUMN('3.2 Suoritepäätös 2019'!Q:Q),FALSE)-VLOOKUP(Vertailu[[#This Row],[Y-tunnus]],'3.2 Suoritepäätös 2019'!$A:$S,COLUMN('3.2 Suoritepäätös 2019'!L:L),FALSE),0)</f>
        <v>19988635</v>
      </c>
      <c r="F67" s="20">
        <f>IFERROR(VLOOKUP(Vertailu[[#This Row],[Y-tunnus]],'1.2 Ohjaus-laskentataulu'!A:AG,COLUMN('1.2 Ohjaus-laskentataulu'!Z:Z),FALSE),0)</f>
        <v>20444027</v>
      </c>
      <c r="G67" s="20">
        <f>IFERROR(Vertailu[[#This Row],[Simuloitu rahoitus pl. hark. kor. ilman alv, €]]-Vertailu[[#This Row],[2019 rahoitus pl. hark. kor. ilman alv, €]],0)</f>
        <v>455392</v>
      </c>
      <c r="H67" s="37">
        <f>IFERROR(Vertailu[[#This Row],[Muutos, € 1]]/Vertailu[[#This Row],[2019 rahoitus pl. hark. kor. ilman alv, €]],0)</f>
        <v>2.2782546181867848E-2</v>
      </c>
      <c r="I67" s="132">
        <f>IFERROR(VLOOKUP(Vertailu[[#This Row],[Y-tunnus]],'3.2 Suoritepäätös 2019'!$A:$S,COLUMN('3.2 Suoritepäätös 2019'!Q:Q),FALSE),0)</f>
        <v>19988635</v>
      </c>
      <c r="J67" s="134">
        <f>IFERROR(VLOOKUP(Vertailu[[#This Row],[Y-tunnus]],'1.2 Ohjaus-laskentataulu'!A:AG,COLUMN('1.2 Ohjaus-laskentataulu'!AE:AE),FALSE),0)</f>
        <v>20444027</v>
      </c>
      <c r="K67" s="20">
        <f>IFERROR(Vertailu[[#This Row],[Simuloitu rahoitus sis. hark. kor. ilman alv, €]]-Vertailu[[#This Row],[2019 rahoitus sis. hark. kor. ilman alv, €]],0)</f>
        <v>455392</v>
      </c>
      <c r="L67" s="18">
        <f>IFERROR(Vertailu[[#This Row],[Muutos, € 2]]/Vertailu[[#This Row],[2019 rahoitus sis. hark. kor. ilman alv, €]],0)</f>
        <v>2.2782546181867848E-2</v>
      </c>
      <c r="M67" s="134">
        <f>IFERROR(VLOOKUP(Vertailu[[#This Row],[Y-tunnus]],'3.2 Suoritepäätös 2019'!$A:$S,COLUMN('3.2 Suoritepäätös 2019'!Q:Q),FALSE)+VLOOKUP(Vertailu[[#This Row],[Y-tunnus]],'3.2 Suoritepäätös 2019'!$A:$S,COLUMN('3.2 Suoritepäätös 2019'!R:R),FALSE),0)</f>
        <v>19988635</v>
      </c>
      <c r="N67" s="132">
        <f>IFERROR(VLOOKUP(Vertailu[[#This Row],[Y-tunnus]],'1.2 Ohjaus-laskentataulu'!A:AG,COLUMN('1.2 Ohjaus-laskentataulu'!AG:AG),FALSE),0)</f>
        <v>20444027</v>
      </c>
      <c r="O67" s="142">
        <f>IFERROR(Vertailu[[#This Row],[Simuloitu rahoitus sis. hark. kor. + alv, €]]-Vertailu[[#This Row],[2019 rahoitus sis. hark. kor. + alv, €]],0)</f>
        <v>455392</v>
      </c>
      <c r="P67" s="37">
        <f>IFERROR(Vertailu[[#This Row],[Muutos, € 3]]/Vertailu[[#This Row],[2019 rahoitus sis. hark. kor. + alv, €]],0)</f>
        <v>2.2782546181867848E-2</v>
      </c>
    </row>
    <row r="68" spans="1:16" x14ac:dyDescent="0.25">
      <c r="A68" s="24" t="s">
        <v>347</v>
      </c>
      <c r="B68" s="143" t="s">
        <v>77</v>
      </c>
      <c r="C68" s="143" t="s">
        <v>254</v>
      </c>
      <c r="D68" s="144" t="s">
        <v>412</v>
      </c>
      <c r="E68" s="20">
        <f>IFERROR(VLOOKUP(Vertailu[[#This Row],[Y-tunnus]],'3.2 Suoritepäätös 2019'!$A:$S,COLUMN('3.2 Suoritepäätös 2019'!Q:Q),FALSE)-VLOOKUP(Vertailu[[#This Row],[Y-tunnus]],'3.2 Suoritepäätös 2019'!$A:$S,COLUMN('3.2 Suoritepäätös 2019'!L:L),FALSE),0)</f>
        <v>1590903</v>
      </c>
      <c r="F68" s="20">
        <f>IFERROR(VLOOKUP(Vertailu[[#This Row],[Y-tunnus]],'1.2 Ohjaus-laskentataulu'!A:AG,COLUMN('1.2 Ohjaus-laskentataulu'!Z:Z),FALSE),0)</f>
        <v>1480939</v>
      </c>
      <c r="G68" s="20">
        <f>IFERROR(Vertailu[[#This Row],[Simuloitu rahoitus pl. hark. kor. ilman alv, €]]-Vertailu[[#This Row],[2019 rahoitus pl. hark. kor. ilman alv, €]],0)</f>
        <v>-109964</v>
      </c>
      <c r="H68" s="37">
        <f>IFERROR(Vertailu[[#This Row],[Muutos, € 1]]/Vertailu[[#This Row],[2019 rahoitus pl. hark. kor. ilman alv, €]],0)</f>
        <v>-6.9120493204173988E-2</v>
      </c>
      <c r="I68" s="132">
        <f>IFERROR(VLOOKUP(Vertailu[[#This Row],[Y-tunnus]],'3.2 Suoritepäätös 2019'!$A:$S,COLUMN('3.2 Suoritepäätös 2019'!Q:Q),FALSE),0)</f>
        <v>1590903</v>
      </c>
      <c r="J68" s="134">
        <f>IFERROR(VLOOKUP(Vertailu[[#This Row],[Y-tunnus]],'1.2 Ohjaus-laskentataulu'!A:AG,COLUMN('1.2 Ohjaus-laskentataulu'!AE:AE),FALSE),0)</f>
        <v>1480939</v>
      </c>
      <c r="K68" s="20">
        <f>IFERROR(Vertailu[[#This Row],[Simuloitu rahoitus sis. hark. kor. ilman alv, €]]-Vertailu[[#This Row],[2019 rahoitus sis. hark. kor. ilman alv, €]],0)</f>
        <v>-109964</v>
      </c>
      <c r="L68" s="18">
        <f>IFERROR(Vertailu[[#This Row],[Muutos, € 2]]/Vertailu[[#This Row],[2019 rahoitus sis. hark. kor. ilman alv, €]],0)</f>
        <v>-6.9120493204173988E-2</v>
      </c>
      <c r="M68" s="134">
        <f>IFERROR(VLOOKUP(Vertailu[[#This Row],[Y-tunnus]],'3.2 Suoritepäätös 2019'!$A:$S,COLUMN('3.2 Suoritepäätös 2019'!Q:Q),FALSE)+VLOOKUP(Vertailu[[#This Row],[Y-tunnus]],'3.2 Suoritepäätös 2019'!$A:$S,COLUMN('3.2 Suoritepäätös 2019'!R:R),FALSE),0)</f>
        <v>1672144</v>
      </c>
      <c r="N68" s="132">
        <f>IFERROR(VLOOKUP(Vertailu[[#This Row],[Y-tunnus]],'1.2 Ohjaus-laskentataulu'!A:AG,COLUMN('1.2 Ohjaus-laskentataulu'!AG:AG),FALSE),0)</f>
        <v>1626342.82</v>
      </c>
      <c r="O68" s="142">
        <f>IFERROR(Vertailu[[#This Row],[Simuloitu rahoitus sis. hark. kor. + alv, €]]-Vertailu[[#This Row],[2019 rahoitus sis. hark. kor. + alv, €]],0)</f>
        <v>-45801.179999999935</v>
      </c>
      <c r="P68" s="37">
        <f>IFERROR(Vertailu[[#This Row],[Muutos, € 3]]/Vertailu[[#This Row],[2019 rahoitus sis. hark. kor. + alv, €]],0)</f>
        <v>-2.7390691232334018E-2</v>
      </c>
    </row>
    <row r="69" spans="1:16" x14ac:dyDescent="0.25">
      <c r="A69" s="24" t="s">
        <v>346</v>
      </c>
      <c r="B69" s="143" t="s">
        <v>78</v>
      </c>
      <c r="C69" s="143" t="s">
        <v>254</v>
      </c>
      <c r="D69" s="144" t="s">
        <v>413</v>
      </c>
      <c r="E69" s="20">
        <f>IFERROR(VLOOKUP(Vertailu[[#This Row],[Y-tunnus]],'3.2 Suoritepäätös 2019'!$A:$S,COLUMN('3.2 Suoritepäätös 2019'!Q:Q),FALSE)-VLOOKUP(Vertailu[[#This Row],[Y-tunnus]],'3.2 Suoritepäätös 2019'!$A:$S,COLUMN('3.2 Suoritepäätös 2019'!L:L),FALSE),0)</f>
        <v>21536061</v>
      </c>
      <c r="F69" s="20">
        <f>IFERROR(VLOOKUP(Vertailu[[#This Row],[Y-tunnus]],'1.2 Ohjaus-laskentataulu'!A:AG,COLUMN('1.2 Ohjaus-laskentataulu'!Z:Z),FALSE),0)</f>
        <v>20833520</v>
      </c>
      <c r="G69" s="20">
        <f>IFERROR(Vertailu[[#This Row],[Simuloitu rahoitus pl. hark. kor. ilman alv, €]]-Vertailu[[#This Row],[2019 rahoitus pl. hark. kor. ilman alv, €]],0)</f>
        <v>-702541</v>
      </c>
      <c r="H69" s="37">
        <f>IFERROR(Vertailu[[#This Row],[Muutos, € 1]]/Vertailu[[#This Row],[2019 rahoitus pl. hark. kor. ilman alv, €]],0)</f>
        <v>-3.2621610795028858E-2</v>
      </c>
      <c r="I69" s="132">
        <f>IFERROR(VLOOKUP(Vertailu[[#This Row],[Y-tunnus]],'3.2 Suoritepäätös 2019'!$A:$S,COLUMN('3.2 Suoritepäätös 2019'!Q:Q),FALSE),0)</f>
        <v>21626061</v>
      </c>
      <c r="J69" s="134">
        <f>IFERROR(VLOOKUP(Vertailu[[#This Row],[Y-tunnus]],'1.2 Ohjaus-laskentataulu'!A:AG,COLUMN('1.2 Ohjaus-laskentataulu'!AE:AE),FALSE),0)</f>
        <v>20833520</v>
      </c>
      <c r="K69" s="20">
        <f>IFERROR(Vertailu[[#This Row],[Simuloitu rahoitus sis. hark. kor. ilman alv, €]]-Vertailu[[#This Row],[2019 rahoitus sis. hark. kor. ilman alv, €]],0)</f>
        <v>-792541</v>
      </c>
      <c r="L69" s="18">
        <f>IFERROR(Vertailu[[#This Row],[Muutos, € 2]]/Vertailu[[#This Row],[2019 rahoitus sis. hark. kor. ilman alv, €]],0)</f>
        <v>-3.6647496740159942E-2</v>
      </c>
      <c r="M69" s="134">
        <f>IFERROR(VLOOKUP(Vertailu[[#This Row],[Y-tunnus]],'3.2 Suoritepäätös 2019'!$A:$S,COLUMN('3.2 Suoritepäätös 2019'!Q:Q),FALSE)+VLOOKUP(Vertailu[[#This Row],[Y-tunnus]],'3.2 Suoritepäätös 2019'!$A:$S,COLUMN('3.2 Suoritepäätös 2019'!R:R),FALSE),0)</f>
        <v>21626061</v>
      </c>
      <c r="N69" s="132">
        <f>IFERROR(VLOOKUP(Vertailu[[#This Row],[Y-tunnus]],'1.2 Ohjaus-laskentataulu'!A:AG,COLUMN('1.2 Ohjaus-laskentataulu'!AG:AG),FALSE),0)</f>
        <v>20833520</v>
      </c>
      <c r="O69" s="142">
        <f>IFERROR(Vertailu[[#This Row],[Simuloitu rahoitus sis. hark. kor. + alv, €]]-Vertailu[[#This Row],[2019 rahoitus sis. hark. kor. + alv, €]],0)</f>
        <v>-792541</v>
      </c>
      <c r="P69" s="37">
        <f>IFERROR(Vertailu[[#This Row],[Muutos, € 3]]/Vertailu[[#This Row],[2019 rahoitus sis. hark. kor. + alv, €]],0)</f>
        <v>-3.6647496740159942E-2</v>
      </c>
    </row>
    <row r="70" spans="1:16" x14ac:dyDescent="0.25">
      <c r="A70" s="24" t="s">
        <v>342</v>
      </c>
      <c r="B70" s="143" t="s">
        <v>79</v>
      </c>
      <c r="C70" s="143" t="s">
        <v>244</v>
      </c>
      <c r="D70" s="144" t="s">
        <v>412</v>
      </c>
      <c r="E70" s="20">
        <f>IFERROR(VLOOKUP(Vertailu[[#This Row],[Y-tunnus]],'3.2 Suoritepäätös 2019'!$A:$S,COLUMN('3.2 Suoritepäätös 2019'!Q:Q),FALSE)-VLOOKUP(Vertailu[[#This Row],[Y-tunnus]],'3.2 Suoritepäätös 2019'!$A:$S,COLUMN('3.2 Suoritepäätös 2019'!L:L),FALSE),0)</f>
        <v>812877</v>
      </c>
      <c r="F70" s="20">
        <f>IFERROR(VLOOKUP(Vertailu[[#This Row],[Y-tunnus]],'1.2 Ohjaus-laskentataulu'!A:AG,COLUMN('1.2 Ohjaus-laskentataulu'!Z:Z),FALSE),0)</f>
        <v>652403</v>
      </c>
      <c r="G70" s="20">
        <f>IFERROR(Vertailu[[#This Row],[Simuloitu rahoitus pl. hark. kor. ilman alv, €]]-Vertailu[[#This Row],[2019 rahoitus pl. hark. kor. ilman alv, €]],0)</f>
        <v>-160474</v>
      </c>
      <c r="H70" s="37">
        <f>IFERROR(Vertailu[[#This Row],[Muutos, € 1]]/Vertailu[[#This Row],[2019 rahoitus pl. hark. kor. ilman alv, €]],0)</f>
        <v>-0.19741486104293762</v>
      </c>
      <c r="I70" s="132">
        <f>IFERROR(VLOOKUP(Vertailu[[#This Row],[Y-tunnus]],'3.2 Suoritepäätös 2019'!$A:$S,COLUMN('3.2 Suoritepäätös 2019'!Q:Q),FALSE),0)</f>
        <v>812877</v>
      </c>
      <c r="J70" s="134">
        <f>IFERROR(VLOOKUP(Vertailu[[#This Row],[Y-tunnus]],'1.2 Ohjaus-laskentataulu'!A:AG,COLUMN('1.2 Ohjaus-laskentataulu'!AE:AE),FALSE),0)</f>
        <v>652403</v>
      </c>
      <c r="K70" s="20">
        <f>IFERROR(Vertailu[[#This Row],[Simuloitu rahoitus sis. hark. kor. ilman alv, €]]-Vertailu[[#This Row],[2019 rahoitus sis. hark. kor. ilman alv, €]],0)</f>
        <v>-160474</v>
      </c>
      <c r="L70" s="18">
        <f>IFERROR(Vertailu[[#This Row],[Muutos, € 2]]/Vertailu[[#This Row],[2019 rahoitus sis. hark. kor. ilman alv, €]],0)</f>
        <v>-0.19741486104293762</v>
      </c>
      <c r="M70" s="134">
        <f>IFERROR(VLOOKUP(Vertailu[[#This Row],[Y-tunnus]],'3.2 Suoritepäätös 2019'!$A:$S,COLUMN('3.2 Suoritepäätös 2019'!Q:Q),FALSE)+VLOOKUP(Vertailu[[#This Row],[Y-tunnus]],'3.2 Suoritepäätös 2019'!$A:$S,COLUMN('3.2 Suoritepäätös 2019'!R:R),FALSE),0)</f>
        <v>857111</v>
      </c>
      <c r="N70" s="132">
        <f>IFERROR(VLOOKUP(Vertailu[[#This Row],[Y-tunnus]],'1.2 Ohjaus-laskentataulu'!A:AG,COLUMN('1.2 Ohjaus-laskentataulu'!AG:AG),FALSE),0)</f>
        <v>679886.71</v>
      </c>
      <c r="O70" s="142">
        <f>IFERROR(Vertailu[[#This Row],[Simuloitu rahoitus sis. hark. kor. + alv, €]]-Vertailu[[#This Row],[2019 rahoitus sis. hark. kor. + alv, €]],0)</f>
        <v>-177224.29000000004</v>
      </c>
      <c r="P70" s="37">
        <f>IFERROR(Vertailu[[#This Row],[Muutos, € 3]]/Vertailu[[#This Row],[2019 rahoitus sis. hark. kor. + alv, €]],0)</f>
        <v>-0.20676935659442014</v>
      </c>
    </row>
    <row r="71" spans="1:16" x14ac:dyDescent="0.25">
      <c r="A71" s="24" t="s">
        <v>341</v>
      </c>
      <c r="B71" s="143" t="s">
        <v>80</v>
      </c>
      <c r="C71" s="143" t="s">
        <v>240</v>
      </c>
      <c r="D71" s="144" t="s">
        <v>412</v>
      </c>
      <c r="E71" s="20">
        <f>IFERROR(VLOOKUP(Vertailu[[#This Row],[Y-tunnus]],'3.2 Suoritepäätös 2019'!$A:$S,COLUMN('3.2 Suoritepäätös 2019'!Q:Q),FALSE)-VLOOKUP(Vertailu[[#This Row],[Y-tunnus]],'3.2 Suoritepäätös 2019'!$A:$S,COLUMN('3.2 Suoritepäätös 2019'!L:L),FALSE),0)</f>
        <v>721310</v>
      </c>
      <c r="F71" s="20">
        <f>IFERROR(VLOOKUP(Vertailu[[#This Row],[Y-tunnus]],'1.2 Ohjaus-laskentataulu'!A:AG,COLUMN('1.2 Ohjaus-laskentataulu'!Z:Z),FALSE),0)</f>
        <v>795905</v>
      </c>
      <c r="G71" s="20">
        <f>IFERROR(Vertailu[[#This Row],[Simuloitu rahoitus pl. hark. kor. ilman alv, €]]-Vertailu[[#This Row],[2019 rahoitus pl. hark. kor. ilman alv, €]],0)</f>
        <v>74595</v>
      </c>
      <c r="H71" s="37">
        <f>IFERROR(Vertailu[[#This Row],[Muutos, € 1]]/Vertailu[[#This Row],[2019 rahoitus pl. hark. kor. ilman alv, €]],0)</f>
        <v>0.10341600698728702</v>
      </c>
      <c r="I71" s="132">
        <f>IFERROR(VLOOKUP(Vertailu[[#This Row],[Y-tunnus]],'3.2 Suoritepäätös 2019'!$A:$S,COLUMN('3.2 Suoritepäätös 2019'!Q:Q),FALSE),0)</f>
        <v>721310</v>
      </c>
      <c r="J71" s="134">
        <f>IFERROR(VLOOKUP(Vertailu[[#This Row],[Y-tunnus]],'1.2 Ohjaus-laskentataulu'!A:AG,COLUMN('1.2 Ohjaus-laskentataulu'!AE:AE),FALSE),0)</f>
        <v>795905</v>
      </c>
      <c r="K71" s="20">
        <f>IFERROR(Vertailu[[#This Row],[Simuloitu rahoitus sis. hark. kor. ilman alv, €]]-Vertailu[[#This Row],[2019 rahoitus sis. hark. kor. ilman alv, €]],0)</f>
        <v>74595</v>
      </c>
      <c r="L71" s="18">
        <f>IFERROR(Vertailu[[#This Row],[Muutos, € 2]]/Vertailu[[#This Row],[2019 rahoitus sis. hark. kor. ilman alv, €]],0)</f>
        <v>0.10341600698728702</v>
      </c>
      <c r="M71" s="134">
        <f>IFERROR(VLOOKUP(Vertailu[[#This Row],[Y-tunnus]],'3.2 Suoritepäätös 2019'!$A:$S,COLUMN('3.2 Suoritepäätös 2019'!Q:Q),FALSE)+VLOOKUP(Vertailu[[#This Row],[Y-tunnus]],'3.2 Suoritepäätös 2019'!$A:$S,COLUMN('3.2 Suoritepäätös 2019'!R:R),FALSE),0)</f>
        <v>759323</v>
      </c>
      <c r="N71" s="132">
        <f>IFERROR(VLOOKUP(Vertailu[[#This Row],[Y-tunnus]],'1.2 Ohjaus-laskentataulu'!A:AG,COLUMN('1.2 Ohjaus-laskentataulu'!AG:AG),FALSE),0)</f>
        <v>809254.19</v>
      </c>
      <c r="O71" s="142">
        <f>IFERROR(Vertailu[[#This Row],[Simuloitu rahoitus sis. hark. kor. + alv, €]]-Vertailu[[#This Row],[2019 rahoitus sis. hark. kor. + alv, €]],0)</f>
        <v>49931.189999999944</v>
      </c>
      <c r="P71" s="37">
        <f>IFERROR(Vertailu[[#This Row],[Muutos, € 3]]/Vertailu[[#This Row],[2019 rahoitus sis. hark. kor. + alv, €]],0)</f>
        <v>6.5757510308524753E-2</v>
      </c>
    </row>
    <row r="72" spans="1:16" x14ac:dyDescent="0.25">
      <c r="A72" s="24" t="s">
        <v>340</v>
      </c>
      <c r="B72" s="143" t="s">
        <v>440</v>
      </c>
      <c r="C72" s="143" t="s">
        <v>240</v>
      </c>
      <c r="D72" s="144" t="s">
        <v>412</v>
      </c>
      <c r="E72" s="20">
        <f>IFERROR(VLOOKUP(Vertailu[[#This Row],[Y-tunnus]],'3.2 Suoritepäätös 2019'!$A:$S,COLUMN('3.2 Suoritepäätös 2019'!Q:Q),FALSE)-VLOOKUP(Vertailu[[#This Row],[Y-tunnus]],'3.2 Suoritepäätös 2019'!$A:$S,COLUMN('3.2 Suoritepäätös 2019'!L:L),FALSE),0)</f>
        <v>872914</v>
      </c>
      <c r="F72" s="20">
        <f>IFERROR(VLOOKUP(Vertailu[[#This Row],[Y-tunnus]],'1.2 Ohjaus-laskentataulu'!A:AG,COLUMN('1.2 Ohjaus-laskentataulu'!Z:Z),FALSE),0)</f>
        <v>964709</v>
      </c>
      <c r="G72" s="20">
        <f>IFERROR(Vertailu[[#This Row],[Simuloitu rahoitus pl. hark. kor. ilman alv, €]]-Vertailu[[#This Row],[2019 rahoitus pl. hark. kor. ilman alv, €]],0)</f>
        <v>91795</v>
      </c>
      <c r="H72" s="37">
        <f>IFERROR(Vertailu[[#This Row],[Muutos, € 1]]/Vertailu[[#This Row],[2019 rahoitus pl. hark. kor. ilman alv, €]],0)</f>
        <v>0.10515927113094761</v>
      </c>
      <c r="I72" s="132">
        <f>IFERROR(VLOOKUP(Vertailu[[#This Row],[Y-tunnus]],'3.2 Suoritepäätös 2019'!$A:$S,COLUMN('3.2 Suoritepäätös 2019'!Q:Q),FALSE),0)</f>
        <v>872914</v>
      </c>
      <c r="J72" s="134">
        <f>IFERROR(VLOOKUP(Vertailu[[#This Row],[Y-tunnus]],'1.2 Ohjaus-laskentataulu'!A:AG,COLUMN('1.2 Ohjaus-laskentataulu'!AE:AE),FALSE),0)</f>
        <v>964709</v>
      </c>
      <c r="K72" s="20">
        <f>IFERROR(Vertailu[[#This Row],[Simuloitu rahoitus sis. hark. kor. ilman alv, €]]-Vertailu[[#This Row],[2019 rahoitus sis. hark. kor. ilman alv, €]],0)</f>
        <v>91795</v>
      </c>
      <c r="L72" s="18">
        <f>IFERROR(Vertailu[[#This Row],[Muutos, € 2]]/Vertailu[[#This Row],[2019 rahoitus sis. hark. kor. ilman alv, €]],0)</f>
        <v>0.10515927113094761</v>
      </c>
      <c r="M72" s="134">
        <f>IFERROR(VLOOKUP(Vertailu[[#This Row],[Y-tunnus]],'3.2 Suoritepäätös 2019'!$A:$S,COLUMN('3.2 Suoritepäätös 2019'!Q:Q),FALSE)+VLOOKUP(Vertailu[[#This Row],[Y-tunnus]],'3.2 Suoritepäätös 2019'!$A:$S,COLUMN('3.2 Suoritepäätös 2019'!R:R),FALSE),0)</f>
        <v>918978</v>
      </c>
      <c r="N72" s="132">
        <f>IFERROR(VLOOKUP(Vertailu[[#This Row],[Y-tunnus]],'1.2 Ohjaus-laskentataulu'!A:AG,COLUMN('1.2 Ohjaus-laskentataulu'!AG:AG),FALSE),0)</f>
        <v>1021969</v>
      </c>
      <c r="O72" s="142">
        <f>IFERROR(Vertailu[[#This Row],[Simuloitu rahoitus sis. hark. kor. + alv, €]]-Vertailu[[#This Row],[2019 rahoitus sis. hark. kor. + alv, €]],0)</f>
        <v>102991</v>
      </c>
      <c r="P72" s="37">
        <f>IFERROR(Vertailu[[#This Row],[Muutos, € 3]]/Vertailu[[#This Row],[2019 rahoitus sis. hark. kor. + alv, €]],0)</f>
        <v>0.11207123565526052</v>
      </c>
    </row>
    <row r="73" spans="1:16" x14ac:dyDescent="0.25">
      <c r="A73" s="24" t="s">
        <v>339</v>
      </c>
      <c r="B73" s="143" t="s">
        <v>82</v>
      </c>
      <c r="C73" s="143" t="s">
        <v>269</v>
      </c>
      <c r="D73" s="144" t="s">
        <v>412</v>
      </c>
      <c r="E73" s="20">
        <f>IFERROR(VLOOKUP(Vertailu[[#This Row],[Y-tunnus]],'3.2 Suoritepäätös 2019'!$A:$S,COLUMN('3.2 Suoritepäätös 2019'!Q:Q),FALSE)-VLOOKUP(Vertailu[[#This Row],[Y-tunnus]],'3.2 Suoritepäätös 2019'!$A:$S,COLUMN('3.2 Suoritepäätös 2019'!L:L),FALSE),0)</f>
        <v>1666987</v>
      </c>
      <c r="F73" s="20">
        <f>IFERROR(VLOOKUP(Vertailu[[#This Row],[Y-tunnus]],'1.2 Ohjaus-laskentataulu'!A:AG,COLUMN('1.2 Ohjaus-laskentataulu'!Z:Z),FALSE),0)</f>
        <v>1762162</v>
      </c>
      <c r="G73" s="20">
        <f>IFERROR(Vertailu[[#This Row],[Simuloitu rahoitus pl. hark. kor. ilman alv, €]]-Vertailu[[#This Row],[2019 rahoitus pl. hark. kor. ilman alv, €]],0)</f>
        <v>95175</v>
      </c>
      <c r="H73" s="37">
        <f>IFERROR(Vertailu[[#This Row],[Muutos, € 1]]/Vertailu[[#This Row],[2019 rahoitus pl. hark. kor. ilman alv, €]],0)</f>
        <v>5.7094026528101298E-2</v>
      </c>
      <c r="I73" s="132">
        <f>IFERROR(VLOOKUP(Vertailu[[#This Row],[Y-tunnus]],'3.2 Suoritepäätös 2019'!$A:$S,COLUMN('3.2 Suoritepäätös 2019'!Q:Q),FALSE),0)</f>
        <v>1666987</v>
      </c>
      <c r="J73" s="134">
        <f>IFERROR(VLOOKUP(Vertailu[[#This Row],[Y-tunnus]],'1.2 Ohjaus-laskentataulu'!A:AG,COLUMN('1.2 Ohjaus-laskentataulu'!AE:AE),FALSE),0)</f>
        <v>1762162</v>
      </c>
      <c r="K73" s="20">
        <f>IFERROR(Vertailu[[#This Row],[Simuloitu rahoitus sis. hark. kor. ilman alv, €]]-Vertailu[[#This Row],[2019 rahoitus sis. hark. kor. ilman alv, €]],0)</f>
        <v>95175</v>
      </c>
      <c r="L73" s="18">
        <f>IFERROR(Vertailu[[#This Row],[Muutos, € 2]]/Vertailu[[#This Row],[2019 rahoitus sis. hark. kor. ilman alv, €]],0)</f>
        <v>5.7094026528101298E-2</v>
      </c>
      <c r="M73" s="134">
        <f>IFERROR(VLOOKUP(Vertailu[[#This Row],[Y-tunnus]],'3.2 Suoritepäätös 2019'!$A:$S,COLUMN('3.2 Suoritepäätös 2019'!Q:Q),FALSE)+VLOOKUP(Vertailu[[#This Row],[Y-tunnus]],'3.2 Suoritepäätös 2019'!$A:$S,COLUMN('3.2 Suoritepäätös 2019'!R:R),FALSE),0)</f>
        <v>1752985</v>
      </c>
      <c r="N73" s="132">
        <f>IFERROR(VLOOKUP(Vertailu[[#This Row],[Y-tunnus]],'1.2 Ohjaus-laskentataulu'!A:AG,COLUMN('1.2 Ohjaus-laskentataulu'!AG:AG),FALSE),0)</f>
        <v>1904883.46</v>
      </c>
      <c r="O73" s="142">
        <f>IFERROR(Vertailu[[#This Row],[Simuloitu rahoitus sis. hark. kor. + alv, €]]-Vertailu[[#This Row],[2019 rahoitus sis. hark. kor. + alv, €]],0)</f>
        <v>151898.45999999996</v>
      </c>
      <c r="P73" s="37">
        <f>IFERROR(Vertailu[[#This Row],[Muutos, € 3]]/Vertailu[[#This Row],[2019 rahoitus sis. hark. kor. + alv, €]],0)</f>
        <v>8.6651317609677189E-2</v>
      </c>
    </row>
    <row r="74" spans="1:16" x14ac:dyDescent="0.25">
      <c r="A74" s="24" t="s">
        <v>337</v>
      </c>
      <c r="B74" s="143" t="s">
        <v>172</v>
      </c>
      <c r="C74" s="143" t="s">
        <v>242</v>
      </c>
      <c r="D74" s="144" t="s">
        <v>411</v>
      </c>
      <c r="E74" s="20">
        <f>IFERROR(VLOOKUP(Vertailu[[#This Row],[Y-tunnus]],'3.2 Suoritepäätös 2019'!$A:$S,COLUMN('3.2 Suoritepäätös 2019'!Q:Q),FALSE)-VLOOKUP(Vertailu[[#This Row],[Y-tunnus]],'3.2 Suoritepäätös 2019'!$A:$S,COLUMN('3.2 Suoritepäätös 2019'!L:L),FALSE),0)</f>
        <v>293203</v>
      </c>
      <c r="F74" s="20">
        <f>IFERROR(VLOOKUP(Vertailu[[#This Row],[Y-tunnus]],'1.2 Ohjaus-laskentataulu'!A:AG,COLUMN('1.2 Ohjaus-laskentataulu'!Z:Z),FALSE),0)</f>
        <v>201853</v>
      </c>
      <c r="G74" s="20">
        <f>IFERROR(Vertailu[[#This Row],[Simuloitu rahoitus pl. hark. kor. ilman alv, €]]-Vertailu[[#This Row],[2019 rahoitus pl. hark. kor. ilman alv, €]],0)</f>
        <v>-91350</v>
      </c>
      <c r="H74" s="37">
        <f>IFERROR(Vertailu[[#This Row],[Muutos, € 1]]/Vertailu[[#This Row],[2019 rahoitus pl. hark. kor. ilman alv, €]],0)</f>
        <v>-0.31155888582313279</v>
      </c>
      <c r="I74" s="132">
        <f>IFERROR(VLOOKUP(Vertailu[[#This Row],[Y-tunnus]],'3.2 Suoritepäätös 2019'!$A:$S,COLUMN('3.2 Suoritepäätös 2019'!Q:Q),FALSE),0)</f>
        <v>293203</v>
      </c>
      <c r="J74" s="134">
        <f>IFERROR(VLOOKUP(Vertailu[[#This Row],[Y-tunnus]],'1.2 Ohjaus-laskentataulu'!A:AG,COLUMN('1.2 Ohjaus-laskentataulu'!AE:AE),FALSE),0)</f>
        <v>201853</v>
      </c>
      <c r="K74" s="20">
        <f>IFERROR(Vertailu[[#This Row],[Simuloitu rahoitus sis. hark. kor. ilman alv, €]]-Vertailu[[#This Row],[2019 rahoitus sis. hark. kor. ilman alv, €]],0)</f>
        <v>-91350</v>
      </c>
      <c r="L74" s="18">
        <f>IFERROR(Vertailu[[#This Row],[Muutos, € 2]]/Vertailu[[#This Row],[2019 rahoitus sis. hark. kor. ilman alv, €]],0)</f>
        <v>-0.31155888582313279</v>
      </c>
      <c r="M74" s="134">
        <f>IFERROR(VLOOKUP(Vertailu[[#This Row],[Y-tunnus]],'3.2 Suoritepäätös 2019'!$A:$S,COLUMN('3.2 Suoritepäätös 2019'!Q:Q),FALSE)+VLOOKUP(Vertailu[[#This Row],[Y-tunnus]],'3.2 Suoritepäätös 2019'!$A:$S,COLUMN('3.2 Suoritepäätös 2019'!R:R),FALSE),0)</f>
        <v>293203</v>
      </c>
      <c r="N74" s="132">
        <f>IFERROR(VLOOKUP(Vertailu[[#This Row],[Y-tunnus]],'1.2 Ohjaus-laskentataulu'!A:AG,COLUMN('1.2 Ohjaus-laskentataulu'!AG:AG),FALSE),0)</f>
        <v>201853</v>
      </c>
      <c r="O74" s="142">
        <f>IFERROR(Vertailu[[#This Row],[Simuloitu rahoitus sis. hark. kor. + alv, €]]-Vertailu[[#This Row],[2019 rahoitus sis. hark. kor. + alv, €]],0)</f>
        <v>-91350</v>
      </c>
      <c r="P74" s="37">
        <f>IFERROR(Vertailu[[#This Row],[Muutos, € 3]]/Vertailu[[#This Row],[2019 rahoitus sis. hark. kor. + alv, €]],0)</f>
        <v>-0.31155888582313279</v>
      </c>
    </row>
    <row r="75" spans="1:16" x14ac:dyDescent="0.25">
      <c r="A75" s="24" t="s">
        <v>381</v>
      </c>
      <c r="B75" s="143" t="s">
        <v>83</v>
      </c>
      <c r="C75" s="143" t="s">
        <v>236</v>
      </c>
      <c r="D75" s="144" t="s">
        <v>412</v>
      </c>
      <c r="E75" s="20">
        <f>IFERROR(VLOOKUP(Vertailu[[#This Row],[Y-tunnus]],'3.2 Suoritepäätös 2019'!$A:$S,COLUMN('3.2 Suoritepäätös 2019'!Q:Q),FALSE)-VLOOKUP(Vertailu[[#This Row],[Y-tunnus]],'3.2 Suoritepäätös 2019'!$A:$S,COLUMN('3.2 Suoritepäätös 2019'!L:L),FALSE),0)</f>
        <v>274287</v>
      </c>
      <c r="F75" s="20">
        <f>IFERROR(VLOOKUP(Vertailu[[#This Row],[Y-tunnus]],'1.2 Ohjaus-laskentataulu'!A:AG,COLUMN('1.2 Ohjaus-laskentataulu'!Z:Z),FALSE),0)</f>
        <v>327316</v>
      </c>
      <c r="G75" s="20">
        <f>IFERROR(Vertailu[[#This Row],[Simuloitu rahoitus pl. hark. kor. ilman alv, €]]-Vertailu[[#This Row],[2019 rahoitus pl. hark. kor. ilman alv, €]],0)</f>
        <v>53029</v>
      </c>
      <c r="H75" s="37">
        <f>IFERROR(Vertailu[[#This Row],[Muutos, € 1]]/Vertailu[[#This Row],[2019 rahoitus pl. hark. kor. ilman alv, €]],0)</f>
        <v>0.19333398958025719</v>
      </c>
      <c r="I75" s="132">
        <f>IFERROR(VLOOKUP(Vertailu[[#This Row],[Y-tunnus]],'3.2 Suoritepäätös 2019'!$A:$S,COLUMN('3.2 Suoritepäätös 2019'!Q:Q),FALSE),0)</f>
        <v>274287</v>
      </c>
      <c r="J75" s="134">
        <f>IFERROR(VLOOKUP(Vertailu[[#This Row],[Y-tunnus]],'1.2 Ohjaus-laskentataulu'!A:AG,COLUMN('1.2 Ohjaus-laskentataulu'!AE:AE),FALSE),0)</f>
        <v>327316</v>
      </c>
      <c r="K75" s="20">
        <f>IFERROR(Vertailu[[#This Row],[Simuloitu rahoitus sis. hark. kor. ilman alv, €]]-Vertailu[[#This Row],[2019 rahoitus sis. hark. kor. ilman alv, €]],0)</f>
        <v>53029</v>
      </c>
      <c r="L75" s="18">
        <f>IFERROR(Vertailu[[#This Row],[Muutos, € 2]]/Vertailu[[#This Row],[2019 rahoitus sis. hark. kor. ilman alv, €]],0)</f>
        <v>0.19333398958025719</v>
      </c>
      <c r="M75" s="134">
        <f>IFERROR(VLOOKUP(Vertailu[[#This Row],[Y-tunnus]],'3.2 Suoritepäätös 2019'!$A:$S,COLUMN('3.2 Suoritepäätös 2019'!Q:Q),FALSE)+VLOOKUP(Vertailu[[#This Row],[Y-tunnus]],'3.2 Suoritepäätös 2019'!$A:$S,COLUMN('3.2 Suoritepäätös 2019'!R:R),FALSE),0)</f>
        <v>288513</v>
      </c>
      <c r="N75" s="132">
        <f>IFERROR(VLOOKUP(Vertailu[[#This Row],[Y-tunnus]],'1.2 Ohjaus-laskentataulu'!A:AG,COLUMN('1.2 Ohjaus-laskentataulu'!AG:AG),FALSE),0)</f>
        <v>327316</v>
      </c>
      <c r="O75" s="142">
        <f>IFERROR(Vertailu[[#This Row],[Simuloitu rahoitus sis. hark. kor. + alv, €]]-Vertailu[[#This Row],[2019 rahoitus sis. hark. kor. + alv, €]],0)</f>
        <v>38803</v>
      </c>
      <c r="P75" s="37">
        <f>IFERROR(Vertailu[[#This Row],[Muutos, € 3]]/Vertailu[[#This Row],[2019 rahoitus sis. hark. kor. + alv, €]],0)</f>
        <v>0.1344930731024252</v>
      </c>
    </row>
    <row r="76" spans="1:16" x14ac:dyDescent="0.25">
      <c r="A76" s="24" t="s">
        <v>336</v>
      </c>
      <c r="B76" s="143" t="s">
        <v>84</v>
      </c>
      <c r="C76" s="143" t="s">
        <v>250</v>
      </c>
      <c r="D76" s="144" t="s">
        <v>412</v>
      </c>
      <c r="E76" s="20">
        <f>IFERROR(VLOOKUP(Vertailu[[#This Row],[Y-tunnus]],'3.2 Suoritepäätös 2019'!$A:$S,COLUMN('3.2 Suoritepäätös 2019'!Q:Q),FALSE)-VLOOKUP(Vertailu[[#This Row],[Y-tunnus]],'3.2 Suoritepäätös 2019'!$A:$S,COLUMN('3.2 Suoritepäätös 2019'!L:L),FALSE),0)</f>
        <v>207065</v>
      </c>
      <c r="F76" s="20">
        <f>IFERROR(VLOOKUP(Vertailu[[#This Row],[Y-tunnus]],'1.2 Ohjaus-laskentataulu'!A:AG,COLUMN('1.2 Ohjaus-laskentataulu'!Z:Z),FALSE),0)</f>
        <v>256869</v>
      </c>
      <c r="G76" s="20">
        <f>IFERROR(Vertailu[[#This Row],[Simuloitu rahoitus pl. hark. kor. ilman alv, €]]-Vertailu[[#This Row],[2019 rahoitus pl. hark. kor. ilman alv, €]],0)</f>
        <v>49804</v>
      </c>
      <c r="H76" s="37">
        <f>IFERROR(Vertailu[[#This Row],[Muutos, € 1]]/Vertailu[[#This Row],[2019 rahoitus pl. hark. kor. ilman alv, €]],0)</f>
        <v>0.24052350711129356</v>
      </c>
      <c r="I76" s="132">
        <f>IFERROR(VLOOKUP(Vertailu[[#This Row],[Y-tunnus]],'3.2 Suoritepäätös 2019'!$A:$S,COLUMN('3.2 Suoritepäätös 2019'!Q:Q),FALSE),0)</f>
        <v>207065</v>
      </c>
      <c r="J76" s="134">
        <f>IFERROR(VLOOKUP(Vertailu[[#This Row],[Y-tunnus]],'1.2 Ohjaus-laskentataulu'!A:AG,COLUMN('1.2 Ohjaus-laskentataulu'!AE:AE),FALSE),0)</f>
        <v>256869</v>
      </c>
      <c r="K76" s="20">
        <f>IFERROR(Vertailu[[#This Row],[Simuloitu rahoitus sis. hark. kor. ilman alv, €]]-Vertailu[[#This Row],[2019 rahoitus sis. hark. kor. ilman alv, €]],0)</f>
        <v>49804</v>
      </c>
      <c r="L76" s="18">
        <f>IFERROR(Vertailu[[#This Row],[Muutos, € 2]]/Vertailu[[#This Row],[2019 rahoitus sis. hark. kor. ilman alv, €]],0)</f>
        <v>0.24052350711129356</v>
      </c>
      <c r="M76" s="134">
        <f>IFERROR(VLOOKUP(Vertailu[[#This Row],[Y-tunnus]],'3.2 Suoritepäätös 2019'!$A:$S,COLUMN('3.2 Suoritepäätös 2019'!Q:Q),FALSE)+VLOOKUP(Vertailu[[#This Row],[Y-tunnus]],'3.2 Suoritepäätös 2019'!$A:$S,COLUMN('3.2 Suoritepäätös 2019'!R:R),FALSE),0)</f>
        <v>217860</v>
      </c>
      <c r="N76" s="132">
        <f>IFERROR(VLOOKUP(Vertailu[[#This Row],[Y-tunnus]],'1.2 Ohjaus-laskentataulu'!A:AG,COLUMN('1.2 Ohjaus-laskentataulu'!AG:AG),FALSE),0)</f>
        <v>258164.87</v>
      </c>
      <c r="O76" s="142">
        <f>IFERROR(Vertailu[[#This Row],[Simuloitu rahoitus sis. hark. kor. + alv, €]]-Vertailu[[#This Row],[2019 rahoitus sis. hark. kor. + alv, €]],0)</f>
        <v>40304.869999999995</v>
      </c>
      <c r="P76" s="37">
        <f>IFERROR(Vertailu[[#This Row],[Muutos, € 3]]/Vertailu[[#This Row],[2019 rahoitus sis. hark. kor. + alv, €]],0)</f>
        <v>0.18500353437987696</v>
      </c>
    </row>
    <row r="77" spans="1:16" x14ac:dyDescent="0.25">
      <c r="A77" s="24" t="s">
        <v>335</v>
      </c>
      <c r="B77" s="143" t="s">
        <v>85</v>
      </c>
      <c r="C77" s="143" t="s">
        <v>250</v>
      </c>
      <c r="D77" s="144" t="s">
        <v>412</v>
      </c>
      <c r="E77" s="20">
        <f>IFERROR(VLOOKUP(Vertailu[[#This Row],[Y-tunnus]],'3.2 Suoritepäätös 2019'!$A:$S,COLUMN('3.2 Suoritepäätös 2019'!Q:Q),FALSE)-VLOOKUP(Vertailu[[#This Row],[Y-tunnus]],'3.2 Suoritepäätös 2019'!$A:$S,COLUMN('3.2 Suoritepäätös 2019'!L:L),FALSE),0)</f>
        <v>557931</v>
      </c>
      <c r="F77" s="20">
        <f>IFERROR(VLOOKUP(Vertailu[[#This Row],[Y-tunnus]],'1.2 Ohjaus-laskentataulu'!A:AG,COLUMN('1.2 Ohjaus-laskentataulu'!Z:Z),FALSE),0)</f>
        <v>586222</v>
      </c>
      <c r="G77" s="20">
        <f>IFERROR(Vertailu[[#This Row],[Simuloitu rahoitus pl. hark. kor. ilman alv, €]]-Vertailu[[#This Row],[2019 rahoitus pl. hark. kor. ilman alv, €]],0)</f>
        <v>28291</v>
      </c>
      <c r="H77" s="37">
        <f>IFERROR(Vertailu[[#This Row],[Muutos, € 1]]/Vertailu[[#This Row],[2019 rahoitus pl. hark. kor. ilman alv, €]],0)</f>
        <v>5.070698706470872E-2</v>
      </c>
      <c r="I77" s="132">
        <f>IFERROR(VLOOKUP(Vertailu[[#This Row],[Y-tunnus]],'3.2 Suoritepäätös 2019'!$A:$S,COLUMN('3.2 Suoritepäätös 2019'!Q:Q),FALSE),0)</f>
        <v>557931</v>
      </c>
      <c r="J77" s="134">
        <f>IFERROR(VLOOKUP(Vertailu[[#This Row],[Y-tunnus]],'1.2 Ohjaus-laskentataulu'!A:AG,COLUMN('1.2 Ohjaus-laskentataulu'!AE:AE),FALSE),0)</f>
        <v>586222</v>
      </c>
      <c r="K77" s="20">
        <f>IFERROR(Vertailu[[#This Row],[Simuloitu rahoitus sis. hark. kor. ilman alv, €]]-Vertailu[[#This Row],[2019 rahoitus sis. hark. kor. ilman alv, €]],0)</f>
        <v>28291</v>
      </c>
      <c r="L77" s="18">
        <f>IFERROR(Vertailu[[#This Row],[Muutos, € 2]]/Vertailu[[#This Row],[2019 rahoitus sis. hark. kor. ilman alv, €]],0)</f>
        <v>5.070698706470872E-2</v>
      </c>
      <c r="M77" s="134">
        <f>IFERROR(VLOOKUP(Vertailu[[#This Row],[Y-tunnus]],'3.2 Suoritepäätös 2019'!$A:$S,COLUMN('3.2 Suoritepäätös 2019'!Q:Q),FALSE)+VLOOKUP(Vertailu[[#This Row],[Y-tunnus]],'3.2 Suoritepäätös 2019'!$A:$S,COLUMN('3.2 Suoritepäätös 2019'!R:R),FALSE),0)</f>
        <v>586841</v>
      </c>
      <c r="N77" s="132">
        <f>IFERROR(VLOOKUP(Vertailu[[#This Row],[Y-tunnus]],'1.2 Ohjaus-laskentataulu'!A:AG,COLUMN('1.2 Ohjaus-laskentataulu'!AG:AG),FALSE),0)</f>
        <v>597470.59</v>
      </c>
      <c r="O77" s="142">
        <f>IFERROR(Vertailu[[#This Row],[Simuloitu rahoitus sis. hark. kor. + alv, €]]-Vertailu[[#This Row],[2019 rahoitus sis. hark. kor. + alv, €]],0)</f>
        <v>10629.589999999967</v>
      </c>
      <c r="P77" s="37">
        <f>IFERROR(Vertailu[[#This Row],[Muutos, € 3]]/Vertailu[[#This Row],[2019 rahoitus sis. hark. kor. + alv, €]],0)</f>
        <v>1.8113236805199308E-2</v>
      </c>
    </row>
    <row r="78" spans="1:16" x14ac:dyDescent="0.25">
      <c r="A78" s="24" t="s">
        <v>333</v>
      </c>
      <c r="B78" s="143" t="s">
        <v>86</v>
      </c>
      <c r="C78" s="143" t="s">
        <v>332</v>
      </c>
      <c r="D78" s="144" t="s">
        <v>411</v>
      </c>
      <c r="E78" s="20">
        <f>IFERROR(VLOOKUP(Vertailu[[#This Row],[Y-tunnus]],'3.2 Suoritepäätös 2019'!$A:$S,COLUMN('3.2 Suoritepäätös 2019'!Q:Q),FALSE)-VLOOKUP(Vertailu[[#This Row],[Y-tunnus]],'3.2 Suoritepäätös 2019'!$A:$S,COLUMN('3.2 Suoritepäätös 2019'!L:L),FALSE),0)</f>
        <v>10220545</v>
      </c>
      <c r="F78" s="20">
        <f>IFERROR(VLOOKUP(Vertailu[[#This Row],[Y-tunnus]],'1.2 Ohjaus-laskentataulu'!A:AG,COLUMN('1.2 Ohjaus-laskentataulu'!Z:Z),FALSE),0)</f>
        <v>10076484</v>
      </c>
      <c r="G78" s="20">
        <f>IFERROR(Vertailu[[#This Row],[Simuloitu rahoitus pl. hark. kor. ilman alv, €]]-Vertailu[[#This Row],[2019 rahoitus pl. hark. kor. ilman alv, €]],0)</f>
        <v>-144061</v>
      </c>
      <c r="H78" s="37">
        <f>IFERROR(Vertailu[[#This Row],[Muutos, € 1]]/Vertailu[[#This Row],[2019 rahoitus pl. hark. kor. ilman alv, €]],0)</f>
        <v>-1.409523660431024E-2</v>
      </c>
      <c r="I78" s="132">
        <f>IFERROR(VLOOKUP(Vertailu[[#This Row],[Y-tunnus]],'3.2 Suoritepäätös 2019'!$A:$S,COLUMN('3.2 Suoritepäätös 2019'!Q:Q),FALSE),0)</f>
        <v>10310545</v>
      </c>
      <c r="J78" s="134">
        <f>IFERROR(VLOOKUP(Vertailu[[#This Row],[Y-tunnus]],'1.2 Ohjaus-laskentataulu'!A:AG,COLUMN('1.2 Ohjaus-laskentataulu'!AE:AE),FALSE),0)</f>
        <v>10076484</v>
      </c>
      <c r="K78" s="20">
        <f>IFERROR(Vertailu[[#This Row],[Simuloitu rahoitus sis. hark. kor. ilman alv, €]]-Vertailu[[#This Row],[2019 rahoitus sis. hark. kor. ilman alv, €]],0)</f>
        <v>-234061</v>
      </c>
      <c r="L78" s="18">
        <f>IFERROR(Vertailu[[#This Row],[Muutos, € 2]]/Vertailu[[#This Row],[2019 rahoitus sis. hark. kor. ilman alv, €]],0)</f>
        <v>-2.2701127825929666E-2</v>
      </c>
      <c r="M78" s="134">
        <f>IFERROR(VLOOKUP(Vertailu[[#This Row],[Y-tunnus]],'3.2 Suoritepäätös 2019'!$A:$S,COLUMN('3.2 Suoritepäätös 2019'!Q:Q),FALSE)+VLOOKUP(Vertailu[[#This Row],[Y-tunnus]],'3.2 Suoritepäätös 2019'!$A:$S,COLUMN('3.2 Suoritepäätös 2019'!R:R),FALSE),0)</f>
        <v>10310545</v>
      </c>
      <c r="N78" s="132">
        <f>IFERROR(VLOOKUP(Vertailu[[#This Row],[Y-tunnus]],'1.2 Ohjaus-laskentataulu'!A:AG,COLUMN('1.2 Ohjaus-laskentataulu'!AG:AG),FALSE),0)</f>
        <v>10076484</v>
      </c>
      <c r="O78" s="142">
        <f>IFERROR(Vertailu[[#This Row],[Simuloitu rahoitus sis. hark. kor. + alv, €]]-Vertailu[[#This Row],[2019 rahoitus sis. hark. kor. + alv, €]],0)</f>
        <v>-234061</v>
      </c>
      <c r="P78" s="37">
        <f>IFERROR(Vertailu[[#This Row],[Muutos, € 3]]/Vertailu[[#This Row],[2019 rahoitus sis. hark. kor. + alv, €]],0)</f>
        <v>-2.2701127825929666E-2</v>
      </c>
    </row>
    <row r="79" spans="1:16" x14ac:dyDescent="0.25">
      <c r="A79" s="24" t="s">
        <v>331</v>
      </c>
      <c r="B79" s="143" t="s">
        <v>87</v>
      </c>
      <c r="C79" s="143" t="s">
        <v>252</v>
      </c>
      <c r="D79" s="144" t="s">
        <v>411</v>
      </c>
      <c r="E79" s="20">
        <f>IFERROR(VLOOKUP(Vertailu[[#This Row],[Y-tunnus]],'3.2 Suoritepäätös 2019'!$A:$S,COLUMN('3.2 Suoritepäätös 2019'!Q:Q),FALSE)-VLOOKUP(Vertailu[[#This Row],[Y-tunnus]],'3.2 Suoritepäätös 2019'!$A:$S,COLUMN('3.2 Suoritepäätös 2019'!L:L),FALSE),0)</f>
        <v>15691105</v>
      </c>
      <c r="F79" s="20">
        <f>IFERROR(VLOOKUP(Vertailu[[#This Row],[Y-tunnus]],'1.2 Ohjaus-laskentataulu'!A:AG,COLUMN('1.2 Ohjaus-laskentataulu'!Z:Z),FALSE),0)</f>
        <v>16039873</v>
      </c>
      <c r="G79" s="20">
        <f>IFERROR(Vertailu[[#This Row],[Simuloitu rahoitus pl. hark. kor. ilman alv, €]]-Vertailu[[#This Row],[2019 rahoitus pl. hark. kor. ilman alv, €]],0)</f>
        <v>348768</v>
      </c>
      <c r="H79" s="37">
        <f>IFERROR(Vertailu[[#This Row],[Muutos, € 1]]/Vertailu[[#This Row],[2019 rahoitus pl. hark. kor. ilman alv, €]],0)</f>
        <v>2.2227115298763218E-2</v>
      </c>
      <c r="I79" s="132">
        <f>IFERROR(VLOOKUP(Vertailu[[#This Row],[Y-tunnus]],'3.2 Suoritepäätös 2019'!$A:$S,COLUMN('3.2 Suoritepäätös 2019'!Q:Q),FALSE),0)</f>
        <v>15691105</v>
      </c>
      <c r="J79" s="134">
        <f>IFERROR(VLOOKUP(Vertailu[[#This Row],[Y-tunnus]],'1.2 Ohjaus-laskentataulu'!A:AG,COLUMN('1.2 Ohjaus-laskentataulu'!AE:AE),FALSE),0)</f>
        <v>16039873</v>
      </c>
      <c r="K79" s="20">
        <f>IFERROR(Vertailu[[#This Row],[Simuloitu rahoitus sis. hark. kor. ilman alv, €]]-Vertailu[[#This Row],[2019 rahoitus sis. hark. kor. ilman alv, €]],0)</f>
        <v>348768</v>
      </c>
      <c r="L79" s="18">
        <f>IFERROR(Vertailu[[#This Row],[Muutos, € 2]]/Vertailu[[#This Row],[2019 rahoitus sis. hark. kor. ilman alv, €]],0)</f>
        <v>2.2227115298763218E-2</v>
      </c>
      <c r="M79" s="134">
        <f>IFERROR(VLOOKUP(Vertailu[[#This Row],[Y-tunnus]],'3.2 Suoritepäätös 2019'!$A:$S,COLUMN('3.2 Suoritepäätös 2019'!Q:Q),FALSE)+VLOOKUP(Vertailu[[#This Row],[Y-tunnus]],'3.2 Suoritepäätös 2019'!$A:$S,COLUMN('3.2 Suoritepäätös 2019'!R:R),FALSE),0)</f>
        <v>15691105</v>
      </c>
      <c r="N79" s="132">
        <f>IFERROR(VLOOKUP(Vertailu[[#This Row],[Y-tunnus]],'1.2 Ohjaus-laskentataulu'!A:AG,COLUMN('1.2 Ohjaus-laskentataulu'!AG:AG),FALSE),0)</f>
        <v>16039873</v>
      </c>
      <c r="O79" s="142">
        <f>IFERROR(Vertailu[[#This Row],[Simuloitu rahoitus sis. hark. kor. + alv, €]]-Vertailu[[#This Row],[2019 rahoitus sis. hark. kor. + alv, €]],0)</f>
        <v>348768</v>
      </c>
      <c r="P79" s="37">
        <f>IFERROR(Vertailu[[#This Row],[Muutos, € 3]]/Vertailu[[#This Row],[2019 rahoitus sis. hark. kor. + alv, €]],0)</f>
        <v>2.2227115298763218E-2</v>
      </c>
    </row>
    <row r="80" spans="1:16" x14ac:dyDescent="0.25">
      <c r="A80" s="24" t="s">
        <v>330</v>
      </c>
      <c r="B80" s="143" t="s">
        <v>88</v>
      </c>
      <c r="C80" s="143" t="s">
        <v>236</v>
      </c>
      <c r="D80" s="144" t="s">
        <v>411</v>
      </c>
      <c r="E80" s="20">
        <f>IFERROR(VLOOKUP(Vertailu[[#This Row],[Y-tunnus]],'3.2 Suoritepäätös 2019'!$A:$S,COLUMN('3.2 Suoritepäätös 2019'!Q:Q),FALSE)-VLOOKUP(Vertailu[[#This Row],[Y-tunnus]],'3.2 Suoritepäätös 2019'!$A:$S,COLUMN('3.2 Suoritepäätös 2019'!L:L),FALSE),0)</f>
        <v>24024781</v>
      </c>
      <c r="F80" s="20">
        <f>IFERROR(VLOOKUP(Vertailu[[#This Row],[Y-tunnus]],'1.2 Ohjaus-laskentataulu'!A:AG,COLUMN('1.2 Ohjaus-laskentataulu'!Z:Z),FALSE),0)</f>
        <v>22765149</v>
      </c>
      <c r="G80" s="20">
        <f>IFERROR(Vertailu[[#This Row],[Simuloitu rahoitus pl. hark. kor. ilman alv, €]]-Vertailu[[#This Row],[2019 rahoitus pl. hark. kor. ilman alv, €]],0)</f>
        <v>-1259632</v>
      </c>
      <c r="H80" s="37">
        <f>IFERROR(Vertailu[[#This Row],[Muutos, € 1]]/Vertailu[[#This Row],[2019 rahoitus pl. hark. kor. ilman alv, €]],0)</f>
        <v>-5.2430529959877681E-2</v>
      </c>
      <c r="I80" s="132">
        <f>IFERROR(VLOOKUP(Vertailu[[#This Row],[Y-tunnus]],'3.2 Suoritepäätös 2019'!$A:$S,COLUMN('3.2 Suoritepäätös 2019'!Q:Q),FALSE),0)</f>
        <v>24024781</v>
      </c>
      <c r="J80" s="134">
        <f>IFERROR(VLOOKUP(Vertailu[[#This Row],[Y-tunnus]],'1.2 Ohjaus-laskentataulu'!A:AG,COLUMN('1.2 Ohjaus-laskentataulu'!AE:AE),FALSE),0)</f>
        <v>22765149</v>
      </c>
      <c r="K80" s="20">
        <f>IFERROR(Vertailu[[#This Row],[Simuloitu rahoitus sis. hark. kor. ilman alv, €]]-Vertailu[[#This Row],[2019 rahoitus sis. hark. kor. ilman alv, €]],0)</f>
        <v>-1259632</v>
      </c>
      <c r="L80" s="18">
        <f>IFERROR(Vertailu[[#This Row],[Muutos, € 2]]/Vertailu[[#This Row],[2019 rahoitus sis. hark. kor. ilman alv, €]],0)</f>
        <v>-5.2430529959877681E-2</v>
      </c>
      <c r="M80" s="134">
        <f>IFERROR(VLOOKUP(Vertailu[[#This Row],[Y-tunnus]],'3.2 Suoritepäätös 2019'!$A:$S,COLUMN('3.2 Suoritepäätös 2019'!Q:Q),FALSE)+VLOOKUP(Vertailu[[#This Row],[Y-tunnus]],'3.2 Suoritepäätös 2019'!$A:$S,COLUMN('3.2 Suoritepäätös 2019'!R:R),FALSE),0)</f>
        <v>24024781</v>
      </c>
      <c r="N80" s="132">
        <f>IFERROR(VLOOKUP(Vertailu[[#This Row],[Y-tunnus]],'1.2 Ohjaus-laskentataulu'!A:AG,COLUMN('1.2 Ohjaus-laskentataulu'!AG:AG),FALSE),0)</f>
        <v>22765149</v>
      </c>
      <c r="O80" s="142">
        <f>IFERROR(Vertailu[[#This Row],[Simuloitu rahoitus sis. hark. kor. + alv, €]]-Vertailu[[#This Row],[2019 rahoitus sis. hark. kor. + alv, €]],0)</f>
        <v>-1259632</v>
      </c>
      <c r="P80" s="37">
        <f>IFERROR(Vertailu[[#This Row],[Muutos, € 3]]/Vertailu[[#This Row],[2019 rahoitus sis. hark. kor. + alv, €]],0)</f>
        <v>-5.2430529959877681E-2</v>
      </c>
    </row>
    <row r="81" spans="1:16" x14ac:dyDescent="0.25">
      <c r="A81" s="24" t="s">
        <v>329</v>
      </c>
      <c r="B81" s="143" t="s">
        <v>89</v>
      </c>
      <c r="C81" s="143" t="s">
        <v>285</v>
      </c>
      <c r="D81" s="144" t="s">
        <v>412</v>
      </c>
      <c r="E81" s="20">
        <f>IFERROR(VLOOKUP(Vertailu[[#This Row],[Y-tunnus]],'3.2 Suoritepäätös 2019'!$A:$S,COLUMN('3.2 Suoritepäätös 2019'!Q:Q),FALSE)-VLOOKUP(Vertailu[[#This Row],[Y-tunnus]],'3.2 Suoritepäätös 2019'!$A:$S,COLUMN('3.2 Suoritepäätös 2019'!L:L),FALSE),0)</f>
        <v>44379042</v>
      </c>
      <c r="F81" s="20">
        <f>IFERROR(VLOOKUP(Vertailu[[#This Row],[Y-tunnus]],'1.2 Ohjaus-laskentataulu'!A:AG,COLUMN('1.2 Ohjaus-laskentataulu'!Z:Z),FALSE),0)</f>
        <v>39723884</v>
      </c>
      <c r="G81" s="20">
        <f>IFERROR(Vertailu[[#This Row],[Simuloitu rahoitus pl. hark. kor. ilman alv, €]]-Vertailu[[#This Row],[2019 rahoitus pl. hark. kor. ilman alv, €]],0)</f>
        <v>-4655158</v>
      </c>
      <c r="H81" s="37">
        <f>IFERROR(Vertailu[[#This Row],[Muutos, € 1]]/Vertailu[[#This Row],[2019 rahoitus pl. hark. kor. ilman alv, €]],0)</f>
        <v>-0.10489541437149545</v>
      </c>
      <c r="I81" s="132">
        <f>IFERROR(VLOOKUP(Vertailu[[#This Row],[Y-tunnus]],'3.2 Suoritepäätös 2019'!$A:$S,COLUMN('3.2 Suoritepäätös 2019'!Q:Q),FALSE),0)</f>
        <v>44439042</v>
      </c>
      <c r="J81" s="134">
        <f>IFERROR(VLOOKUP(Vertailu[[#This Row],[Y-tunnus]],'1.2 Ohjaus-laskentataulu'!A:AG,COLUMN('1.2 Ohjaus-laskentataulu'!AE:AE),FALSE),0)</f>
        <v>39723884</v>
      </c>
      <c r="K81" s="20">
        <f>IFERROR(Vertailu[[#This Row],[Simuloitu rahoitus sis. hark. kor. ilman alv, €]]-Vertailu[[#This Row],[2019 rahoitus sis. hark. kor. ilman alv, €]],0)</f>
        <v>-4715158</v>
      </c>
      <c r="L81" s="18">
        <f>IFERROR(Vertailu[[#This Row],[Muutos, € 2]]/Vertailu[[#This Row],[2019 rahoitus sis. hark. kor. ilman alv, €]],0)</f>
        <v>-0.10610395246594199</v>
      </c>
      <c r="M81" s="134">
        <f>IFERROR(VLOOKUP(Vertailu[[#This Row],[Y-tunnus]],'3.2 Suoritepäätös 2019'!$A:$S,COLUMN('3.2 Suoritepäätös 2019'!Q:Q),FALSE)+VLOOKUP(Vertailu[[#This Row],[Y-tunnus]],'3.2 Suoritepäätös 2019'!$A:$S,COLUMN('3.2 Suoritepäätös 2019'!R:R),FALSE),0)</f>
        <v>46801719</v>
      </c>
      <c r="N81" s="132">
        <f>IFERROR(VLOOKUP(Vertailu[[#This Row],[Y-tunnus]],'1.2 Ohjaus-laskentataulu'!A:AG,COLUMN('1.2 Ohjaus-laskentataulu'!AG:AG),FALSE),0)</f>
        <v>42816346.530000001</v>
      </c>
      <c r="O81" s="142">
        <f>IFERROR(Vertailu[[#This Row],[Simuloitu rahoitus sis. hark. kor. + alv, €]]-Vertailu[[#This Row],[2019 rahoitus sis. hark. kor. + alv, €]],0)</f>
        <v>-3985372.4699999988</v>
      </c>
      <c r="P81" s="37">
        <f>IFERROR(Vertailu[[#This Row],[Muutos, € 3]]/Vertailu[[#This Row],[2019 rahoitus sis. hark. kor. + alv, €]],0)</f>
        <v>-8.5154403623507902E-2</v>
      </c>
    </row>
    <row r="82" spans="1:16" x14ac:dyDescent="0.25">
      <c r="A82" s="24" t="s">
        <v>327</v>
      </c>
      <c r="B82" s="143" t="s">
        <v>90</v>
      </c>
      <c r="C82" s="143" t="s">
        <v>236</v>
      </c>
      <c r="D82" s="144" t="s">
        <v>412</v>
      </c>
      <c r="E82" s="20">
        <f>IFERROR(VLOOKUP(Vertailu[[#This Row],[Y-tunnus]],'3.2 Suoritepäätös 2019'!$A:$S,COLUMN('3.2 Suoritepäätös 2019'!Q:Q),FALSE)-VLOOKUP(Vertailu[[#This Row],[Y-tunnus]],'3.2 Suoritepäätös 2019'!$A:$S,COLUMN('3.2 Suoritepäätös 2019'!L:L),FALSE),0)</f>
        <v>1823529</v>
      </c>
      <c r="F82" s="20">
        <f>IFERROR(VLOOKUP(Vertailu[[#This Row],[Y-tunnus]],'1.2 Ohjaus-laskentataulu'!A:AG,COLUMN('1.2 Ohjaus-laskentataulu'!Z:Z),FALSE),0)</f>
        <v>1804179</v>
      </c>
      <c r="G82" s="20">
        <f>IFERROR(Vertailu[[#This Row],[Simuloitu rahoitus pl. hark. kor. ilman alv, €]]-Vertailu[[#This Row],[2019 rahoitus pl. hark. kor. ilman alv, €]],0)</f>
        <v>-19350</v>
      </c>
      <c r="H82" s="37">
        <f>IFERROR(Vertailu[[#This Row],[Muutos, € 1]]/Vertailu[[#This Row],[2019 rahoitus pl. hark. kor. ilman alv, €]],0)</f>
        <v>-1.0611292718679001E-2</v>
      </c>
      <c r="I82" s="132">
        <f>IFERROR(VLOOKUP(Vertailu[[#This Row],[Y-tunnus]],'3.2 Suoritepäätös 2019'!$A:$S,COLUMN('3.2 Suoritepäätös 2019'!Q:Q),FALSE),0)</f>
        <v>1823529</v>
      </c>
      <c r="J82" s="134">
        <f>IFERROR(VLOOKUP(Vertailu[[#This Row],[Y-tunnus]],'1.2 Ohjaus-laskentataulu'!A:AG,COLUMN('1.2 Ohjaus-laskentataulu'!AE:AE),FALSE),0)</f>
        <v>1804179</v>
      </c>
      <c r="K82" s="20">
        <f>IFERROR(Vertailu[[#This Row],[Simuloitu rahoitus sis. hark. kor. ilman alv, €]]-Vertailu[[#This Row],[2019 rahoitus sis. hark. kor. ilman alv, €]],0)</f>
        <v>-19350</v>
      </c>
      <c r="L82" s="18">
        <f>IFERROR(Vertailu[[#This Row],[Muutos, € 2]]/Vertailu[[#This Row],[2019 rahoitus sis. hark. kor. ilman alv, €]],0)</f>
        <v>-1.0611292718679001E-2</v>
      </c>
      <c r="M82" s="134">
        <f>IFERROR(VLOOKUP(Vertailu[[#This Row],[Y-tunnus]],'3.2 Suoritepäätös 2019'!$A:$S,COLUMN('3.2 Suoritepäätös 2019'!Q:Q),FALSE)+VLOOKUP(Vertailu[[#This Row],[Y-tunnus]],'3.2 Suoritepäätös 2019'!$A:$S,COLUMN('3.2 Suoritepäätös 2019'!R:R),FALSE),0)</f>
        <v>1920780</v>
      </c>
      <c r="N82" s="132">
        <f>IFERROR(VLOOKUP(Vertailu[[#This Row],[Y-tunnus]],'1.2 Ohjaus-laskentataulu'!A:AG,COLUMN('1.2 Ohjaus-laskentataulu'!AG:AG),FALSE),0)</f>
        <v>1884583.46</v>
      </c>
      <c r="O82" s="142">
        <f>IFERROR(Vertailu[[#This Row],[Simuloitu rahoitus sis. hark. kor. + alv, €]]-Vertailu[[#This Row],[2019 rahoitus sis. hark. kor. + alv, €]],0)</f>
        <v>-36196.540000000037</v>
      </c>
      <c r="P82" s="37">
        <f>IFERROR(Vertailu[[#This Row],[Muutos, € 3]]/Vertailu[[#This Row],[2019 rahoitus sis. hark. kor. + alv, €]],0)</f>
        <v>-1.8844708920334467E-2</v>
      </c>
    </row>
    <row r="83" spans="1:16" x14ac:dyDescent="0.25">
      <c r="A83" s="24" t="s">
        <v>323</v>
      </c>
      <c r="B83" s="143" t="s">
        <v>91</v>
      </c>
      <c r="C83" s="143" t="s">
        <v>236</v>
      </c>
      <c r="D83" s="144" t="s">
        <v>412</v>
      </c>
      <c r="E83" s="20">
        <f>IFERROR(VLOOKUP(Vertailu[[#This Row],[Y-tunnus]],'3.2 Suoritepäätös 2019'!$A:$S,COLUMN('3.2 Suoritepäätös 2019'!Q:Q),FALSE)-VLOOKUP(Vertailu[[#This Row],[Y-tunnus]],'3.2 Suoritepäätös 2019'!$A:$S,COLUMN('3.2 Suoritepäätös 2019'!L:L),FALSE),0)</f>
        <v>391913</v>
      </c>
      <c r="F83" s="20">
        <f>IFERROR(VLOOKUP(Vertailu[[#This Row],[Y-tunnus]],'1.2 Ohjaus-laskentataulu'!A:AG,COLUMN('1.2 Ohjaus-laskentataulu'!Z:Z),FALSE),0)</f>
        <v>570615</v>
      </c>
      <c r="G83" s="20">
        <f>IFERROR(Vertailu[[#This Row],[Simuloitu rahoitus pl. hark. kor. ilman alv, €]]-Vertailu[[#This Row],[2019 rahoitus pl. hark. kor. ilman alv, €]],0)</f>
        <v>178702</v>
      </c>
      <c r="H83" s="37">
        <f>IFERROR(Vertailu[[#This Row],[Muutos, € 1]]/Vertailu[[#This Row],[2019 rahoitus pl. hark. kor. ilman alv, €]],0)</f>
        <v>0.4559736472125191</v>
      </c>
      <c r="I83" s="132">
        <f>IFERROR(VLOOKUP(Vertailu[[#This Row],[Y-tunnus]],'3.2 Suoritepäätös 2019'!$A:$S,COLUMN('3.2 Suoritepäätös 2019'!Q:Q),FALSE),0)</f>
        <v>391913</v>
      </c>
      <c r="J83" s="134">
        <f>IFERROR(VLOOKUP(Vertailu[[#This Row],[Y-tunnus]],'1.2 Ohjaus-laskentataulu'!A:AG,COLUMN('1.2 Ohjaus-laskentataulu'!AE:AE),FALSE),0)</f>
        <v>570615</v>
      </c>
      <c r="K83" s="20">
        <f>IFERROR(Vertailu[[#This Row],[Simuloitu rahoitus sis. hark. kor. ilman alv, €]]-Vertailu[[#This Row],[2019 rahoitus sis. hark. kor. ilman alv, €]],0)</f>
        <v>178702</v>
      </c>
      <c r="L83" s="18">
        <f>IFERROR(Vertailu[[#This Row],[Muutos, € 2]]/Vertailu[[#This Row],[2019 rahoitus sis. hark. kor. ilman alv, €]],0)</f>
        <v>0.4559736472125191</v>
      </c>
      <c r="M83" s="134">
        <f>IFERROR(VLOOKUP(Vertailu[[#This Row],[Y-tunnus]],'3.2 Suoritepäätös 2019'!$A:$S,COLUMN('3.2 Suoritepäätös 2019'!Q:Q),FALSE)+VLOOKUP(Vertailu[[#This Row],[Y-tunnus]],'3.2 Suoritepäätös 2019'!$A:$S,COLUMN('3.2 Suoritepäätös 2019'!R:R),FALSE),0)</f>
        <v>412955</v>
      </c>
      <c r="N83" s="132">
        <f>IFERROR(VLOOKUP(Vertailu[[#This Row],[Y-tunnus]],'1.2 Ohjaus-laskentataulu'!A:AG,COLUMN('1.2 Ohjaus-laskentataulu'!AG:AG),FALSE),0)</f>
        <v>744499</v>
      </c>
      <c r="O83" s="142">
        <f>IFERROR(Vertailu[[#This Row],[Simuloitu rahoitus sis. hark. kor. + alv, €]]-Vertailu[[#This Row],[2019 rahoitus sis. hark. kor. + alv, €]],0)</f>
        <v>331544</v>
      </c>
      <c r="P83" s="37">
        <f>IFERROR(Vertailu[[#This Row],[Muutos, € 3]]/Vertailu[[#This Row],[2019 rahoitus sis. hark. kor. + alv, €]],0)</f>
        <v>0.8028574542020317</v>
      </c>
    </row>
    <row r="84" spans="1:16" x14ac:dyDescent="0.25">
      <c r="A84" s="24" t="s">
        <v>326</v>
      </c>
      <c r="B84" s="143" t="s">
        <v>92</v>
      </c>
      <c r="C84" s="143" t="s">
        <v>236</v>
      </c>
      <c r="D84" s="144" t="s">
        <v>412</v>
      </c>
      <c r="E84" s="20">
        <f>IFERROR(VLOOKUP(Vertailu[[#This Row],[Y-tunnus]],'3.2 Suoritepäätös 2019'!$A:$S,COLUMN('3.2 Suoritepäätös 2019'!Q:Q),FALSE)-VLOOKUP(Vertailu[[#This Row],[Y-tunnus]],'3.2 Suoritepäätös 2019'!$A:$S,COLUMN('3.2 Suoritepäätös 2019'!L:L),FALSE),0)</f>
        <v>8818994</v>
      </c>
      <c r="F84" s="20">
        <f>IFERROR(VLOOKUP(Vertailu[[#This Row],[Y-tunnus]],'1.2 Ohjaus-laskentataulu'!A:AG,COLUMN('1.2 Ohjaus-laskentataulu'!Z:Z),FALSE),0)</f>
        <v>9297025</v>
      </c>
      <c r="G84" s="20">
        <f>IFERROR(Vertailu[[#This Row],[Simuloitu rahoitus pl. hark. kor. ilman alv, €]]-Vertailu[[#This Row],[2019 rahoitus pl. hark. kor. ilman alv, €]],0)</f>
        <v>478031</v>
      </c>
      <c r="H84" s="37">
        <f>IFERROR(Vertailu[[#This Row],[Muutos, € 1]]/Vertailu[[#This Row],[2019 rahoitus pl. hark. kor. ilman alv, €]],0)</f>
        <v>5.4204708609621462E-2</v>
      </c>
      <c r="I84" s="132">
        <f>IFERROR(VLOOKUP(Vertailu[[#This Row],[Y-tunnus]],'3.2 Suoritepäätös 2019'!$A:$S,COLUMN('3.2 Suoritepäätös 2019'!Q:Q),FALSE),0)</f>
        <v>9418994</v>
      </c>
      <c r="J84" s="134">
        <f>IFERROR(VLOOKUP(Vertailu[[#This Row],[Y-tunnus]],'1.2 Ohjaus-laskentataulu'!A:AG,COLUMN('1.2 Ohjaus-laskentataulu'!AE:AE),FALSE),0)</f>
        <v>9297025</v>
      </c>
      <c r="K84" s="20">
        <f>IFERROR(Vertailu[[#This Row],[Simuloitu rahoitus sis. hark. kor. ilman alv, €]]-Vertailu[[#This Row],[2019 rahoitus sis. hark. kor. ilman alv, €]],0)</f>
        <v>-121969</v>
      </c>
      <c r="L84" s="18">
        <f>IFERROR(Vertailu[[#This Row],[Muutos, € 2]]/Vertailu[[#This Row],[2019 rahoitus sis. hark. kor. ilman alv, €]],0)</f>
        <v>-1.2949259761711282E-2</v>
      </c>
      <c r="M84" s="134">
        <f>IFERROR(VLOOKUP(Vertailu[[#This Row],[Y-tunnus]],'3.2 Suoritepäätös 2019'!$A:$S,COLUMN('3.2 Suoritepäätös 2019'!Q:Q),FALSE)+VLOOKUP(Vertailu[[#This Row],[Y-tunnus]],'3.2 Suoritepäätös 2019'!$A:$S,COLUMN('3.2 Suoritepäätös 2019'!R:R),FALSE),0)</f>
        <v>9924685</v>
      </c>
      <c r="N84" s="132">
        <f>IFERROR(VLOOKUP(Vertailu[[#This Row],[Y-tunnus]],'1.2 Ohjaus-laskentataulu'!A:AG,COLUMN('1.2 Ohjaus-laskentataulu'!AG:AG),FALSE),0)</f>
        <v>10468057</v>
      </c>
      <c r="O84" s="142">
        <f>IFERROR(Vertailu[[#This Row],[Simuloitu rahoitus sis. hark. kor. + alv, €]]-Vertailu[[#This Row],[2019 rahoitus sis. hark. kor. + alv, €]],0)</f>
        <v>543372</v>
      </c>
      <c r="P84" s="37">
        <f>IFERROR(Vertailu[[#This Row],[Muutos, € 3]]/Vertailu[[#This Row],[2019 rahoitus sis. hark. kor. + alv, €]],0)</f>
        <v>5.4749546207259976E-2</v>
      </c>
    </row>
    <row r="85" spans="1:16" x14ac:dyDescent="0.25">
      <c r="A85" s="24" t="s">
        <v>325</v>
      </c>
      <c r="B85" s="143" t="s">
        <v>93</v>
      </c>
      <c r="C85" s="143" t="s">
        <v>244</v>
      </c>
      <c r="D85" s="144" t="s">
        <v>412</v>
      </c>
      <c r="E85" s="20">
        <f>IFERROR(VLOOKUP(Vertailu[[#This Row],[Y-tunnus]],'3.2 Suoritepäätös 2019'!$A:$S,COLUMN('3.2 Suoritepäätös 2019'!Q:Q),FALSE)-VLOOKUP(Vertailu[[#This Row],[Y-tunnus]],'3.2 Suoritepäätös 2019'!$A:$S,COLUMN('3.2 Suoritepäätös 2019'!L:L),FALSE),0)</f>
        <v>1872442</v>
      </c>
      <c r="F85" s="20">
        <f>IFERROR(VLOOKUP(Vertailu[[#This Row],[Y-tunnus]],'1.2 Ohjaus-laskentataulu'!A:AG,COLUMN('1.2 Ohjaus-laskentataulu'!Z:Z),FALSE),0)</f>
        <v>1518674</v>
      </c>
      <c r="G85" s="20">
        <f>IFERROR(Vertailu[[#This Row],[Simuloitu rahoitus pl. hark. kor. ilman alv, €]]-Vertailu[[#This Row],[2019 rahoitus pl. hark. kor. ilman alv, €]],0)</f>
        <v>-353768</v>
      </c>
      <c r="H85" s="37">
        <f>IFERROR(Vertailu[[#This Row],[Muutos, € 1]]/Vertailu[[#This Row],[2019 rahoitus pl. hark. kor. ilman alv, €]],0)</f>
        <v>-0.1889340230565219</v>
      </c>
      <c r="I85" s="132">
        <f>IFERROR(VLOOKUP(Vertailu[[#This Row],[Y-tunnus]],'3.2 Suoritepäätös 2019'!$A:$S,COLUMN('3.2 Suoritepäätös 2019'!Q:Q),FALSE),0)</f>
        <v>1872442</v>
      </c>
      <c r="J85" s="134">
        <f>IFERROR(VLOOKUP(Vertailu[[#This Row],[Y-tunnus]],'1.2 Ohjaus-laskentataulu'!A:AG,COLUMN('1.2 Ohjaus-laskentataulu'!AE:AE),FALSE),0)</f>
        <v>1518674</v>
      </c>
      <c r="K85" s="20">
        <f>IFERROR(Vertailu[[#This Row],[Simuloitu rahoitus sis. hark. kor. ilman alv, €]]-Vertailu[[#This Row],[2019 rahoitus sis. hark. kor. ilman alv, €]],0)</f>
        <v>-353768</v>
      </c>
      <c r="L85" s="18">
        <f>IFERROR(Vertailu[[#This Row],[Muutos, € 2]]/Vertailu[[#This Row],[2019 rahoitus sis. hark. kor. ilman alv, €]],0)</f>
        <v>-0.1889340230565219</v>
      </c>
      <c r="M85" s="134">
        <f>IFERROR(VLOOKUP(Vertailu[[#This Row],[Y-tunnus]],'3.2 Suoritepäätös 2019'!$A:$S,COLUMN('3.2 Suoritepäätös 2019'!Q:Q),FALSE)+VLOOKUP(Vertailu[[#This Row],[Y-tunnus]],'3.2 Suoritepäätös 2019'!$A:$S,COLUMN('3.2 Suoritepäätös 2019'!R:R),FALSE),0)</f>
        <v>1969647</v>
      </c>
      <c r="N85" s="132">
        <f>IFERROR(VLOOKUP(Vertailu[[#This Row],[Y-tunnus]],'1.2 Ohjaus-laskentataulu'!A:AG,COLUMN('1.2 Ohjaus-laskentataulu'!AG:AG),FALSE),0)</f>
        <v>1621486.53</v>
      </c>
      <c r="O85" s="142">
        <f>IFERROR(Vertailu[[#This Row],[Simuloitu rahoitus sis. hark. kor. + alv, €]]-Vertailu[[#This Row],[2019 rahoitus sis. hark. kor. + alv, €]],0)</f>
        <v>-348160.47</v>
      </c>
      <c r="P85" s="37">
        <f>IFERROR(Vertailu[[#This Row],[Muutos, € 3]]/Vertailu[[#This Row],[2019 rahoitus sis. hark. kor. + alv, €]],0)</f>
        <v>-0.17676287679975142</v>
      </c>
    </row>
    <row r="86" spans="1:16" x14ac:dyDescent="0.25">
      <c r="A86" s="24" t="s">
        <v>324</v>
      </c>
      <c r="B86" s="143" t="s">
        <v>173</v>
      </c>
      <c r="C86" s="143" t="s">
        <v>252</v>
      </c>
      <c r="D86" s="144" t="s">
        <v>412</v>
      </c>
      <c r="E86" s="20">
        <f>IFERROR(VLOOKUP(Vertailu[[#This Row],[Y-tunnus]],'3.2 Suoritepäätös 2019'!$A:$S,COLUMN('3.2 Suoritepäätös 2019'!Q:Q),FALSE)-VLOOKUP(Vertailu[[#This Row],[Y-tunnus]],'3.2 Suoritepäätös 2019'!$A:$S,COLUMN('3.2 Suoritepäätös 2019'!L:L),FALSE),0)</f>
        <v>65404</v>
      </c>
      <c r="F86" s="20">
        <f>IFERROR(VLOOKUP(Vertailu[[#This Row],[Y-tunnus]],'1.2 Ohjaus-laskentataulu'!A:AG,COLUMN('1.2 Ohjaus-laskentataulu'!Z:Z),FALSE),0)</f>
        <v>0</v>
      </c>
      <c r="G86" s="20">
        <f>IFERROR(Vertailu[[#This Row],[Simuloitu rahoitus pl. hark. kor. ilman alv, €]]-Vertailu[[#This Row],[2019 rahoitus pl. hark. kor. ilman alv, €]],0)</f>
        <v>-65404</v>
      </c>
      <c r="H86" s="37">
        <f>IFERROR(Vertailu[[#This Row],[Muutos, € 1]]/Vertailu[[#This Row],[2019 rahoitus pl. hark. kor. ilman alv, €]],0)</f>
        <v>-1</v>
      </c>
      <c r="I86" s="132">
        <f>IFERROR(VLOOKUP(Vertailu[[#This Row],[Y-tunnus]],'3.2 Suoritepäätös 2019'!$A:$S,COLUMN('3.2 Suoritepäätös 2019'!Q:Q),FALSE),0)</f>
        <v>65404</v>
      </c>
      <c r="J86" s="134">
        <f>IFERROR(VLOOKUP(Vertailu[[#This Row],[Y-tunnus]],'1.2 Ohjaus-laskentataulu'!A:AG,COLUMN('1.2 Ohjaus-laskentataulu'!AE:AE),FALSE),0)</f>
        <v>0</v>
      </c>
      <c r="K86" s="20">
        <f>IFERROR(Vertailu[[#This Row],[Simuloitu rahoitus sis. hark. kor. ilman alv, €]]-Vertailu[[#This Row],[2019 rahoitus sis. hark. kor. ilman alv, €]],0)</f>
        <v>-65404</v>
      </c>
      <c r="L86" s="18">
        <f>IFERROR(Vertailu[[#This Row],[Muutos, € 2]]/Vertailu[[#This Row],[2019 rahoitus sis. hark. kor. ilman alv, €]],0)</f>
        <v>-1</v>
      </c>
      <c r="M86" s="134">
        <f>IFERROR(VLOOKUP(Vertailu[[#This Row],[Y-tunnus]],'3.2 Suoritepäätös 2019'!$A:$S,COLUMN('3.2 Suoritepäätös 2019'!Q:Q),FALSE)+VLOOKUP(Vertailu[[#This Row],[Y-tunnus]],'3.2 Suoritepäätös 2019'!$A:$S,COLUMN('3.2 Suoritepäätös 2019'!R:R),FALSE),0)</f>
        <v>69063</v>
      </c>
      <c r="N86" s="132">
        <f>IFERROR(VLOOKUP(Vertailu[[#This Row],[Y-tunnus]],'1.2 Ohjaus-laskentataulu'!A:AG,COLUMN('1.2 Ohjaus-laskentataulu'!AG:AG),FALSE),0)</f>
        <v>0</v>
      </c>
      <c r="O86" s="142">
        <f>IFERROR(Vertailu[[#This Row],[Simuloitu rahoitus sis. hark. kor. + alv, €]]-Vertailu[[#This Row],[2019 rahoitus sis. hark. kor. + alv, €]],0)</f>
        <v>-69063</v>
      </c>
      <c r="P86" s="37">
        <f>IFERROR(Vertailu[[#This Row],[Muutos, € 3]]/Vertailu[[#This Row],[2019 rahoitus sis. hark. kor. + alv, €]],0)</f>
        <v>-1</v>
      </c>
    </row>
    <row r="87" spans="1:16" x14ac:dyDescent="0.25">
      <c r="A87" s="24" t="s">
        <v>322</v>
      </c>
      <c r="B87" s="143" t="s">
        <v>182</v>
      </c>
      <c r="C87" s="143" t="s">
        <v>247</v>
      </c>
      <c r="D87" s="144" t="s">
        <v>412</v>
      </c>
      <c r="E87" s="20">
        <f>IFERROR(VLOOKUP(Vertailu[[#This Row],[Y-tunnus]],'3.2 Suoritepäätös 2019'!$A:$S,COLUMN('3.2 Suoritepäätös 2019'!Q:Q),FALSE)-VLOOKUP(Vertailu[[#This Row],[Y-tunnus]],'3.2 Suoritepäätös 2019'!$A:$S,COLUMN('3.2 Suoritepäätös 2019'!L:L),FALSE),0)</f>
        <v>0</v>
      </c>
      <c r="F87" s="20">
        <f>IFERROR(VLOOKUP(Vertailu[[#This Row],[Y-tunnus]],'1.2 Ohjaus-laskentataulu'!A:AG,COLUMN('1.2 Ohjaus-laskentataulu'!Z:Z),FALSE),0)</f>
        <v>0</v>
      </c>
      <c r="G87" s="20">
        <f>IFERROR(Vertailu[[#This Row],[Simuloitu rahoitus pl. hark. kor. ilman alv, €]]-Vertailu[[#This Row],[2019 rahoitus pl. hark. kor. ilman alv, €]],0)</f>
        <v>0</v>
      </c>
      <c r="H87" s="37">
        <f>IFERROR(Vertailu[[#This Row],[Muutos, € 1]]/Vertailu[[#This Row],[2019 rahoitus pl. hark. kor. ilman alv, €]],0)</f>
        <v>0</v>
      </c>
      <c r="I87" s="132">
        <f>IFERROR(VLOOKUP(Vertailu[[#This Row],[Y-tunnus]],'3.2 Suoritepäätös 2019'!$A:$S,COLUMN('3.2 Suoritepäätös 2019'!Q:Q),FALSE),0)</f>
        <v>0</v>
      </c>
      <c r="J87" s="134">
        <f>IFERROR(VLOOKUP(Vertailu[[#This Row],[Y-tunnus]],'1.2 Ohjaus-laskentataulu'!A:AG,COLUMN('1.2 Ohjaus-laskentataulu'!AE:AE),FALSE),0)</f>
        <v>0</v>
      </c>
      <c r="K87" s="20">
        <f>IFERROR(Vertailu[[#This Row],[Simuloitu rahoitus sis. hark. kor. ilman alv, €]]-Vertailu[[#This Row],[2019 rahoitus sis. hark. kor. ilman alv, €]],0)</f>
        <v>0</v>
      </c>
      <c r="L87" s="18">
        <f>IFERROR(Vertailu[[#This Row],[Muutos, € 2]]/Vertailu[[#This Row],[2019 rahoitus sis. hark. kor. ilman alv, €]],0)</f>
        <v>0</v>
      </c>
      <c r="M87" s="134">
        <f>IFERROR(VLOOKUP(Vertailu[[#This Row],[Y-tunnus]],'3.2 Suoritepäätös 2019'!$A:$S,COLUMN('3.2 Suoritepäätös 2019'!Q:Q),FALSE)+VLOOKUP(Vertailu[[#This Row],[Y-tunnus]],'3.2 Suoritepäätös 2019'!$A:$S,COLUMN('3.2 Suoritepäätös 2019'!R:R),FALSE),0)</f>
        <v>0</v>
      </c>
      <c r="N87" s="132">
        <f>IFERROR(VLOOKUP(Vertailu[[#This Row],[Y-tunnus]],'1.2 Ohjaus-laskentataulu'!A:AG,COLUMN('1.2 Ohjaus-laskentataulu'!AG:AG),FALSE),0)</f>
        <v>0</v>
      </c>
      <c r="O87" s="142">
        <f>IFERROR(Vertailu[[#This Row],[Simuloitu rahoitus sis. hark. kor. + alv, €]]-Vertailu[[#This Row],[2019 rahoitus sis. hark. kor. + alv, €]],0)</f>
        <v>0</v>
      </c>
      <c r="P87" s="37">
        <f>IFERROR(Vertailu[[#This Row],[Muutos, € 3]]/Vertailu[[#This Row],[2019 rahoitus sis. hark. kor. + alv, €]],0)</f>
        <v>0</v>
      </c>
    </row>
    <row r="88" spans="1:16" x14ac:dyDescent="0.25">
      <c r="A88" s="24" t="s">
        <v>321</v>
      </c>
      <c r="B88" s="143" t="s">
        <v>192</v>
      </c>
      <c r="C88" s="143" t="s">
        <v>236</v>
      </c>
      <c r="D88" s="144" t="s">
        <v>412</v>
      </c>
      <c r="E88" s="20">
        <f>IFERROR(VLOOKUP(Vertailu[[#This Row],[Y-tunnus]],'3.2 Suoritepäätös 2019'!$A:$S,COLUMN('3.2 Suoritepäätös 2019'!Q:Q),FALSE)-VLOOKUP(Vertailu[[#This Row],[Y-tunnus]],'3.2 Suoritepäätös 2019'!$A:$S,COLUMN('3.2 Suoritepäätös 2019'!L:L),FALSE),0)</f>
        <v>293499</v>
      </c>
      <c r="F88" s="20">
        <f>IFERROR(VLOOKUP(Vertailu[[#This Row],[Y-tunnus]],'1.2 Ohjaus-laskentataulu'!A:AG,COLUMN('1.2 Ohjaus-laskentataulu'!Z:Z),FALSE),0)</f>
        <v>0</v>
      </c>
      <c r="G88" s="20">
        <f>IFERROR(Vertailu[[#This Row],[Simuloitu rahoitus pl. hark. kor. ilman alv, €]]-Vertailu[[#This Row],[2019 rahoitus pl. hark. kor. ilman alv, €]],0)</f>
        <v>-293499</v>
      </c>
      <c r="H88" s="37">
        <f>IFERROR(Vertailu[[#This Row],[Muutos, € 1]]/Vertailu[[#This Row],[2019 rahoitus pl. hark. kor. ilman alv, €]],0)</f>
        <v>-1</v>
      </c>
      <c r="I88" s="132">
        <f>IFERROR(VLOOKUP(Vertailu[[#This Row],[Y-tunnus]],'3.2 Suoritepäätös 2019'!$A:$S,COLUMN('3.2 Suoritepäätös 2019'!Q:Q),FALSE),0)</f>
        <v>293499</v>
      </c>
      <c r="J88" s="134">
        <f>IFERROR(VLOOKUP(Vertailu[[#This Row],[Y-tunnus]],'1.2 Ohjaus-laskentataulu'!A:AG,COLUMN('1.2 Ohjaus-laskentataulu'!AE:AE),FALSE),0)</f>
        <v>0</v>
      </c>
      <c r="K88" s="20">
        <f>IFERROR(Vertailu[[#This Row],[Simuloitu rahoitus sis. hark. kor. ilman alv, €]]-Vertailu[[#This Row],[2019 rahoitus sis. hark. kor. ilman alv, €]],0)</f>
        <v>-293499</v>
      </c>
      <c r="L88" s="18">
        <f>IFERROR(Vertailu[[#This Row],[Muutos, € 2]]/Vertailu[[#This Row],[2019 rahoitus sis. hark. kor. ilman alv, €]],0)</f>
        <v>-1</v>
      </c>
      <c r="M88" s="134">
        <f>IFERROR(VLOOKUP(Vertailu[[#This Row],[Y-tunnus]],'3.2 Suoritepäätös 2019'!$A:$S,COLUMN('3.2 Suoritepäätös 2019'!Q:Q),FALSE)+VLOOKUP(Vertailu[[#This Row],[Y-tunnus]],'3.2 Suoritepäätös 2019'!$A:$S,COLUMN('3.2 Suoritepäätös 2019'!R:R),FALSE),0)</f>
        <v>309921</v>
      </c>
      <c r="N88" s="132">
        <f>IFERROR(VLOOKUP(Vertailu[[#This Row],[Y-tunnus]],'1.2 Ohjaus-laskentataulu'!A:AG,COLUMN('1.2 Ohjaus-laskentataulu'!AG:AG),FALSE),0)</f>
        <v>0</v>
      </c>
      <c r="O88" s="142">
        <f>IFERROR(Vertailu[[#This Row],[Simuloitu rahoitus sis. hark. kor. + alv, €]]-Vertailu[[#This Row],[2019 rahoitus sis. hark. kor. + alv, €]],0)</f>
        <v>-309921</v>
      </c>
      <c r="P88" s="37">
        <f>IFERROR(Vertailu[[#This Row],[Muutos, € 3]]/Vertailu[[#This Row],[2019 rahoitus sis. hark. kor. + alv, €]],0)</f>
        <v>-1</v>
      </c>
    </row>
    <row r="89" spans="1:16" x14ac:dyDescent="0.25">
      <c r="A89" s="24" t="s">
        <v>320</v>
      </c>
      <c r="B89" s="143" t="s">
        <v>212</v>
      </c>
      <c r="C89" s="143" t="s">
        <v>236</v>
      </c>
      <c r="D89" s="144" t="s">
        <v>412</v>
      </c>
      <c r="E89" s="20">
        <f>IFERROR(VLOOKUP(Vertailu[[#This Row],[Y-tunnus]],'3.2 Suoritepäätös 2019'!$A:$S,COLUMN('3.2 Suoritepäätös 2019'!Q:Q),FALSE)-VLOOKUP(Vertailu[[#This Row],[Y-tunnus]],'3.2 Suoritepäätös 2019'!$A:$S,COLUMN('3.2 Suoritepäätös 2019'!L:L),FALSE),0)</f>
        <v>142253</v>
      </c>
      <c r="F89" s="20">
        <f>IFERROR(VLOOKUP(Vertailu[[#This Row],[Y-tunnus]],'1.2 Ohjaus-laskentataulu'!A:AG,COLUMN('1.2 Ohjaus-laskentataulu'!Z:Z),FALSE),0)</f>
        <v>0</v>
      </c>
      <c r="G89" s="20">
        <f>IFERROR(Vertailu[[#This Row],[Simuloitu rahoitus pl. hark. kor. ilman alv, €]]-Vertailu[[#This Row],[2019 rahoitus pl. hark. kor. ilman alv, €]],0)</f>
        <v>-142253</v>
      </c>
      <c r="H89" s="37">
        <f>IFERROR(Vertailu[[#This Row],[Muutos, € 1]]/Vertailu[[#This Row],[2019 rahoitus pl. hark. kor. ilman alv, €]],0)</f>
        <v>-1</v>
      </c>
      <c r="I89" s="132">
        <f>IFERROR(VLOOKUP(Vertailu[[#This Row],[Y-tunnus]],'3.2 Suoritepäätös 2019'!$A:$S,COLUMN('3.2 Suoritepäätös 2019'!Q:Q),FALSE),0)</f>
        <v>142253</v>
      </c>
      <c r="J89" s="134">
        <f>IFERROR(VLOOKUP(Vertailu[[#This Row],[Y-tunnus]],'1.2 Ohjaus-laskentataulu'!A:AG,COLUMN('1.2 Ohjaus-laskentataulu'!AE:AE),FALSE),0)</f>
        <v>0</v>
      </c>
      <c r="K89" s="20">
        <f>IFERROR(Vertailu[[#This Row],[Simuloitu rahoitus sis. hark. kor. ilman alv, €]]-Vertailu[[#This Row],[2019 rahoitus sis. hark. kor. ilman alv, €]],0)</f>
        <v>-142253</v>
      </c>
      <c r="L89" s="18">
        <f>IFERROR(Vertailu[[#This Row],[Muutos, € 2]]/Vertailu[[#This Row],[2019 rahoitus sis. hark. kor. ilman alv, €]],0)</f>
        <v>-1</v>
      </c>
      <c r="M89" s="134">
        <f>IFERROR(VLOOKUP(Vertailu[[#This Row],[Y-tunnus]],'3.2 Suoritepäätös 2019'!$A:$S,COLUMN('3.2 Suoritepäätös 2019'!Q:Q),FALSE)+VLOOKUP(Vertailu[[#This Row],[Y-tunnus]],'3.2 Suoritepäätös 2019'!$A:$S,COLUMN('3.2 Suoritepäätös 2019'!R:R),FALSE),0)</f>
        <v>150212</v>
      </c>
      <c r="N89" s="132">
        <f>IFERROR(VLOOKUP(Vertailu[[#This Row],[Y-tunnus]],'1.2 Ohjaus-laskentataulu'!A:AG,COLUMN('1.2 Ohjaus-laskentataulu'!AG:AG),FALSE),0)</f>
        <v>15918</v>
      </c>
      <c r="O89" s="142">
        <f>IFERROR(Vertailu[[#This Row],[Simuloitu rahoitus sis. hark. kor. + alv, €]]-Vertailu[[#This Row],[2019 rahoitus sis. hark. kor. + alv, €]],0)</f>
        <v>-134294</v>
      </c>
      <c r="P89" s="37">
        <f>IFERROR(Vertailu[[#This Row],[Muutos, € 3]]/Vertailu[[#This Row],[2019 rahoitus sis. hark. kor. + alv, €]],0)</f>
        <v>-0.89402977125662397</v>
      </c>
    </row>
    <row r="90" spans="1:16" x14ac:dyDescent="0.25">
      <c r="A90" s="24" t="s">
        <v>319</v>
      </c>
      <c r="B90" s="143" t="s">
        <v>94</v>
      </c>
      <c r="C90" s="143" t="s">
        <v>242</v>
      </c>
      <c r="D90" s="144" t="s">
        <v>411</v>
      </c>
      <c r="E90" s="20">
        <f>IFERROR(VLOOKUP(Vertailu[[#This Row],[Y-tunnus]],'3.2 Suoritepäätös 2019'!$A:$S,COLUMN('3.2 Suoritepäätös 2019'!Q:Q),FALSE)-VLOOKUP(Vertailu[[#This Row],[Y-tunnus]],'3.2 Suoritepäätös 2019'!$A:$S,COLUMN('3.2 Suoritepäätös 2019'!L:L),FALSE),0)</f>
        <v>14270917</v>
      </c>
      <c r="F90" s="20">
        <f>IFERROR(VLOOKUP(Vertailu[[#This Row],[Y-tunnus]],'1.2 Ohjaus-laskentataulu'!A:AG,COLUMN('1.2 Ohjaus-laskentataulu'!Z:Z),FALSE),0)</f>
        <v>14415539</v>
      </c>
      <c r="G90" s="20">
        <f>IFERROR(Vertailu[[#This Row],[Simuloitu rahoitus pl. hark. kor. ilman alv, €]]-Vertailu[[#This Row],[2019 rahoitus pl. hark. kor. ilman alv, €]],0)</f>
        <v>144622</v>
      </c>
      <c r="H90" s="37">
        <f>IFERROR(Vertailu[[#This Row],[Muutos, € 1]]/Vertailu[[#This Row],[2019 rahoitus pl. hark. kor. ilman alv, €]],0)</f>
        <v>1.0134036936799507E-2</v>
      </c>
      <c r="I90" s="132">
        <f>IFERROR(VLOOKUP(Vertailu[[#This Row],[Y-tunnus]],'3.2 Suoritepäätös 2019'!$A:$S,COLUMN('3.2 Suoritepäätös 2019'!Q:Q),FALSE),0)</f>
        <v>14270917</v>
      </c>
      <c r="J90" s="134">
        <f>IFERROR(VLOOKUP(Vertailu[[#This Row],[Y-tunnus]],'1.2 Ohjaus-laskentataulu'!A:AG,COLUMN('1.2 Ohjaus-laskentataulu'!AE:AE),FALSE),0)</f>
        <v>14415539</v>
      </c>
      <c r="K90" s="20">
        <f>IFERROR(Vertailu[[#This Row],[Simuloitu rahoitus sis. hark. kor. ilman alv, €]]-Vertailu[[#This Row],[2019 rahoitus sis. hark. kor. ilman alv, €]],0)</f>
        <v>144622</v>
      </c>
      <c r="L90" s="18">
        <f>IFERROR(Vertailu[[#This Row],[Muutos, € 2]]/Vertailu[[#This Row],[2019 rahoitus sis. hark. kor. ilman alv, €]],0)</f>
        <v>1.0134036936799507E-2</v>
      </c>
      <c r="M90" s="134">
        <f>IFERROR(VLOOKUP(Vertailu[[#This Row],[Y-tunnus]],'3.2 Suoritepäätös 2019'!$A:$S,COLUMN('3.2 Suoritepäätös 2019'!Q:Q),FALSE)+VLOOKUP(Vertailu[[#This Row],[Y-tunnus]],'3.2 Suoritepäätös 2019'!$A:$S,COLUMN('3.2 Suoritepäätös 2019'!R:R),FALSE),0)</f>
        <v>14270917</v>
      </c>
      <c r="N90" s="132">
        <f>IFERROR(VLOOKUP(Vertailu[[#This Row],[Y-tunnus]],'1.2 Ohjaus-laskentataulu'!A:AG,COLUMN('1.2 Ohjaus-laskentataulu'!AG:AG),FALSE),0)</f>
        <v>14415539</v>
      </c>
      <c r="O90" s="142">
        <f>IFERROR(Vertailu[[#This Row],[Simuloitu rahoitus sis. hark. kor. + alv, €]]-Vertailu[[#This Row],[2019 rahoitus sis. hark. kor. + alv, €]],0)</f>
        <v>144622</v>
      </c>
      <c r="P90" s="37">
        <f>IFERROR(Vertailu[[#This Row],[Muutos, € 3]]/Vertailu[[#This Row],[2019 rahoitus sis. hark. kor. + alv, €]],0)</f>
        <v>1.0134036936799507E-2</v>
      </c>
    </row>
    <row r="91" spans="1:16" x14ac:dyDescent="0.25">
      <c r="A91" s="24" t="s">
        <v>318</v>
      </c>
      <c r="B91" s="143" t="s">
        <v>95</v>
      </c>
      <c r="C91" s="143" t="s">
        <v>244</v>
      </c>
      <c r="D91" s="144" t="s">
        <v>413</v>
      </c>
      <c r="E91" s="20">
        <f>IFERROR(VLOOKUP(Vertailu[[#This Row],[Y-tunnus]],'3.2 Suoritepäätös 2019'!$A:$S,COLUMN('3.2 Suoritepäätös 2019'!Q:Q),FALSE)-VLOOKUP(Vertailu[[#This Row],[Y-tunnus]],'3.2 Suoritepäätös 2019'!$A:$S,COLUMN('3.2 Suoritepäätös 2019'!L:L),FALSE),0)</f>
        <v>533683</v>
      </c>
      <c r="F91" s="20">
        <f>IFERROR(VLOOKUP(Vertailu[[#This Row],[Y-tunnus]],'1.2 Ohjaus-laskentataulu'!A:AG,COLUMN('1.2 Ohjaus-laskentataulu'!Z:Z),FALSE),0)</f>
        <v>611121</v>
      </c>
      <c r="G91" s="20">
        <f>IFERROR(Vertailu[[#This Row],[Simuloitu rahoitus pl. hark. kor. ilman alv, €]]-Vertailu[[#This Row],[2019 rahoitus pl. hark. kor. ilman alv, €]],0)</f>
        <v>77438</v>
      </c>
      <c r="H91" s="37">
        <f>IFERROR(Vertailu[[#This Row],[Muutos, € 1]]/Vertailu[[#This Row],[2019 rahoitus pl. hark. kor. ilman alv, €]],0)</f>
        <v>0.14510111807945916</v>
      </c>
      <c r="I91" s="132">
        <f>IFERROR(VLOOKUP(Vertailu[[#This Row],[Y-tunnus]],'3.2 Suoritepäätös 2019'!$A:$S,COLUMN('3.2 Suoritepäätös 2019'!Q:Q),FALSE),0)</f>
        <v>533683</v>
      </c>
      <c r="J91" s="134">
        <f>IFERROR(VLOOKUP(Vertailu[[#This Row],[Y-tunnus]],'1.2 Ohjaus-laskentataulu'!A:AG,COLUMN('1.2 Ohjaus-laskentataulu'!AE:AE),FALSE),0)</f>
        <v>611121</v>
      </c>
      <c r="K91" s="20">
        <f>IFERROR(Vertailu[[#This Row],[Simuloitu rahoitus sis. hark. kor. ilman alv, €]]-Vertailu[[#This Row],[2019 rahoitus sis. hark. kor. ilman alv, €]],0)</f>
        <v>77438</v>
      </c>
      <c r="L91" s="18">
        <f>IFERROR(Vertailu[[#This Row],[Muutos, € 2]]/Vertailu[[#This Row],[2019 rahoitus sis. hark. kor. ilman alv, €]],0)</f>
        <v>0.14510111807945916</v>
      </c>
      <c r="M91" s="134">
        <f>IFERROR(VLOOKUP(Vertailu[[#This Row],[Y-tunnus]],'3.2 Suoritepäätös 2019'!$A:$S,COLUMN('3.2 Suoritepäätös 2019'!Q:Q),FALSE)+VLOOKUP(Vertailu[[#This Row],[Y-tunnus]],'3.2 Suoritepäätös 2019'!$A:$S,COLUMN('3.2 Suoritepäätös 2019'!R:R),FALSE),0)</f>
        <v>533683</v>
      </c>
      <c r="N91" s="132">
        <f>IFERROR(VLOOKUP(Vertailu[[#This Row],[Y-tunnus]],'1.2 Ohjaus-laskentataulu'!A:AG,COLUMN('1.2 Ohjaus-laskentataulu'!AG:AG),FALSE),0)</f>
        <v>611121</v>
      </c>
      <c r="O91" s="142">
        <f>IFERROR(Vertailu[[#This Row],[Simuloitu rahoitus sis. hark. kor. + alv, €]]-Vertailu[[#This Row],[2019 rahoitus sis. hark. kor. + alv, €]],0)</f>
        <v>77438</v>
      </c>
      <c r="P91" s="37">
        <f>IFERROR(Vertailu[[#This Row],[Muutos, € 3]]/Vertailu[[#This Row],[2019 rahoitus sis. hark. kor. + alv, €]],0)</f>
        <v>0.14510111807945916</v>
      </c>
    </row>
    <row r="92" spans="1:16" x14ac:dyDescent="0.25">
      <c r="A92" s="24" t="s">
        <v>317</v>
      </c>
      <c r="B92" s="143" t="s">
        <v>96</v>
      </c>
      <c r="C92" s="143" t="s">
        <v>244</v>
      </c>
      <c r="D92" s="144" t="s">
        <v>411</v>
      </c>
      <c r="E92" s="20">
        <f>IFERROR(VLOOKUP(Vertailu[[#This Row],[Y-tunnus]],'3.2 Suoritepäätös 2019'!$A:$S,COLUMN('3.2 Suoritepäätös 2019'!Q:Q),FALSE)-VLOOKUP(Vertailu[[#This Row],[Y-tunnus]],'3.2 Suoritepäätös 2019'!$A:$S,COLUMN('3.2 Suoritepäätös 2019'!L:L),FALSE),0)</f>
        <v>70272791</v>
      </c>
      <c r="F92" s="20">
        <f>IFERROR(VLOOKUP(Vertailu[[#This Row],[Y-tunnus]],'1.2 Ohjaus-laskentataulu'!A:AG,COLUMN('1.2 Ohjaus-laskentataulu'!Z:Z),FALSE),0)</f>
        <v>67267847</v>
      </c>
      <c r="G92" s="20">
        <f>IFERROR(Vertailu[[#This Row],[Simuloitu rahoitus pl. hark. kor. ilman alv, €]]-Vertailu[[#This Row],[2019 rahoitus pl. hark. kor. ilman alv, €]],0)</f>
        <v>-3004944</v>
      </c>
      <c r="H92" s="37">
        <f>IFERROR(Vertailu[[#This Row],[Muutos, € 1]]/Vertailu[[#This Row],[2019 rahoitus pl. hark. kor. ilman alv, €]],0)</f>
        <v>-4.276113069139377E-2</v>
      </c>
      <c r="I92" s="132">
        <f>IFERROR(VLOOKUP(Vertailu[[#This Row],[Y-tunnus]],'3.2 Suoritepäätös 2019'!$A:$S,COLUMN('3.2 Suoritepäätös 2019'!Q:Q),FALSE),0)</f>
        <v>70272791</v>
      </c>
      <c r="J92" s="134">
        <f>IFERROR(VLOOKUP(Vertailu[[#This Row],[Y-tunnus]],'1.2 Ohjaus-laskentataulu'!A:AG,COLUMN('1.2 Ohjaus-laskentataulu'!AE:AE),FALSE),0)</f>
        <v>67267847</v>
      </c>
      <c r="K92" s="20">
        <f>IFERROR(Vertailu[[#This Row],[Simuloitu rahoitus sis. hark. kor. ilman alv, €]]-Vertailu[[#This Row],[2019 rahoitus sis. hark. kor. ilman alv, €]],0)</f>
        <v>-3004944</v>
      </c>
      <c r="L92" s="18">
        <f>IFERROR(Vertailu[[#This Row],[Muutos, € 2]]/Vertailu[[#This Row],[2019 rahoitus sis. hark. kor. ilman alv, €]],0)</f>
        <v>-4.276113069139377E-2</v>
      </c>
      <c r="M92" s="134">
        <f>IFERROR(VLOOKUP(Vertailu[[#This Row],[Y-tunnus]],'3.2 Suoritepäätös 2019'!$A:$S,COLUMN('3.2 Suoritepäätös 2019'!Q:Q),FALSE)+VLOOKUP(Vertailu[[#This Row],[Y-tunnus]],'3.2 Suoritepäätös 2019'!$A:$S,COLUMN('3.2 Suoritepäätös 2019'!R:R),FALSE),0)</f>
        <v>70272791</v>
      </c>
      <c r="N92" s="132">
        <f>IFERROR(VLOOKUP(Vertailu[[#This Row],[Y-tunnus]],'1.2 Ohjaus-laskentataulu'!A:AG,COLUMN('1.2 Ohjaus-laskentataulu'!AG:AG),FALSE),0)</f>
        <v>67267847</v>
      </c>
      <c r="O92" s="142">
        <f>IFERROR(Vertailu[[#This Row],[Simuloitu rahoitus sis. hark. kor. + alv, €]]-Vertailu[[#This Row],[2019 rahoitus sis. hark. kor. + alv, €]],0)</f>
        <v>-3004944</v>
      </c>
      <c r="P92" s="37">
        <f>IFERROR(Vertailu[[#This Row],[Muutos, € 3]]/Vertailu[[#This Row],[2019 rahoitus sis. hark. kor. + alv, €]],0)</f>
        <v>-4.276113069139377E-2</v>
      </c>
    </row>
    <row r="93" spans="1:16" x14ac:dyDescent="0.25">
      <c r="A93" s="24" t="s">
        <v>314</v>
      </c>
      <c r="B93" s="143" t="s">
        <v>97</v>
      </c>
      <c r="C93" s="143" t="s">
        <v>236</v>
      </c>
      <c r="D93" s="144" t="s">
        <v>412</v>
      </c>
      <c r="E93" s="20">
        <f>IFERROR(VLOOKUP(Vertailu[[#This Row],[Y-tunnus]],'3.2 Suoritepäätös 2019'!$A:$S,COLUMN('3.2 Suoritepäätös 2019'!Q:Q),FALSE)-VLOOKUP(Vertailu[[#This Row],[Y-tunnus]],'3.2 Suoritepäätös 2019'!$A:$S,COLUMN('3.2 Suoritepäätös 2019'!L:L),FALSE),0)</f>
        <v>459799</v>
      </c>
      <c r="F93" s="20">
        <f>IFERROR(VLOOKUP(Vertailu[[#This Row],[Y-tunnus]],'1.2 Ohjaus-laskentataulu'!A:AG,COLUMN('1.2 Ohjaus-laskentataulu'!Z:Z),FALSE),0)</f>
        <v>531542</v>
      </c>
      <c r="G93" s="20">
        <f>IFERROR(Vertailu[[#This Row],[Simuloitu rahoitus pl. hark. kor. ilman alv, €]]-Vertailu[[#This Row],[2019 rahoitus pl. hark. kor. ilman alv, €]],0)</f>
        <v>71743</v>
      </c>
      <c r="H93" s="37">
        <f>IFERROR(Vertailu[[#This Row],[Muutos, € 1]]/Vertailu[[#This Row],[2019 rahoitus pl. hark. kor. ilman alv, €]],0)</f>
        <v>0.15603122233845659</v>
      </c>
      <c r="I93" s="132">
        <f>IFERROR(VLOOKUP(Vertailu[[#This Row],[Y-tunnus]],'3.2 Suoritepäätös 2019'!$A:$S,COLUMN('3.2 Suoritepäätös 2019'!Q:Q),FALSE),0)</f>
        <v>459799</v>
      </c>
      <c r="J93" s="134">
        <f>IFERROR(VLOOKUP(Vertailu[[#This Row],[Y-tunnus]],'1.2 Ohjaus-laskentataulu'!A:AG,COLUMN('1.2 Ohjaus-laskentataulu'!AE:AE),FALSE),0)</f>
        <v>531542</v>
      </c>
      <c r="K93" s="20">
        <f>IFERROR(Vertailu[[#This Row],[Simuloitu rahoitus sis. hark. kor. ilman alv, €]]-Vertailu[[#This Row],[2019 rahoitus sis. hark. kor. ilman alv, €]],0)</f>
        <v>71743</v>
      </c>
      <c r="L93" s="18">
        <f>IFERROR(Vertailu[[#This Row],[Muutos, € 2]]/Vertailu[[#This Row],[2019 rahoitus sis. hark. kor. ilman alv, €]],0)</f>
        <v>0.15603122233845659</v>
      </c>
      <c r="M93" s="134">
        <f>IFERROR(VLOOKUP(Vertailu[[#This Row],[Y-tunnus]],'3.2 Suoritepäätös 2019'!$A:$S,COLUMN('3.2 Suoritepäätös 2019'!Q:Q),FALSE)+VLOOKUP(Vertailu[[#This Row],[Y-tunnus]],'3.2 Suoritepäätös 2019'!$A:$S,COLUMN('3.2 Suoritepäätös 2019'!R:R),FALSE),0)</f>
        <v>484455</v>
      </c>
      <c r="N93" s="132">
        <f>IFERROR(VLOOKUP(Vertailu[[#This Row],[Y-tunnus]],'1.2 Ohjaus-laskentataulu'!A:AG,COLUMN('1.2 Ohjaus-laskentataulu'!AG:AG),FALSE),0)</f>
        <v>575444</v>
      </c>
      <c r="O93" s="142">
        <f>IFERROR(Vertailu[[#This Row],[Simuloitu rahoitus sis. hark. kor. + alv, €]]-Vertailu[[#This Row],[2019 rahoitus sis. hark. kor. + alv, €]],0)</f>
        <v>90989</v>
      </c>
      <c r="P93" s="37">
        <f>IFERROR(Vertailu[[#This Row],[Muutos, € 3]]/Vertailu[[#This Row],[2019 rahoitus sis. hark. kor. + alv, €]],0)</f>
        <v>0.18781723792715527</v>
      </c>
    </row>
    <row r="94" spans="1:16" x14ac:dyDescent="0.25">
      <c r="A94" s="24" t="s">
        <v>313</v>
      </c>
      <c r="B94" s="143" t="s">
        <v>98</v>
      </c>
      <c r="C94" s="143" t="s">
        <v>236</v>
      </c>
      <c r="D94" s="144" t="s">
        <v>412</v>
      </c>
      <c r="E94" s="20">
        <f>IFERROR(VLOOKUP(Vertailu[[#This Row],[Y-tunnus]],'3.2 Suoritepäätös 2019'!$A:$S,COLUMN('3.2 Suoritepäätös 2019'!Q:Q),FALSE)-VLOOKUP(Vertailu[[#This Row],[Y-tunnus]],'3.2 Suoritepäätös 2019'!$A:$S,COLUMN('3.2 Suoritepäätös 2019'!L:L),FALSE),0)</f>
        <v>662049</v>
      </c>
      <c r="F94" s="20">
        <f>IFERROR(VLOOKUP(Vertailu[[#This Row],[Y-tunnus]],'1.2 Ohjaus-laskentataulu'!A:AG,COLUMN('1.2 Ohjaus-laskentataulu'!Z:Z),FALSE),0)</f>
        <v>730659</v>
      </c>
      <c r="G94" s="20">
        <f>IFERROR(Vertailu[[#This Row],[Simuloitu rahoitus pl. hark. kor. ilman alv, €]]-Vertailu[[#This Row],[2019 rahoitus pl. hark. kor. ilman alv, €]],0)</f>
        <v>68610</v>
      </c>
      <c r="H94" s="37">
        <f>IFERROR(Vertailu[[#This Row],[Muutos, € 1]]/Vertailu[[#This Row],[2019 rahoitus pl. hark. kor. ilman alv, €]],0)</f>
        <v>0.10363281267700729</v>
      </c>
      <c r="I94" s="132">
        <f>IFERROR(VLOOKUP(Vertailu[[#This Row],[Y-tunnus]],'3.2 Suoritepäätös 2019'!$A:$S,COLUMN('3.2 Suoritepäätös 2019'!Q:Q),FALSE),0)</f>
        <v>662049</v>
      </c>
      <c r="J94" s="134">
        <f>IFERROR(VLOOKUP(Vertailu[[#This Row],[Y-tunnus]],'1.2 Ohjaus-laskentataulu'!A:AG,COLUMN('1.2 Ohjaus-laskentataulu'!AE:AE),FALSE),0)</f>
        <v>730659</v>
      </c>
      <c r="K94" s="20">
        <f>IFERROR(Vertailu[[#This Row],[Simuloitu rahoitus sis. hark. kor. ilman alv, €]]-Vertailu[[#This Row],[2019 rahoitus sis. hark. kor. ilman alv, €]],0)</f>
        <v>68610</v>
      </c>
      <c r="L94" s="18">
        <f>IFERROR(Vertailu[[#This Row],[Muutos, € 2]]/Vertailu[[#This Row],[2019 rahoitus sis. hark. kor. ilman alv, €]],0)</f>
        <v>0.10363281267700729</v>
      </c>
      <c r="M94" s="134">
        <f>IFERROR(VLOOKUP(Vertailu[[#This Row],[Y-tunnus]],'3.2 Suoritepäätös 2019'!$A:$S,COLUMN('3.2 Suoritepäätös 2019'!Q:Q),FALSE)+VLOOKUP(Vertailu[[#This Row],[Y-tunnus]],'3.2 Suoritepäätös 2019'!$A:$S,COLUMN('3.2 Suoritepäätös 2019'!R:R),FALSE),0)</f>
        <v>696951</v>
      </c>
      <c r="N94" s="132">
        <f>IFERROR(VLOOKUP(Vertailu[[#This Row],[Y-tunnus]],'1.2 Ohjaus-laskentataulu'!A:AG,COLUMN('1.2 Ohjaus-laskentataulu'!AG:AG),FALSE),0)</f>
        <v>767224.77</v>
      </c>
      <c r="O94" s="142">
        <f>IFERROR(Vertailu[[#This Row],[Simuloitu rahoitus sis. hark. kor. + alv, €]]-Vertailu[[#This Row],[2019 rahoitus sis. hark. kor. + alv, €]],0)</f>
        <v>70273.770000000019</v>
      </c>
      <c r="P94" s="37">
        <f>IFERROR(Vertailu[[#This Row],[Muutos, € 3]]/Vertailu[[#This Row],[2019 rahoitus sis. hark. kor. + alv, €]],0)</f>
        <v>0.10083028792555003</v>
      </c>
    </row>
    <row r="95" spans="1:16" x14ac:dyDescent="0.25">
      <c r="A95" s="24" t="s">
        <v>312</v>
      </c>
      <c r="B95" s="143" t="s">
        <v>99</v>
      </c>
      <c r="C95" s="143" t="s">
        <v>332</v>
      </c>
      <c r="D95" s="144" t="s">
        <v>412</v>
      </c>
      <c r="E95" s="20">
        <f>IFERROR(VLOOKUP(Vertailu[[#This Row],[Y-tunnus]],'3.2 Suoritepäätös 2019'!$A:$S,COLUMN('3.2 Suoritepäätös 2019'!Q:Q),FALSE)-VLOOKUP(Vertailu[[#This Row],[Y-tunnus]],'3.2 Suoritepäätös 2019'!$A:$S,COLUMN('3.2 Suoritepäätös 2019'!L:L),FALSE),0)</f>
        <v>505397</v>
      </c>
      <c r="F95" s="20">
        <f>IFERROR(VLOOKUP(Vertailu[[#This Row],[Y-tunnus]],'1.2 Ohjaus-laskentataulu'!A:AG,COLUMN('1.2 Ohjaus-laskentataulu'!Z:Z),FALSE),0)</f>
        <v>571200</v>
      </c>
      <c r="G95" s="20">
        <f>IFERROR(Vertailu[[#This Row],[Simuloitu rahoitus pl. hark. kor. ilman alv, €]]-Vertailu[[#This Row],[2019 rahoitus pl. hark. kor. ilman alv, €]],0)</f>
        <v>65803</v>
      </c>
      <c r="H95" s="37">
        <f>IFERROR(Vertailu[[#This Row],[Muutos, € 1]]/Vertailu[[#This Row],[2019 rahoitus pl. hark. kor. ilman alv, €]],0)</f>
        <v>0.13020061456637061</v>
      </c>
      <c r="I95" s="132">
        <f>IFERROR(VLOOKUP(Vertailu[[#This Row],[Y-tunnus]],'3.2 Suoritepäätös 2019'!$A:$S,COLUMN('3.2 Suoritepäätös 2019'!Q:Q),FALSE),0)</f>
        <v>505397</v>
      </c>
      <c r="J95" s="134">
        <f>IFERROR(VLOOKUP(Vertailu[[#This Row],[Y-tunnus]],'1.2 Ohjaus-laskentataulu'!A:AG,COLUMN('1.2 Ohjaus-laskentataulu'!AE:AE),FALSE),0)</f>
        <v>571200</v>
      </c>
      <c r="K95" s="20">
        <f>IFERROR(Vertailu[[#This Row],[Simuloitu rahoitus sis. hark. kor. ilman alv, €]]-Vertailu[[#This Row],[2019 rahoitus sis. hark. kor. ilman alv, €]],0)</f>
        <v>65803</v>
      </c>
      <c r="L95" s="18">
        <f>IFERROR(Vertailu[[#This Row],[Muutos, € 2]]/Vertailu[[#This Row],[2019 rahoitus sis. hark. kor. ilman alv, €]],0)</f>
        <v>0.13020061456637061</v>
      </c>
      <c r="M95" s="134">
        <f>IFERROR(VLOOKUP(Vertailu[[#This Row],[Y-tunnus]],'3.2 Suoritepäätös 2019'!$A:$S,COLUMN('3.2 Suoritepäätös 2019'!Q:Q),FALSE)+VLOOKUP(Vertailu[[#This Row],[Y-tunnus]],'3.2 Suoritepäätös 2019'!$A:$S,COLUMN('3.2 Suoritepäätös 2019'!R:R),FALSE),0)</f>
        <v>531288</v>
      </c>
      <c r="N95" s="132">
        <f>IFERROR(VLOOKUP(Vertailu[[#This Row],[Y-tunnus]],'1.2 Ohjaus-laskentataulu'!A:AG,COLUMN('1.2 Ohjaus-laskentataulu'!AG:AG),FALSE),0)</f>
        <v>593652.6</v>
      </c>
      <c r="O95" s="142">
        <f>IFERROR(Vertailu[[#This Row],[Simuloitu rahoitus sis. hark. kor. + alv, €]]-Vertailu[[#This Row],[2019 rahoitus sis. hark. kor. + alv, €]],0)</f>
        <v>62364.599999999977</v>
      </c>
      <c r="P95" s="37">
        <f>IFERROR(Vertailu[[#This Row],[Muutos, € 3]]/Vertailu[[#This Row],[2019 rahoitus sis. hark. kor. + alv, €]],0)</f>
        <v>0.11738379184171292</v>
      </c>
    </row>
    <row r="96" spans="1:16" x14ac:dyDescent="0.25">
      <c r="A96" s="24" t="s">
        <v>311</v>
      </c>
      <c r="B96" s="143" t="s">
        <v>100</v>
      </c>
      <c r="C96" s="143" t="s">
        <v>252</v>
      </c>
      <c r="D96" s="144" t="s">
        <v>411</v>
      </c>
      <c r="E96" s="20">
        <f>IFERROR(VLOOKUP(Vertailu[[#This Row],[Y-tunnus]],'3.2 Suoritepäätös 2019'!$A:$S,COLUMN('3.2 Suoritepäätös 2019'!Q:Q),FALSE)-VLOOKUP(Vertailu[[#This Row],[Y-tunnus]],'3.2 Suoritepäätös 2019'!$A:$S,COLUMN('3.2 Suoritepäätös 2019'!L:L),FALSE),0)</f>
        <v>10214737</v>
      </c>
      <c r="F96" s="20">
        <f>IFERROR(VLOOKUP(Vertailu[[#This Row],[Y-tunnus]],'1.2 Ohjaus-laskentataulu'!A:AG,COLUMN('1.2 Ohjaus-laskentataulu'!Z:Z),FALSE),0)</f>
        <v>10010971</v>
      </c>
      <c r="G96" s="20">
        <f>IFERROR(Vertailu[[#This Row],[Simuloitu rahoitus pl. hark. kor. ilman alv, €]]-Vertailu[[#This Row],[2019 rahoitus pl. hark. kor. ilman alv, €]],0)</f>
        <v>-203766</v>
      </c>
      <c r="H96" s="37">
        <f>IFERROR(Vertailu[[#This Row],[Muutos, € 1]]/Vertailu[[#This Row],[2019 rahoitus pl. hark. kor. ilman alv, €]],0)</f>
        <v>-1.9948237531715207E-2</v>
      </c>
      <c r="I96" s="132">
        <f>IFERROR(VLOOKUP(Vertailu[[#This Row],[Y-tunnus]],'3.2 Suoritepäätös 2019'!$A:$S,COLUMN('3.2 Suoritepäätös 2019'!Q:Q),FALSE),0)</f>
        <v>10214737</v>
      </c>
      <c r="J96" s="134">
        <f>IFERROR(VLOOKUP(Vertailu[[#This Row],[Y-tunnus]],'1.2 Ohjaus-laskentataulu'!A:AG,COLUMN('1.2 Ohjaus-laskentataulu'!AE:AE),FALSE),0)</f>
        <v>10010971</v>
      </c>
      <c r="K96" s="20">
        <f>IFERROR(Vertailu[[#This Row],[Simuloitu rahoitus sis. hark. kor. ilman alv, €]]-Vertailu[[#This Row],[2019 rahoitus sis. hark. kor. ilman alv, €]],0)</f>
        <v>-203766</v>
      </c>
      <c r="L96" s="18">
        <f>IFERROR(Vertailu[[#This Row],[Muutos, € 2]]/Vertailu[[#This Row],[2019 rahoitus sis. hark. kor. ilman alv, €]],0)</f>
        <v>-1.9948237531715207E-2</v>
      </c>
      <c r="M96" s="134">
        <f>IFERROR(VLOOKUP(Vertailu[[#This Row],[Y-tunnus]],'3.2 Suoritepäätös 2019'!$A:$S,COLUMN('3.2 Suoritepäätös 2019'!Q:Q),FALSE)+VLOOKUP(Vertailu[[#This Row],[Y-tunnus]],'3.2 Suoritepäätös 2019'!$A:$S,COLUMN('3.2 Suoritepäätös 2019'!R:R),FALSE),0)</f>
        <v>10214737</v>
      </c>
      <c r="N96" s="132">
        <f>IFERROR(VLOOKUP(Vertailu[[#This Row],[Y-tunnus]],'1.2 Ohjaus-laskentataulu'!A:AG,COLUMN('1.2 Ohjaus-laskentataulu'!AG:AG),FALSE),0)</f>
        <v>10010971</v>
      </c>
      <c r="O96" s="142">
        <f>IFERROR(Vertailu[[#This Row],[Simuloitu rahoitus sis. hark. kor. + alv, €]]-Vertailu[[#This Row],[2019 rahoitus sis. hark. kor. + alv, €]],0)</f>
        <v>-203766</v>
      </c>
      <c r="P96" s="37">
        <f>IFERROR(Vertailu[[#This Row],[Muutos, € 3]]/Vertailu[[#This Row],[2019 rahoitus sis. hark. kor. + alv, €]],0)</f>
        <v>-1.9948237531715207E-2</v>
      </c>
    </row>
    <row r="97" spans="1:16" x14ac:dyDescent="0.25">
      <c r="A97" s="24" t="s">
        <v>310</v>
      </c>
      <c r="B97" s="143" t="s">
        <v>101</v>
      </c>
      <c r="C97" s="143" t="s">
        <v>236</v>
      </c>
      <c r="D97" s="144" t="s">
        <v>412</v>
      </c>
      <c r="E97" s="20">
        <f>IFERROR(VLOOKUP(Vertailu[[#This Row],[Y-tunnus]],'3.2 Suoritepäätös 2019'!$A:$S,COLUMN('3.2 Suoritepäätös 2019'!Q:Q),FALSE)-VLOOKUP(Vertailu[[#This Row],[Y-tunnus]],'3.2 Suoritepäätös 2019'!$A:$S,COLUMN('3.2 Suoritepäätös 2019'!L:L),FALSE),0)</f>
        <v>11048673</v>
      </c>
      <c r="F97" s="20">
        <f>IFERROR(VLOOKUP(Vertailu[[#This Row],[Y-tunnus]],'1.2 Ohjaus-laskentataulu'!A:AG,COLUMN('1.2 Ohjaus-laskentataulu'!Z:Z),FALSE),0)</f>
        <v>11682079</v>
      </c>
      <c r="G97" s="20">
        <f>IFERROR(Vertailu[[#This Row],[Simuloitu rahoitus pl. hark. kor. ilman alv, €]]-Vertailu[[#This Row],[2019 rahoitus pl. hark. kor. ilman alv, €]],0)</f>
        <v>633406</v>
      </c>
      <c r="H97" s="37">
        <f>IFERROR(Vertailu[[#This Row],[Muutos, € 1]]/Vertailu[[#This Row],[2019 rahoitus pl. hark. kor. ilman alv, €]],0)</f>
        <v>5.7328694586218636E-2</v>
      </c>
      <c r="I97" s="132">
        <f>IFERROR(VLOOKUP(Vertailu[[#This Row],[Y-tunnus]],'3.2 Suoritepäätös 2019'!$A:$S,COLUMN('3.2 Suoritepäätös 2019'!Q:Q),FALSE),0)</f>
        <v>11048673</v>
      </c>
      <c r="J97" s="134">
        <f>IFERROR(VLOOKUP(Vertailu[[#This Row],[Y-tunnus]],'1.2 Ohjaus-laskentataulu'!A:AG,COLUMN('1.2 Ohjaus-laskentataulu'!AE:AE),FALSE),0)</f>
        <v>11682079</v>
      </c>
      <c r="K97" s="20">
        <f>IFERROR(Vertailu[[#This Row],[Simuloitu rahoitus sis. hark. kor. ilman alv, €]]-Vertailu[[#This Row],[2019 rahoitus sis. hark. kor. ilman alv, €]],0)</f>
        <v>633406</v>
      </c>
      <c r="L97" s="18">
        <f>IFERROR(Vertailu[[#This Row],[Muutos, € 2]]/Vertailu[[#This Row],[2019 rahoitus sis. hark. kor. ilman alv, €]],0)</f>
        <v>5.7328694586218636E-2</v>
      </c>
      <c r="M97" s="134">
        <f>IFERROR(VLOOKUP(Vertailu[[#This Row],[Y-tunnus]],'3.2 Suoritepäätös 2019'!$A:$S,COLUMN('3.2 Suoritepäätös 2019'!Q:Q),FALSE)+VLOOKUP(Vertailu[[#This Row],[Y-tunnus]],'3.2 Suoritepäätös 2019'!$A:$S,COLUMN('3.2 Suoritepäätös 2019'!R:R),FALSE),0)</f>
        <v>11625454</v>
      </c>
      <c r="N97" s="132">
        <f>IFERROR(VLOOKUP(Vertailu[[#This Row],[Y-tunnus]],'1.2 Ohjaus-laskentataulu'!A:AG,COLUMN('1.2 Ohjaus-laskentataulu'!AG:AG),FALSE),0)</f>
        <v>12398088.880000001</v>
      </c>
      <c r="O97" s="142">
        <f>IFERROR(Vertailu[[#This Row],[Simuloitu rahoitus sis. hark. kor. + alv, €]]-Vertailu[[#This Row],[2019 rahoitus sis. hark. kor. + alv, €]],0)</f>
        <v>772634.88000000082</v>
      </c>
      <c r="P97" s="37">
        <f>IFERROR(Vertailu[[#This Row],[Muutos, € 3]]/Vertailu[[#This Row],[2019 rahoitus sis. hark. kor. + alv, €]],0)</f>
        <v>6.646061994654151E-2</v>
      </c>
    </row>
    <row r="98" spans="1:16" x14ac:dyDescent="0.25">
      <c r="A98" s="24" t="s">
        <v>309</v>
      </c>
      <c r="B98" s="143" t="s">
        <v>102</v>
      </c>
      <c r="C98" s="143" t="s">
        <v>294</v>
      </c>
      <c r="D98" s="144" t="s">
        <v>412</v>
      </c>
      <c r="E98" s="20">
        <f>IFERROR(VLOOKUP(Vertailu[[#This Row],[Y-tunnus]],'3.2 Suoritepäätös 2019'!$A:$S,COLUMN('3.2 Suoritepäätös 2019'!Q:Q),FALSE)-VLOOKUP(Vertailu[[#This Row],[Y-tunnus]],'3.2 Suoritepäätös 2019'!$A:$S,COLUMN('3.2 Suoritepäätös 2019'!L:L),FALSE),0)</f>
        <v>619004</v>
      </c>
      <c r="F98" s="20">
        <f>IFERROR(VLOOKUP(Vertailu[[#This Row],[Y-tunnus]],'1.2 Ohjaus-laskentataulu'!A:AG,COLUMN('1.2 Ohjaus-laskentataulu'!Z:Z),FALSE),0)</f>
        <v>617121</v>
      </c>
      <c r="G98" s="20">
        <f>IFERROR(Vertailu[[#This Row],[Simuloitu rahoitus pl. hark. kor. ilman alv, €]]-Vertailu[[#This Row],[2019 rahoitus pl. hark. kor. ilman alv, €]],0)</f>
        <v>-1883</v>
      </c>
      <c r="H98" s="37">
        <f>IFERROR(Vertailu[[#This Row],[Muutos, € 1]]/Vertailu[[#This Row],[2019 rahoitus pl. hark. kor. ilman alv, €]],0)</f>
        <v>-3.041983573611802E-3</v>
      </c>
      <c r="I98" s="132">
        <f>IFERROR(VLOOKUP(Vertailu[[#This Row],[Y-tunnus]],'3.2 Suoritepäätös 2019'!$A:$S,COLUMN('3.2 Suoritepäätös 2019'!Q:Q),FALSE),0)</f>
        <v>619004</v>
      </c>
      <c r="J98" s="134">
        <f>IFERROR(VLOOKUP(Vertailu[[#This Row],[Y-tunnus]],'1.2 Ohjaus-laskentataulu'!A:AG,COLUMN('1.2 Ohjaus-laskentataulu'!AE:AE),FALSE),0)</f>
        <v>617121</v>
      </c>
      <c r="K98" s="20">
        <f>IFERROR(Vertailu[[#This Row],[Simuloitu rahoitus sis. hark. kor. ilman alv, €]]-Vertailu[[#This Row],[2019 rahoitus sis. hark. kor. ilman alv, €]],0)</f>
        <v>-1883</v>
      </c>
      <c r="L98" s="18">
        <f>IFERROR(Vertailu[[#This Row],[Muutos, € 2]]/Vertailu[[#This Row],[2019 rahoitus sis. hark. kor. ilman alv, €]],0)</f>
        <v>-3.041983573611802E-3</v>
      </c>
      <c r="M98" s="134">
        <f>IFERROR(VLOOKUP(Vertailu[[#This Row],[Y-tunnus]],'3.2 Suoritepäätös 2019'!$A:$S,COLUMN('3.2 Suoritepäätös 2019'!Q:Q),FALSE)+VLOOKUP(Vertailu[[#This Row],[Y-tunnus]],'3.2 Suoritepäätös 2019'!$A:$S,COLUMN('3.2 Suoritepäätös 2019'!R:R),FALSE),0)</f>
        <v>651756</v>
      </c>
      <c r="N98" s="132">
        <f>IFERROR(VLOOKUP(Vertailu[[#This Row],[Y-tunnus]],'1.2 Ohjaus-laskentataulu'!A:AG,COLUMN('1.2 Ohjaus-laskentataulu'!AG:AG),FALSE),0)</f>
        <v>679553.75</v>
      </c>
      <c r="O98" s="142">
        <f>IFERROR(Vertailu[[#This Row],[Simuloitu rahoitus sis. hark. kor. + alv, €]]-Vertailu[[#This Row],[2019 rahoitus sis. hark. kor. + alv, €]],0)</f>
        <v>27797.75</v>
      </c>
      <c r="P98" s="37">
        <f>IFERROR(Vertailu[[#This Row],[Muutos, € 3]]/Vertailu[[#This Row],[2019 rahoitus sis. hark. kor. + alv, €]],0)</f>
        <v>4.2650547137272232E-2</v>
      </c>
    </row>
    <row r="99" spans="1:16" x14ac:dyDescent="0.25">
      <c r="A99" s="24" t="s">
        <v>316</v>
      </c>
      <c r="B99" s="143" t="s">
        <v>103</v>
      </c>
      <c r="C99" s="143" t="s">
        <v>315</v>
      </c>
      <c r="D99" s="144" t="s">
        <v>411</v>
      </c>
      <c r="E99" s="20">
        <f>IFERROR(VLOOKUP(Vertailu[[#This Row],[Y-tunnus]],'3.2 Suoritepäätös 2019'!$A:$S,COLUMN('3.2 Suoritepäätös 2019'!Q:Q),FALSE)-VLOOKUP(Vertailu[[#This Row],[Y-tunnus]],'3.2 Suoritepäätös 2019'!$A:$S,COLUMN('3.2 Suoritepäätös 2019'!L:L),FALSE),0)</f>
        <v>49263164</v>
      </c>
      <c r="F99" s="20">
        <f>IFERROR(VLOOKUP(Vertailu[[#This Row],[Y-tunnus]],'1.2 Ohjaus-laskentataulu'!A:AG,COLUMN('1.2 Ohjaus-laskentataulu'!Z:Z),FALSE),0)</f>
        <v>48455983</v>
      </c>
      <c r="G99" s="20">
        <f>IFERROR(Vertailu[[#This Row],[Simuloitu rahoitus pl. hark. kor. ilman alv, €]]-Vertailu[[#This Row],[2019 rahoitus pl. hark. kor. ilman alv, €]],0)</f>
        <v>-807181</v>
      </c>
      <c r="H99" s="37">
        <f>IFERROR(Vertailu[[#This Row],[Muutos, € 1]]/Vertailu[[#This Row],[2019 rahoitus pl. hark. kor. ilman alv, €]],0)</f>
        <v>-1.6385082371079534E-2</v>
      </c>
      <c r="I99" s="132">
        <f>IFERROR(VLOOKUP(Vertailu[[#This Row],[Y-tunnus]],'3.2 Suoritepäätös 2019'!$A:$S,COLUMN('3.2 Suoritepäätös 2019'!Q:Q),FALSE),0)</f>
        <v>49263164</v>
      </c>
      <c r="J99" s="134">
        <f>IFERROR(VLOOKUP(Vertailu[[#This Row],[Y-tunnus]],'1.2 Ohjaus-laskentataulu'!A:AG,COLUMN('1.2 Ohjaus-laskentataulu'!AE:AE),FALSE),0)</f>
        <v>48455983</v>
      </c>
      <c r="K99" s="20">
        <f>IFERROR(Vertailu[[#This Row],[Simuloitu rahoitus sis. hark. kor. ilman alv, €]]-Vertailu[[#This Row],[2019 rahoitus sis. hark. kor. ilman alv, €]],0)</f>
        <v>-807181</v>
      </c>
      <c r="L99" s="18">
        <f>IFERROR(Vertailu[[#This Row],[Muutos, € 2]]/Vertailu[[#This Row],[2019 rahoitus sis. hark. kor. ilman alv, €]],0)</f>
        <v>-1.6385082371079534E-2</v>
      </c>
      <c r="M99" s="134">
        <f>IFERROR(VLOOKUP(Vertailu[[#This Row],[Y-tunnus]],'3.2 Suoritepäätös 2019'!$A:$S,COLUMN('3.2 Suoritepäätös 2019'!Q:Q),FALSE)+VLOOKUP(Vertailu[[#This Row],[Y-tunnus]],'3.2 Suoritepäätös 2019'!$A:$S,COLUMN('3.2 Suoritepäätös 2019'!R:R),FALSE),0)</f>
        <v>49263164</v>
      </c>
      <c r="N99" s="132">
        <f>IFERROR(VLOOKUP(Vertailu[[#This Row],[Y-tunnus]],'1.2 Ohjaus-laskentataulu'!A:AG,COLUMN('1.2 Ohjaus-laskentataulu'!AG:AG),FALSE),0)</f>
        <v>48455983</v>
      </c>
      <c r="O99" s="142">
        <f>IFERROR(Vertailu[[#This Row],[Simuloitu rahoitus sis. hark. kor. + alv, €]]-Vertailu[[#This Row],[2019 rahoitus sis. hark. kor. + alv, €]],0)</f>
        <v>-807181</v>
      </c>
      <c r="P99" s="37">
        <f>IFERROR(Vertailu[[#This Row],[Muutos, € 3]]/Vertailu[[#This Row],[2019 rahoitus sis. hark. kor. + alv, €]],0)</f>
        <v>-1.6385082371079534E-2</v>
      </c>
    </row>
    <row r="100" spans="1:16" x14ac:dyDescent="0.25">
      <c r="A100" s="24" t="s">
        <v>306</v>
      </c>
      <c r="B100" s="143" t="s">
        <v>104</v>
      </c>
      <c r="C100" s="143" t="s">
        <v>285</v>
      </c>
      <c r="D100" s="144" t="s">
        <v>412</v>
      </c>
      <c r="E100" s="20">
        <f>IFERROR(VLOOKUP(Vertailu[[#This Row],[Y-tunnus]],'3.2 Suoritepäätös 2019'!$A:$S,COLUMN('3.2 Suoritepäätös 2019'!Q:Q),FALSE)-VLOOKUP(Vertailu[[#This Row],[Y-tunnus]],'3.2 Suoritepäätös 2019'!$A:$S,COLUMN('3.2 Suoritepäätös 2019'!L:L),FALSE),0)</f>
        <v>1057126</v>
      </c>
      <c r="F100" s="20">
        <f>IFERROR(VLOOKUP(Vertailu[[#This Row],[Y-tunnus]],'1.2 Ohjaus-laskentataulu'!A:AG,COLUMN('1.2 Ohjaus-laskentataulu'!Z:Z),FALSE),0)</f>
        <v>1020614</v>
      </c>
      <c r="G100" s="20">
        <f>IFERROR(Vertailu[[#This Row],[Simuloitu rahoitus pl. hark. kor. ilman alv, €]]-Vertailu[[#This Row],[2019 rahoitus pl. hark. kor. ilman alv, €]],0)</f>
        <v>-36512</v>
      </c>
      <c r="H100" s="37">
        <f>IFERROR(Vertailu[[#This Row],[Muutos, € 1]]/Vertailu[[#This Row],[2019 rahoitus pl. hark. kor. ilman alv, €]],0)</f>
        <v>-3.4538929134275385E-2</v>
      </c>
      <c r="I100" s="132">
        <f>IFERROR(VLOOKUP(Vertailu[[#This Row],[Y-tunnus]],'3.2 Suoritepäätös 2019'!$A:$S,COLUMN('3.2 Suoritepäätös 2019'!Q:Q),FALSE),0)</f>
        <v>1057126</v>
      </c>
      <c r="J100" s="134">
        <f>IFERROR(VLOOKUP(Vertailu[[#This Row],[Y-tunnus]],'1.2 Ohjaus-laskentataulu'!A:AG,COLUMN('1.2 Ohjaus-laskentataulu'!AE:AE),FALSE),0)</f>
        <v>1020614</v>
      </c>
      <c r="K100" s="20">
        <f>IFERROR(Vertailu[[#This Row],[Simuloitu rahoitus sis. hark. kor. ilman alv, €]]-Vertailu[[#This Row],[2019 rahoitus sis. hark. kor. ilman alv, €]],0)</f>
        <v>-36512</v>
      </c>
      <c r="L100" s="18">
        <f>IFERROR(Vertailu[[#This Row],[Muutos, € 2]]/Vertailu[[#This Row],[2019 rahoitus sis. hark. kor. ilman alv, €]],0)</f>
        <v>-3.4538929134275385E-2</v>
      </c>
      <c r="M100" s="134">
        <f>IFERROR(VLOOKUP(Vertailu[[#This Row],[Y-tunnus]],'3.2 Suoritepäätös 2019'!$A:$S,COLUMN('3.2 Suoritepäätös 2019'!Q:Q),FALSE)+VLOOKUP(Vertailu[[#This Row],[Y-tunnus]],'3.2 Suoritepäätös 2019'!$A:$S,COLUMN('3.2 Suoritepäätös 2019'!R:R),FALSE),0)</f>
        <v>1114123</v>
      </c>
      <c r="N100" s="132">
        <f>IFERROR(VLOOKUP(Vertailu[[#This Row],[Y-tunnus]],'1.2 Ohjaus-laskentataulu'!A:AG,COLUMN('1.2 Ohjaus-laskentataulu'!AG:AG),FALSE),0)</f>
        <v>1074609</v>
      </c>
      <c r="O100" s="142">
        <f>IFERROR(Vertailu[[#This Row],[Simuloitu rahoitus sis. hark. kor. + alv, €]]-Vertailu[[#This Row],[2019 rahoitus sis. hark. kor. + alv, €]],0)</f>
        <v>-39514</v>
      </c>
      <c r="P100" s="37">
        <f>IFERROR(Vertailu[[#This Row],[Muutos, € 3]]/Vertailu[[#This Row],[2019 rahoitus sis. hark. kor. + alv, €]],0)</f>
        <v>-3.5466461063993829E-2</v>
      </c>
    </row>
    <row r="101" spans="1:16" x14ac:dyDescent="0.25">
      <c r="A101" s="24" t="s">
        <v>305</v>
      </c>
      <c r="B101" s="143" t="s">
        <v>105</v>
      </c>
      <c r="C101" s="143" t="s">
        <v>240</v>
      </c>
      <c r="D101" s="144" t="s">
        <v>412</v>
      </c>
      <c r="E101" s="20">
        <f>IFERROR(VLOOKUP(Vertailu[[#This Row],[Y-tunnus]],'3.2 Suoritepäätös 2019'!$A:$S,COLUMN('3.2 Suoritepäätös 2019'!Q:Q),FALSE)-VLOOKUP(Vertailu[[#This Row],[Y-tunnus]],'3.2 Suoritepäätös 2019'!$A:$S,COLUMN('3.2 Suoritepäätös 2019'!L:L),FALSE),0)</f>
        <v>511338</v>
      </c>
      <c r="F101" s="20">
        <f>IFERROR(VLOOKUP(Vertailu[[#This Row],[Y-tunnus]],'1.2 Ohjaus-laskentataulu'!A:AG,COLUMN('1.2 Ohjaus-laskentataulu'!Z:Z),FALSE),0)</f>
        <v>463701</v>
      </c>
      <c r="G101" s="20">
        <f>IFERROR(Vertailu[[#This Row],[Simuloitu rahoitus pl. hark. kor. ilman alv, €]]-Vertailu[[#This Row],[2019 rahoitus pl. hark. kor. ilman alv, €]],0)</f>
        <v>-47637</v>
      </c>
      <c r="H101" s="37">
        <f>IFERROR(Vertailu[[#This Row],[Muutos, € 1]]/Vertailu[[#This Row],[2019 rahoitus pl. hark. kor. ilman alv, €]],0)</f>
        <v>-9.3161470495054147E-2</v>
      </c>
      <c r="I101" s="132">
        <f>IFERROR(VLOOKUP(Vertailu[[#This Row],[Y-tunnus]],'3.2 Suoritepäätös 2019'!$A:$S,COLUMN('3.2 Suoritepäätös 2019'!Q:Q),FALSE),0)</f>
        <v>511338</v>
      </c>
      <c r="J101" s="134">
        <f>IFERROR(VLOOKUP(Vertailu[[#This Row],[Y-tunnus]],'1.2 Ohjaus-laskentataulu'!A:AG,COLUMN('1.2 Ohjaus-laskentataulu'!AE:AE),FALSE),0)</f>
        <v>463701</v>
      </c>
      <c r="K101" s="20">
        <f>IFERROR(Vertailu[[#This Row],[Simuloitu rahoitus sis. hark. kor. ilman alv, €]]-Vertailu[[#This Row],[2019 rahoitus sis. hark. kor. ilman alv, €]],0)</f>
        <v>-47637</v>
      </c>
      <c r="L101" s="18">
        <f>IFERROR(Vertailu[[#This Row],[Muutos, € 2]]/Vertailu[[#This Row],[2019 rahoitus sis. hark. kor. ilman alv, €]],0)</f>
        <v>-9.3161470495054147E-2</v>
      </c>
      <c r="M101" s="134">
        <f>IFERROR(VLOOKUP(Vertailu[[#This Row],[Y-tunnus]],'3.2 Suoritepäätös 2019'!$A:$S,COLUMN('3.2 Suoritepäätös 2019'!Q:Q),FALSE)+VLOOKUP(Vertailu[[#This Row],[Y-tunnus]],'3.2 Suoritepäätös 2019'!$A:$S,COLUMN('3.2 Suoritepäätös 2019'!R:R),FALSE),0)</f>
        <v>538464</v>
      </c>
      <c r="N101" s="132">
        <f>IFERROR(VLOOKUP(Vertailu[[#This Row],[Y-tunnus]],'1.2 Ohjaus-laskentataulu'!A:AG,COLUMN('1.2 Ohjaus-laskentataulu'!AG:AG),FALSE),0)</f>
        <v>496506</v>
      </c>
      <c r="O101" s="142">
        <f>IFERROR(Vertailu[[#This Row],[Simuloitu rahoitus sis. hark. kor. + alv, €]]-Vertailu[[#This Row],[2019 rahoitus sis. hark. kor. + alv, €]],0)</f>
        <v>-41958</v>
      </c>
      <c r="P101" s="37">
        <f>IFERROR(Vertailu[[#This Row],[Muutos, € 3]]/Vertailu[[#This Row],[2019 rahoitus sis. hark. kor. + alv, €]],0)</f>
        <v>-7.7921643786771258E-2</v>
      </c>
    </row>
    <row r="102" spans="1:16" x14ac:dyDescent="0.25">
      <c r="A102" s="24" t="s">
        <v>304</v>
      </c>
      <c r="B102" s="143" t="s">
        <v>106</v>
      </c>
      <c r="C102" s="143" t="s">
        <v>244</v>
      </c>
      <c r="D102" s="144" t="s">
        <v>412</v>
      </c>
      <c r="E102" s="20">
        <f>IFERROR(VLOOKUP(Vertailu[[#This Row],[Y-tunnus]],'3.2 Suoritepäätös 2019'!$A:$S,COLUMN('3.2 Suoritepäätös 2019'!Q:Q),FALSE)-VLOOKUP(Vertailu[[#This Row],[Y-tunnus]],'3.2 Suoritepäätös 2019'!$A:$S,COLUMN('3.2 Suoritepäätös 2019'!L:L),FALSE),0)</f>
        <v>1836370</v>
      </c>
      <c r="F102" s="20">
        <f>IFERROR(VLOOKUP(Vertailu[[#This Row],[Y-tunnus]],'1.2 Ohjaus-laskentataulu'!A:AG,COLUMN('1.2 Ohjaus-laskentataulu'!Z:Z),FALSE),0)</f>
        <v>1558854</v>
      </c>
      <c r="G102" s="20">
        <f>IFERROR(Vertailu[[#This Row],[Simuloitu rahoitus pl. hark. kor. ilman alv, €]]-Vertailu[[#This Row],[2019 rahoitus pl. hark. kor. ilman alv, €]],0)</f>
        <v>-277516</v>
      </c>
      <c r="H102" s="37">
        <f>IFERROR(Vertailu[[#This Row],[Muutos, € 1]]/Vertailu[[#This Row],[2019 rahoitus pl. hark. kor. ilman alv, €]],0)</f>
        <v>-0.1511220505671515</v>
      </c>
      <c r="I102" s="132">
        <f>IFERROR(VLOOKUP(Vertailu[[#This Row],[Y-tunnus]],'3.2 Suoritepäätös 2019'!$A:$S,COLUMN('3.2 Suoritepäätös 2019'!Q:Q),FALSE),0)</f>
        <v>1836370</v>
      </c>
      <c r="J102" s="134">
        <f>IFERROR(VLOOKUP(Vertailu[[#This Row],[Y-tunnus]],'1.2 Ohjaus-laskentataulu'!A:AG,COLUMN('1.2 Ohjaus-laskentataulu'!AE:AE),FALSE),0)</f>
        <v>1558854</v>
      </c>
      <c r="K102" s="20">
        <f>IFERROR(Vertailu[[#This Row],[Simuloitu rahoitus sis. hark. kor. ilman alv, €]]-Vertailu[[#This Row],[2019 rahoitus sis. hark. kor. ilman alv, €]],0)</f>
        <v>-277516</v>
      </c>
      <c r="L102" s="18">
        <f>IFERROR(Vertailu[[#This Row],[Muutos, € 2]]/Vertailu[[#This Row],[2019 rahoitus sis. hark. kor. ilman alv, €]],0)</f>
        <v>-0.1511220505671515</v>
      </c>
      <c r="M102" s="134">
        <f>IFERROR(VLOOKUP(Vertailu[[#This Row],[Y-tunnus]],'3.2 Suoritepäätös 2019'!$A:$S,COLUMN('3.2 Suoritepäätös 2019'!Q:Q),FALSE)+VLOOKUP(Vertailu[[#This Row],[Y-tunnus]],'3.2 Suoritepäätös 2019'!$A:$S,COLUMN('3.2 Suoritepäätös 2019'!R:R),FALSE),0)</f>
        <v>1936045</v>
      </c>
      <c r="N102" s="132">
        <f>IFERROR(VLOOKUP(Vertailu[[#This Row],[Y-tunnus]],'1.2 Ohjaus-laskentataulu'!A:AG,COLUMN('1.2 Ohjaus-laskentataulu'!AG:AG),FALSE),0)</f>
        <v>1609205.92</v>
      </c>
      <c r="O102" s="142">
        <f>IFERROR(Vertailu[[#This Row],[Simuloitu rahoitus sis. hark. kor. + alv, €]]-Vertailu[[#This Row],[2019 rahoitus sis. hark. kor. + alv, €]],0)</f>
        <v>-326839.08000000007</v>
      </c>
      <c r="P102" s="37">
        <f>IFERROR(Vertailu[[#This Row],[Muutos, € 3]]/Vertailu[[#This Row],[2019 rahoitus sis. hark. kor. + alv, €]],0)</f>
        <v>-0.16881791487284648</v>
      </c>
    </row>
    <row r="103" spans="1:16" x14ac:dyDescent="0.25">
      <c r="A103" s="24" t="s">
        <v>308</v>
      </c>
      <c r="B103" s="143" t="s">
        <v>107</v>
      </c>
      <c r="C103" s="143" t="s">
        <v>236</v>
      </c>
      <c r="D103" s="144" t="s">
        <v>412</v>
      </c>
      <c r="E103" s="20">
        <f>IFERROR(VLOOKUP(Vertailu[[#This Row],[Y-tunnus]],'3.2 Suoritepäätös 2019'!$A:$S,COLUMN('3.2 Suoritepäätös 2019'!Q:Q),FALSE)-VLOOKUP(Vertailu[[#This Row],[Y-tunnus]],'3.2 Suoritepäätös 2019'!$A:$S,COLUMN('3.2 Suoritepäätös 2019'!L:L),FALSE),0)</f>
        <v>1594490</v>
      </c>
      <c r="F103" s="20">
        <f>IFERROR(VLOOKUP(Vertailu[[#This Row],[Y-tunnus]],'1.2 Ohjaus-laskentataulu'!A:AG,COLUMN('1.2 Ohjaus-laskentataulu'!Z:Z),FALSE),0)</f>
        <v>1508451</v>
      </c>
      <c r="G103" s="20">
        <f>IFERROR(Vertailu[[#This Row],[Simuloitu rahoitus pl. hark. kor. ilman alv, €]]-Vertailu[[#This Row],[2019 rahoitus pl. hark. kor. ilman alv, €]],0)</f>
        <v>-86039</v>
      </c>
      <c r="H103" s="37">
        <f>IFERROR(Vertailu[[#This Row],[Muutos, € 1]]/Vertailu[[#This Row],[2019 rahoitus pl. hark. kor. ilman alv, €]],0)</f>
        <v>-5.3960200440266164E-2</v>
      </c>
      <c r="I103" s="132">
        <f>IFERROR(VLOOKUP(Vertailu[[#This Row],[Y-tunnus]],'3.2 Suoritepäätös 2019'!$A:$S,COLUMN('3.2 Suoritepäätös 2019'!Q:Q),FALSE),0)</f>
        <v>1594490</v>
      </c>
      <c r="J103" s="134">
        <f>IFERROR(VLOOKUP(Vertailu[[#This Row],[Y-tunnus]],'1.2 Ohjaus-laskentataulu'!A:AG,COLUMN('1.2 Ohjaus-laskentataulu'!AE:AE),FALSE),0)</f>
        <v>1508451</v>
      </c>
      <c r="K103" s="20">
        <f>IFERROR(Vertailu[[#This Row],[Simuloitu rahoitus sis. hark. kor. ilman alv, €]]-Vertailu[[#This Row],[2019 rahoitus sis. hark. kor. ilman alv, €]],0)</f>
        <v>-86039</v>
      </c>
      <c r="L103" s="18">
        <f>IFERROR(Vertailu[[#This Row],[Muutos, € 2]]/Vertailu[[#This Row],[2019 rahoitus sis. hark. kor. ilman alv, €]],0)</f>
        <v>-5.3960200440266164E-2</v>
      </c>
      <c r="M103" s="134">
        <f>IFERROR(VLOOKUP(Vertailu[[#This Row],[Y-tunnus]],'3.2 Suoritepäätös 2019'!$A:$S,COLUMN('3.2 Suoritepäätös 2019'!Q:Q),FALSE)+VLOOKUP(Vertailu[[#This Row],[Y-tunnus]],'3.2 Suoritepäätös 2019'!$A:$S,COLUMN('3.2 Suoritepäätös 2019'!R:R),FALSE),0)</f>
        <v>1676783</v>
      </c>
      <c r="N103" s="132">
        <f>IFERROR(VLOOKUP(Vertailu[[#This Row],[Y-tunnus]],'1.2 Ohjaus-laskentataulu'!A:AG,COLUMN('1.2 Ohjaus-laskentataulu'!AG:AG),FALSE),0)</f>
        <v>1508451</v>
      </c>
      <c r="O103" s="142">
        <f>IFERROR(Vertailu[[#This Row],[Simuloitu rahoitus sis. hark. kor. + alv, €]]-Vertailu[[#This Row],[2019 rahoitus sis. hark. kor. + alv, €]],0)</f>
        <v>-168332</v>
      </c>
      <c r="P103" s="37">
        <f>IFERROR(Vertailu[[#This Row],[Muutos, € 3]]/Vertailu[[#This Row],[2019 rahoitus sis. hark. kor. + alv, €]],0)</f>
        <v>-0.10038985366621679</v>
      </c>
    </row>
    <row r="104" spans="1:16" x14ac:dyDescent="0.25">
      <c r="A104" s="24" t="s">
        <v>307</v>
      </c>
      <c r="B104" s="143" t="s">
        <v>108</v>
      </c>
      <c r="C104" s="143" t="s">
        <v>240</v>
      </c>
      <c r="D104" s="144" t="s">
        <v>412</v>
      </c>
      <c r="E104" s="20">
        <f>IFERROR(VLOOKUP(Vertailu[[#This Row],[Y-tunnus]],'3.2 Suoritepäätös 2019'!$A:$S,COLUMN('3.2 Suoritepäätös 2019'!Q:Q),FALSE)-VLOOKUP(Vertailu[[#This Row],[Y-tunnus]],'3.2 Suoritepäätös 2019'!$A:$S,COLUMN('3.2 Suoritepäätös 2019'!L:L),FALSE),0)</f>
        <v>718673</v>
      </c>
      <c r="F104" s="20">
        <f>IFERROR(VLOOKUP(Vertailu[[#This Row],[Y-tunnus]],'1.2 Ohjaus-laskentataulu'!A:AG,COLUMN('1.2 Ohjaus-laskentataulu'!Z:Z),FALSE),0)</f>
        <v>798308</v>
      </c>
      <c r="G104" s="20">
        <f>IFERROR(Vertailu[[#This Row],[Simuloitu rahoitus pl. hark. kor. ilman alv, €]]-Vertailu[[#This Row],[2019 rahoitus pl. hark. kor. ilman alv, €]],0)</f>
        <v>79635</v>
      </c>
      <c r="H104" s="37">
        <f>IFERROR(Vertailu[[#This Row],[Muutos, € 1]]/Vertailu[[#This Row],[2019 rahoitus pl. hark. kor. ilman alv, €]],0)</f>
        <v>0.11080839269041692</v>
      </c>
      <c r="I104" s="132">
        <f>IFERROR(VLOOKUP(Vertailu[[#This Row],[Y-tunnus]],'3.2 Suoritepäätös 2019'!$A:$S,COLUMN('3.2 Suoritepäätös 2019'!Q:Q),FALSE),0)</f>
        <v>718673</v>
      </c>
      <c r="J104" s="134">
        <f>IFERROR(VLOOKUP(Vertailu[[#This Row],[Y-tunnus]],'1.2 Ohjaus-laskentataulu'!A:AG,COLUMN('1.2 Ohjaus-laskentataulu'!AE:AE),FALSE),0)</f>
        <v>798308</v>
      </c>
      <c r="K104" s="20">
        <f>IFERROR(Vertailu[[#This Row],[Simuloitu rahoitus sis. hark. kor. ilman alv, €]]-Vertailu[[#This Row],[2019 rahoitus sis. hark. kor. ilman alv, €]],0)</f>
        <v>79635</v>
      </c>
      <c r="L104" s="18">
        <f>IFERROR(Vertailu[[#This Row],[Muutos, € 2]]/Vertailu[[#This Row],[2019 rahoitus sis. hark. kor. ilman alv, €]],0)</f>
        <v>0.11080839269041692</v>
      </c>
      <c r="M104" s="134">
        <f>IFERROR(VLOOKUP(Vertailu[[#This Row],[Y-tunnus]],'3.2 Suoritepäätös 2019'!$A:$S,COLUMN('3.2 Suoritepäätös 2019'!Q:Q),FALSE)+VLOOKUP(Vertailu[[#This Row],[Y-tunnus]],'3.2 Suoritepäätös 2019'!$A:$S,COLUMN('3.2 Suoritepäätös 2019'!R:R),FALSE),0)</f>
        <v>756274</v>
      </c>
      <c r="N104" s="132">
        <f>IFERROR(VLOOKUP(Vertailu[[#This Row],[Y-tunnus]],'1.2 Ohjaus-laskentataulu'!A:AG,COLUMN('1.2 Ohjaus-laskentataulu'!AG:AG),FALSE),0)</f>
        <v>827304.1</v>
      </c>
      <c r="O104" s="142">
        <f>IFERROR(Vertailu[[#This Row],[Simuloitu rahoitus sis. hark. kor. + alv, €]]-Vertailu[[#This Row],[2019 rahoitus sis. hark. kor. + alv, €]],0)</f>
        <v>71030.099999999977</v>
      </c>
      <c r="P104" s="37">
        <f>IFERROR(Vertailu[[#This Row],[Muutos, € 3]]/Vertailu[[#This Row],[2019 rahoitus sis. hark. kor. + alv, €]],0)</f>
        <v>9.3921118536403447E-2</v>
      </c>
    </row>
    <row r="105" spans="1:16" x14ac:dyDescent="0.25">
      <c r="A105" s="24" t="s">
        <v>303</v>
      </c>
      <c r="B105" s="143" t="s">
        <v>109</v>
      </c>
      <c r="C105" s="143" t="s">
        <v>244</v>
      </c>
      <c r="D105" s="144" t="s">
        <v>411</v>
      </c>
      <c r="E105" s="20">
        <f>IFERROR(VLOOKUP(Vertailu[[#This Row],[Y-tunnus]],'3.2 Suoritepäätös 2019'!$A:$S,COLUMN('3.2 Suoritepäätös 2019'!Q:Q),FALSE)-VLOOKUP(Vertailu[[#This Row],[Y-tunnus]],'3.2 Suoritepäätös 2019'!$A:$S,COLUMN('3.2 Suoritepäätös 2019'!L:L),FALSE),0)</f>
        <v>9487084</v>
      </c>
      <c r="F105" s="20">
        <f>IFERROR(VLOOKUP(Vertailu[[#This Row],[Y-tunnus]],'1.2 Ohjaus-laskentataulu'!A:AG,COLUMN('1.2 Ohjaus-laskentataulu'!Z:Z),FALSE),0)</f>
        <v>9179961</v>
      </c>
      <c r="G105" s="20">
        <f>IFERROR(Vertailu[[#This Row],[Simuloitu rahoitus pl. hark. kor. ilman alv, €]]-Vertailu[[#This Row],[2019 rahoitus pl. hark. kor. ilman alv, €]],0)</f>
        <v>-307123</v>
      </c>
      <c r="H105" s="37">
        <f>IFERROR(Vertailu[[#This Row],[Muutos, € 1]]/Vertailu[[#This Row],[2019 rahoitus pl. hark. kor. ilman alv, €]],0)</f>
        <v>-3.2372750151679903E-2</v>
      </c>
      <c r="I105" s="132">
        <f>IFERROR(VLOOKUP(Vertailu[[#This Row],[Y-tunnus]],'3.2 Suoritepäätös 2019'!$A:$S,COLUMN('3.2 Suoritepäätös 2019'!Q:Q),FALSE),0)</f>
        <v>9487084</v>
      </c>
      <c r="J105" s="134">
        <f>IFERROR(VLOOKUP(Vertailu[[#This Row],[Y-tunnus]],'1.2 Ohjaus-laskentataulu'!A:AG,COLUMN('1.2 Ohjaus-laskentataulu'!AE:AE),FALSE),0)</f>
        <v>9179961</v>
      </c>
      <c r="K105" s="20">
        <f>IFERROR(Vertailu[[#This Row],[Simuloitu rahoitus sis. hark. kor. ilman alv, €]]-Vertailu[[#This Row],[2019 rahoitus sis. hark. kor. ilman alv, €]],0)</f>
        <v>-307123</v>
      </c>
      <c r="L105" s="18">
        <f>IFERROR(Vertailu[[#This Row],[Muutos, € 2]]/Vertailu[[#This Row],[2019 rahoitus sis. hark. kor. ilman alv, €]],0)</f>
        <v>-3.2372750151679903E-2</v>
      </c>
      <c r="M105" s="134">
        <f>IFERROR(VLOOKUP(Vertailu[[#This Row],[Y-tunnus]],'3.2 Suoritepäätös 2019'!$A:$S,COLUMN('3.2 Suoritepäätös 2019'!Q:Q),FALSE)+VLOOKUP(Vertailu[[#This Row],[Y-tunnus]],'3.2 Suoritepäätös 2019'!$A:$S,COLUMN('3.2 Suoritepäätös 2019'!R:R),FALSE),0)</f>
        <v>9487084</v>
      </c>
      <c r="N105" s="132">
        <f>IFERROR(VLOOKUP(Vertailu[[#This Row],[Y-tunnus]],'1.2 Ohjaus-laskentataulu'!A:AG,COLUMN('1.2 Ohjaus-laskentataulu'!AG:AG),FALSE),0)</f>
        <v>9179961</v>
      </c>
      <c r="O105" s="142">
        <f>IFERROR(Vertailu[[#This Row],[Simuloitu rahoitus sis. hark. kor. + alv, €]]-Vertailu[[#This Row],[2019 rahoitus sis. hark. kor. + alv, €]],0)</f>
        <v>-307123</v>
      </c>
      <c r="P105" s="37">
        <f>IFERROR(Vertailu[[#This Row],[Muutos, € 3]]/Vertailu[[#This Row],[2019 rahoitus sis. hark. kor. + alv, €]],0)</f>
        <v>-3.2372750151679903E-2</v>
      </c>
    </row>
    <row r="106" spans="1:16" x14ac:dyDescent="0.25">
      <c r="A106" s="24" t="s">
        <v>302</v>
      </c>
      <c r="B106" s="143" t="s">
        <v>110</v>
      </c>
      <c r="C106" s="143" t="s">
        <v>244</v>
      </c>
      <c r="D106" s="144" t="s">
        <v>412</v>
      </c>
      <c r="E106" s="20">
        <f>IFERROR(VLOOKUP(Vertailu[[#This Row],[Y-tunnus]],'3.2 Suoritepäätös 2019'!$A:$S,COLUMN('3.2 Suoritepäätös 2019'!Q:Q),FALSE)-VLOOKUP(Vertailu[[#This Row],[Y-tunnus]],'3.2 Suoritepäätös 2019'!$A:$S,COLUMN('3.2 Suoritepäätös 2019'!L:L),FALSE),0)</f>
        <v>1219750</v>
      </c>
      <c r="F106" s="20">
        <f>IFERROR(VLOOKUP(Vertailu[[#This Row],[Y-tunnus]],'1.2 Ohjaus-laskentataulu'!A:AG,COLUMN('1.2 Ohjaus-laskentataulu'!Z:Z),FALSE),0)</f>
        <v>1264233</v>
      </c>
      <c r="G106" s="20">
        <f>IFERROR(Vertailu[[#This Row],[Simuloitu rahoitus pl. hark. kor. ilman alv, €]]-Vertailu[[#This Row],[2019 rahoitus pl. hark. kor. ilman alv, €]],0)</f>
        <v>44483</v>
      </c>
      <c r="H106" s="37">
        <f>IFERROR(Vertailu[[#This Row],[Muutos, € 1]]/Vertailu[[#This Row],[2019 rahoitus pl. hark. kor. ilman alv, €]],0)</f>
        <v>3.6468948555031772E-2</v>
      </c>
      <c r="I106" s="132">
        <f>IFERROR(VLOOKUP(Vertailu[[#This Row],[Y-tunnus]],'3.2 Suoritepäätös 2019'!$A:$S,COLUMN('3.2 Suoritepäätös 2019'!Q:Q),FALSE),0)</f>
        <v>1219750</v>
      </c>
      <c r="J106" s="134">
        <f>IFERROR(VLOOKUP(Vertailu[[#This Row],[Y-tunnus]],'1.2 Ohjaus-laskentataulu'!A:AG,COLUMN('1.2 Ohjaus-laskentataulu'!AE:AE),FALSE),0)</f>
        <v>1264233</v>
      </c>
      <c r="K106" s="20">
        <f>IFERROR(Vertailu[[#This Row],[Simuloitu rahoitus sis. hark. kor. ilman alv, €]]-Vertailu[[#This Row],[2019 rahoitus sis. hark. kor. ilman alv, €]],0)</f>
        <v>44483</v>
      </c>
      <c r="L106" s="18">
        <f>IFERROR(Vertailu[[#This Row],[Muutos, € 2]]/Vertailu[[#This Row],[2019 rahoitus sis. hark. kor. ilman alv, €]],0)</f>
        <v>3.6468948555031772E-2</v>
      </c>
      <c r="M106" s="134">
        <f>IFERROR(VLOOKUP(Vertailu[[#This Row],[Y-tunnus]],'3.2 Suoritepäätös 2019'!$A:$S,COLUMN('3.2 Suoritepäätös 2019'!Q:Q),FALSE)+VLOOKUP(Vertailu[[#This Row],[Y-tunnus]],'3.2 Suoritepäätös 2019'!$A:$S,COLUMN('3.2 Suoritepäätös 2019'!R:R),FALSE),0)</f>
        <v>1283700</v>
      </c>
      <c r="N106" s="132">
        <f>IFERROR(VLOOKUP(Vertailu[[#This Row],[Y-tunnus]],'1.2 Ohjaus-laskentataulu'!A:AG,COLUMN('1.2 Ohjaus-laskentataulu'!AG:AG),FALSE),0)</f>
        <v>1312507.06</v>
      </c>
      <c r="O106" s="142">
        <f>IFERROR(Vertailu[[#This Row],[Simuloitu rahoitus sis. hark. kor. + alv, €]]-Vertailu[[#This Row],[2019 rahoitus sis. hark. kor. + alv, €]],0)</f>
        <v>28807.060000000056</v>
      </c>
      <c r="P106" s="37">
        <f>IFERROR(Vertailu[[#This Row],[Muutos, € 3]]/Vertailu[[#This Row],[2019 rahoitus sis. hark. kor. + alv, €]],0)</f>
        <v>2.2440648126509352E-2</v>
      </c>
    </row>
    <row r="107" spans="1:16" x14ac:dyDescent="0.25">
      <c r="A107" s="24" t="s">
        <v>301</v>
      </c>
      <c r="B107" s="143" t="s">
        <v>111</v>
      </c>
      <c r="C107" s="143" t="s">
        <v>252</v>
      </c>
      <c r="D107" s="144" t="s">
        <v>411</v>
      </c>
      <c r="E107" s="20">
        <f>IFERROR(VLOOKUP(Vertailu[[#This Row],[Y-tunnus]],'3.2 Suoritepäätös 2019'!$A:$S,COLUMN('3.2 Suoritepäätös 2019'!Q:Q),FALSE)-VLOOKUP(Vertailu[[#This Row],[Y-tunnus]],'3.2 Suoritepäätös 2019'!$A:$S,COLUMN('3.2 Suoritepäätös 2019'!L:L),FALSE),0)</f>
        <v>14438245</v>
      </c>
      <c r="F107" s="20">
        <f>IFERROR(VLOOKUP(Vertailu[[#This Row],[Y-tunnus]],'1.2 Ohjaus-laskentataulu'!A:AG,COLUMN('1.2 Ohjaus-laskentataulu'!Z:Z),FALSE),0)</f>
        <v>14781709</v>
      </c>
      <c r="G107" s="20">
        <f>IFERROR(Vertailu[[#This Row],[Simuloitu rahoitus pl. hark. kor. ilman alv, €]]-Vertailu[[#This Row],[2019 rahoitus pl. hark. kor. ilman alv, €]],0)</f>
        <v>343464</v>
      </c>
      <c r="H107" s="37">
        <f>IFERROR(Vertailu[[#This Row],[Muutos, € 1]]/Vertailu[[#This Row],[2019 rahoitus pl. hark. kor. ilman alv, €]],0)</f>
        <v>2.3788486758605357E-2</v>
      </c>
      <c r="I107" s="132">
        <f>IFERROR(VLOOKUP(Vertailu[[#This Row],[Y-tunnus]],'3.2 Suoritepäätös 2019'!$A:$S,COLUMN('3.2 Suoritepäätös 2019'!Q:Q),FALSE),0)</f>
        <v>14438245</v>
      </c>
      <c r="J107" s="134">
        <f>IFERROR(VLOOKUP(Vertailu[[#This Row],[Y-tunnus]],'1.2 Ohjaus-laskentataulu'!A:AG,COLUMN('1.2 Ohjaus-laskentataulu'!AE:AE),FALSE),0)</f>
        <v>14781709</v>
      </c>
      <c r="K107" s="20">
        <f>IFERROR(Vertailu[[#This Row],[Simuloitu rahoitus sis. hark. kor. ilman alv, €]]-Vertailu[[#This Row],[2019 rahoitus sis. hark. kor. ilman alv, €]],0)</f>
        <v>343464</v>
      </c>
      <c r="L107" s="18">
        <f>IFERROR(Vertailu[[#This Row],[Muutos, € 2]]/Vertailu[[#This Row],[2019 rahoitus sis. hark. kor. ilman alv, €]],0)</f>
        <v>2.3788486758605357E-2</v>
      </c>
      <c r="M107" s="134">
        <f>IFERROR(VLOOKUP(Vertailu[[#This Row],[Y-tunnus]],'3.2 Suoritepäätös 2019'!$A:$S,COLUMN('3.2 Suoritepäätös 2019'!Q:Q),FALSE)+VLOOKUP(Vertailu[[#This Row],[Y-tunnus]],'3.2 Suoritepäätös 2019'!$A:$S,COLUMN('3.2 Suoritepäätös 2019'!R:R),FALSE),0)</f>
        <v>14438245</v>
      </c>
      <c r="N107" s="132">
        <f>IFERROR(VLOOKUP(Vertailu[[#This Row],[Y-tunnus]],'1.2 Ohjaus-laskentataulu'!A:AG,COLUMN('1.2 Ohjaus-laskentataulu'!AG:AG),FALSE),0)</f>
        <v>14781709</v>
      </c>
      <c r="O107" s="142">
        <f>IFERROR(Vertailu[[#This Row],[Simuloitu rahoitus sis. hark. kor. + alv, €]]-Vertailu[[#This Row],[2019 rahoitus sis. hark. kor. + alv, €]],0)</f>
        <v>343464</v>
      </c>
      <c r="P107" s="37">
        <f>IFERROR(Vertailu[[#This Row],[Muutos, € 3]]/Vertailu[[#This Row],[2019 rahoitus sis. hark. kor. + alv, €]],0)</f>
        <v>2.3788486758605357E-2</v>
      </c>
    </row>
    <row r="108" spans="1:16" x14ac:dyDescent="0.25">
      <c r="A108" s="24" t="s">
        <v>300</v>
      </c>
      <c r="B108" s="143" t="s">
        <v>112</v>
      </c>
      <c r="C108" s="143" t="s">
        <v>236</v>
      </c>
      <c r="D108" s="144" t="s">
        <v>412</v>
      </c>
      <c r="E108" s="20">
        <f>IFERROR(VLOOKUP(Vertailu[[#This Row],[Y-tunnus]],'3.2 Suoritepäätös 2019'!$A:$S,COLUMN('3.2 Suoritepäätös 2019'!Q:Q),FALSE)-VLOOKUP(Vertailu[[#This Row],[Y-tunnus]],'3.2 Suoritepäätös 2019'!$A:$S,COLUMN('3.2 Suoritepäätös 2019'!L:L),FALSE),0)</f>
        <v>479380</v>
      </c>
      <c r="F108" s="20">
        <f>IFERROR(VLOOKUP(Vertailu[[#This Row],[Y-tunnus]],'1.2 Ohjaus-laskentataulu'!A:AG,COLUMN('1.2 Ohjaus-laskentataulu'!Z:Z),FALSE),0)</f>
        <v>634596</v>
      </c>
      <c r="G108" s="20">
        <f>IFERROR(Vertailu[[#This Row],[Simuloitu rahoitus pl. hark. kor. ilman alv, €]]-Vertailu[[#This Row],[2019 rahoitus pl. hark. kor. ilman alv, €]],0)</f>
        <v>155216</v>
      </c>
      <c r="H108" s="37">
        <f>IFERROR(Vertailu[[#This Row],[Muutos, € 1]]/Vertailu[[#This Row],[2019 rahoitus pl. hark. kor. ilman alv, €]],0)</f>
        <v>0.32378488881471901</v>
      </c>
      <c r="I108" s="132">
        <f>IFERROR(VLOOKUP(Vertailu[[#This Row],[Y-tunnus]],'3.2 Suoritepäätös 2019'!$A:$S,COLUMN('3.2 Suoritepäätös 2019'!Q:Q),FALSE),0)</f>
        <v>579380</v>
      </c>
      <c r="J108" s="134">
        <f>IFERROR(VLOOKUP(Vertailu[[#This Row],[Y-tunnus]],'1.2 Ohjaus-laskentataulu'!A:AG,COLUMN('1.2 Ohjaus-laskentataulu'!AE:AE),FALSE),0)</f>
        <v>634596</v>
      </c>
      <c r="K108" s="20">
        <f>IFERROR(Vertailu[[#This Row],[Simuloitu rahoitus sis. hark. kor. ilman alv, €]]-Vertailu[[#This Row],[2019 rahoitus sis. hark. kor. ilman alv, €]],0)</f>
        <v>55216</v>
      </c>
      <c r="L108" s="18">
        <f>IFERROR(Vertailu[[#This Row],[Muutos, € 2]]/Vertailu[[#This Row],[2019 rahoitus sis. hark. kor. ilman alv, €]],0)</f>
        <v>9.5301874417480753E-2</v>
      </c>
      <c r="M108" s="134">
        <f>IFERROR(VLOOKUP(Vertailu[[#This Row],[Y-tunnus]],'3.2 Suoritepäätös 2019'!$A:$S,COLUMN('3.2 Suoritepäätös 2019'!Q:Q),FALSE)+VLOOKUP(Vertailu[[#This Row],[Y-tunnus]],'3.2 Suoritepäätös 2019'!$A:$S,COLUMN('3.2 Suoritepäätös 2019'!R:R),FALSE),0)</f>
        <v>611324</v>
      </c>
      <c r="N108" s="132">
        <f>IFERROR(VLOOKUP(Vertailu[[#This Row],[Y-tunnus]],'1.2 Ohjaus-laskentataulu'!A:AG,COLUMN('1.2 Ohjaus-laskentataulu'!AG:AG),FALSE),0)</f>
        <v>790091.2</v>
      </c>
      <c r="O108" s="142">
        <f>IFERROR(Vertailu[[#This Row],[Simuloitu rahoitus sis. hark. kor. + alv, €]]-Vertailu[[#This Row],[2019 rahoitus sis. hark. kor. + alv, €]],0)</f>
        <v>178767.19999999995</v>
      </c>
      <c r="P108" s="37">
        <f>IFERROR(Vertailu[[#This Row],[Muutos, € 3]]/Vertailu[[#This Row],[2019 rahoitus sis. hark. kor. + alv, €]],0)</f>
        <v>0.29242627477409683</v>
      </c>
    </row>
    <row r="109" spans="1:16" x14ac:dyDescent="0.25">
      <c r="A109" s="24" t="s">
        <v>299</v>
      </c>
      <c r="B109" s="143" t="s">
        <v>114</v>
      </c>
      <c r="C109" s="143" t="s">
        <v>244</v>
      </c>
      <c r="D109" s="144" t="s">
        <v>412</v>
      </c>
      <c r="E109" s="20">
        <f>IFERROR(VLOOKUP(Vertailu[[#This Row],[Y-tunnus]],'3.2 Suoritepäätös 2019'!$A:$S,COLUMN('3.2 Suoritepäätös 2019'!Q:Q),FALSE)-VLOOKUP(Vertailu[[#This Row],[Y-tunnus]],'3.2 Suoritepäätös 2019'!$A:$S,COLUMN('3.2 Suoritepäätös 2019'!L:L),FALSE),0)</f>
        <v>236476</v>
      </c>
      <c r="F109" s="20">
        <f>IFERROR(VLOOKUP(Vertailu[[#This Row],[Y-tunnus]],'1.2 Ohjaus-laskentataulu'!A:AG,COLUMN('1.2 Ohjaus-laskentataulu'!Z:Z),FALSE),0)</f>
        <v>277138</v>
      </c>
      <c r="G109" s="20">
        <f>IFERROR(Vertailu[[#This Row],[Simuloitu rahoitus pl. hark. kor. ilman alv, €]]-Vertailu[[#This Row],[2019 rahoitus pl. hark. kor. ilman alv, €]],0)</f>
        <v>40662</v>
      </c>
      <c r="H109" s="37">
        <f>IFERROR(Vertailu[[#This Row],[Muutos, € 1]]/Vertailu[[#This Row],[2019 rahoitus pl. hark. kor. ilman alv, €]],0)</f>
        <v>0.17194979617381892</v>
      </c>
      <c r="I109" s="132">
        <f>IFERROR(VLOOKUP(Vertailu[[#This Row],[Y-tunnus]],'3.2 Suoritepäätös 2019'!$A:$S,COLUMN('3.2 Suoritepäätös 2019'!Q:Q),FALSE),0)</f>
        <v>236476</v>
      </c>
      <c r="J109" s="134">
        <f>IFERROR(VLOOKUP(Vertailu[[#This Row],[Y-tunnus]],'1.2 Ohjaus-laskentataulu'!A:AG,COLUMN('1.2 Ohjaus-laskentataulu'!AE:AE),FALSE),0)</f>
        <v>277138</v>
      </c>
      <c r="K109" s="20">
        <f>IFERROR(Vertailu[[#This Row],[Simuloitu rahoitus sis. hark. kor. ilman alv, €]]-Vertailu[[#This Row],[2019 rahoitus sis. hark. kor. ilman alv, €]],0)</f>
        <v>40662</v>
      </c>
      <c r="L109" s="18">
        <f>IFERROR(Vertailu[[#This Row],[Muutos, € 2]]/Vertailu[[#This Row],[2019 rahoitus sis. hark. kor. ilman alv, €]],0)</f>
        <v>0.17194979617381892</v>
      </c>
      <c r="M109" s="134">
        <f>IFERROR(VLOOKUP(Vertailu[[#This Row],[Y-tunnus]],'3.2 Suoritepäätös 2019'!$A:$S,COLUMN('3.2 Suoritepäätös 2019'!Q:Q),FALSE)+VLOOKUP(Vertailu[[#This Row],[Y-tunnus]],'3.2 Suoritepäätös 2019'!$A:$S,COLUMN('3.2 Suoritepäätös 2019'!R:R),FALSE),0)</f>
        <v>249147</v>
      </c>
      <c r="N109" s="132">
        <f>IFERROR(VLOOKUP(Vertailu[[#This Row],[Y-tunnus]],'1.2 Ohjaus-laskentataulu'!A:AG,COLUMN('1.2 Ohjaus-laskentataulu'!AG:AG),FALSE),0)</f>
        <v>284864.40999999997</v>
      </c>
      <c r="O109" s="142">
        <f>IFERROR(Vertailu[[#This Row],[Simuloitu rahoitus sis. hark. kor. + alv, €]]-Vertailu[[#This Row],[2019 rahoitus sis. hark. kor. + alv, €]],0)</f>
        <v>35717.409999999974</v>
      </c>
      <c r="P109" s="37">
        <f>IFERROR(Vertailu[[#This Row],[Muutos, € 3]]/Vertailu[[#This Row],[2019 rahoitus sis. hark. kor. + alv, €]],0)</f>
        <v>0.14335878015789866</v>
      </c>
    </row>
    <row r="110" spans="1:16" x14ac:dyDescent="0.25">
      <c r="A110" s="24" t="s">
        <v>296</v>
      </c>
      <c r="B110" s="143" t="s">
        <v>115</v>
      </c>
      <c r="C110" s="143" t="s">
        <v>294</v>
      </c>
      <c r="D110" s="144" t="s">
        <v>412</v>
      </c>
      <c r="E110" s="20">
        <f>IFERROR(VLOOKUP(Vertailu[[#This Row],[Y-tunnus]],'3.2 Suoritepäätös 2019'!$A:$S,COLUMN('3.2 Suoritepäätös 2019'!Q:Q),FALSE)-VLOOKUP(Vertailu[[#This Row],[Y-tunnus]],'3.2 Suoritepäätös 2019'!$A:$S,COLUMN('3.2 Suoritepäätös 2019'!L:L),FALSE),0)</f>
        <v>460663</v>
      </c>
      <c r="F110" s="20">
        <f>IFERROR(VLOOKUP(Vertailu[[#This Row],[Y-tunnus]],'1.2 Ohjaus-laskentataulu'!A:AG,COLUMN('1.2 Ohjaus-laskentataulu'!Z:Z),FALSE),0)</f>
        <v>426259</v>
      </c>
      <c r="G110" s="20">
        <f>IFERROR(Vertailu[[#This Row],[Simuloitu rahoitus pl. hark. kor. ilman alv, €]]-Vertailu[[#This Row],[2019 rahoitus pl. hark. kor. ilman alv, €]],0)</f>
        <v>-34404</v>
      </c>
      <c r="H110" s="37">
        <f>IFERROR(Vertailu[[#This Row],[Muutos, € 1]]/Vertailu[[#This Row],[2019 rahoitus pl. hark. kor. ilman alv, €]],0)</f>
        <v>-7.4683662460410319E-2</v>
      </c>
      <c r="I110" s="132">
        <f>IFERROR(VLOOKUP(Vertailu[[#This Row],[Y-tunnus]],'3.2 Suoritepäätös 2019'!$A:$S,COLUMN('3.2 Suoritepäätös 2019'!Q:Q),FALSE),0)</f>
        <v>460663</v>
      </c>
      <c r="J110" s="134">
        <f>IFERROR(VLOOKUP(Vertailu[[#This Row],[Y-tunnus]],'1.2 Ohjaus-laskentataulu'!A:AG,COLUMN('1.2 Ohjaus-laskentataulu'!AE:AE),FALSE),0)</f>
        <v>426259</v>
      </c>
      <c r="K110" s="20">
        <f>IFERROR(Vertailu[[#This Row],[Simuloitu rahoitus sis. hark. kor. ilman alv, €]]-Vertailu[[#This Row],[2019 rahoitus sis. hark. kor. ilman alv, €]],0)</f>
        <v>-34404</v>
      </c>
      <c r="L110" s="18">
        <f>IFERROR(Vertailu[[#This Row],[Muutos, € 2]]/Vertailu[[#This Row],[2019 rahoitus sis. hark. kor. ilman alv, €]],0)</f>
        <v>-7.4683662460410319E-2</v>
      </c>
      <c r="M110" s="134">
        <f>IFERROR(VLOOKUP(Vertailu[[#This Row],[Y-tunnus]],'3.2 Suoritepäätös 2019'!$A:$S,COLUMN('3.2 Suoritepäätös 2019'!Q:Q),FALSE)+VLOOKUP(Vertailu[[#This Row],[Y-tunnus]],'3.2 Suoritepäätös 2019'!$A:$S,COLUMN('3.2 Suoritepäätös 2019'!R:R),FALSE),0)</f>
        <v>484633</v>
      </c>
      <c r="N110" s="132">
        <f>IFERROR(VLOOKUP(Vertailu[[#This Row],[Y-tunnus]],'1.2 Ohjaus-laskentataulu'!A:AG,COLUMN('1.2 Ohjaus-laskentataulu'!AG:AG),FALSE),0)</f>
        <v>452236</v>
      </c>
      <c r="O110" s="142">
        <f>IFERROR(Vertailu[[#This Row],[Simuloitu rahoitus sis. hark. kor. + alv, €]]-Vertailu[[#This Row],[2019 rahoitus sis. hark. kor. + alv, €]],0)</f>
        <v>-32397</v>
      </c>
      <c r="P110" s="37">
        <f>IFERROR(Vertailu[[#This Row],[Muutos, € 3]]/Vertailu[[#This Row],[2019 rahoitus sis. hark. kor. + alv, €]],0)</f>
        <v>-6.6848522490214238E-2</v>
      </c>
    </row>
    <row r="111" spans="1:16" x14ac:dyDescent="0.25">
      <c r="A111" s="24" t="s">
        <v>295</v>
      </c>
      <c r="B111" s="143" t="s">
        <v>116</v>
      </c>
      <c r="C111" s="143" t="s">
        <v>294</v>
      </c>
      <c r="D111" s="144" t="s">
        <v>411</v>
      </c>
      <c r="E111" s="20">
        <f>IFERROR(VLOOKUP(Vertailu[[#This Row],[Y-tunnus]],'3.2 Suoritepäätös 2019'!$A:$S,COLUMN('3.2 Suoritepäätös 2019'!Q:Q),FALSE)-VLOOKUP(Vertailu[[#This Row],[Y-tunnus]],'3.2 Suoritepäätös 2019'!$A:$S,COLUMN('3.2 Suoritepäätös 2019'!L:L),FALSE),0)</f>
        <v>34319969</v>
      </c>
      <c r="F111" s="20">
        <f>IFERROR(VLOOKUP(Vertailu[[#This Row],[Y-tunnus]],'1.2 Ohjaus-laskentataulu'!A:AG,COLUMN('1.2 Ohjaus-laskentataulu'!Z:Z),FALSE),0)</f>
        <v>31513621</v>
      </c>
      <c r="G111" s="20">
        <f>IFERROR(Vertailu[[#This Row],[Simuloitu rahoitus pl. hark. kor. ilman alv, €]]-Vertailu[[#This Row],[2019 rahoitus pl. hark. kor. ilman alv, €]],0)</f>
        <v>-2806348</v>
      </c>
      <c r="H111" s="37">
        <f>IFERROR(Vertailu[[#This Row],[Muutos, € 1]]/Vertailu[[#This Row],[2019 rahoitus pl. hark. kor. ilman alv, €]],0)</f>
        <v>-8.1770120480003927E-2</v>
      </c>
      <c r="I111" s="132">
        <f>IFERROR(VLOOKUP(Vertailu[[#This Row],[Y-tunnus]],'3.2 Suoritepäätös 2019'!$A:$S,COLUMN('3.2 Suoritepäätös 2019'!Q:Q),FALSE),0)</f>
        <v>34409969</v>
      </c>
      <c r="J111" s="134">
        <f>IFERROR(VLOOKUP(Vertailu[[#This Row],[Y-tunnus]],'1.2 Ohjaus-laskentataulu'!A:AG,COLUMN('1.2 Ohjaus-laskentataulu'!AE:AE),FALSE),0)</f>
        <v>31513621</v>
      </c>
      <c r="K111" s="20">
        <f>IFERROR(Vertailu[[#This Row],[Simuloitu rahoitus sis. hark. kor. ilman alv, €]]-Vertailu[[#This Row],[2019 rahoitus sis. hark. kor. ilman alv, €]],0)</f>
        <v>-2896348</v>
      </c>
      <c r="L111" s="18">
        <f>IFERROR(Vertailu[[#This Row],[Muutos, € 2]]/Vertailu[[#This Row],[2019 rahoitus sis. hark. kor. ilman alv, €]],0)</f>
        <v>-8.4171770105343602E-2</v>
      </c>
      <c r="M111" s="134">
        <f>IFERROR(VLOOKUP(Vertailu[[#This Row],[Y-tunnus]],'3.2 Suoritepäätös 2019'!$A:$S,COLUMN('3.2 Suoritepäätös 2019'!Q:Q),FALSE)+VLOOKUP(Vertailu[[#This Row],[Y-tunnus]],'3.2 Suoritepäätös 2019'!$A:$S,COLUMN('3.2 Suoritepäätös 2019'!R:R),FALSE),0)</f>
        <v>34409969</v>
      </c>
      <c r="N111" s="132">
        <f>IFERROR(VLOOKUP(Vertailu[[#This Row],[Y-tunnus]],'1.2 Ohjaus-laskentataulu'!A:AG,COLUMN('1.2 Ohjaus-laskentataulu'!AG:AG),FALSE),0)</f>
        <v>31513621</v>
      </c>
      <c r="O111" s="142">
        <f>IFERROR(Vertailu[[#This Row],[Simuloitu rahoitus sis. hark. kor. + alv, €]]-Vertailu[[#This Row],[2019 rahoitus sis. hark. kor. + alv, €]],0)</f>
        <v>-2896348</v>
      </c>
      <c r="P111" s="37">
        <f>IFERROR(Vertailu[[#This Row],[Muutos, € 3]]/Vertailu[[#This Row],[2019 rahoitus sis. hark. kor. + alv, €]],0)</f>
        <v>-8.4171770105343602E-2</v>
      </c>
    </row>
    <row r="112" spans="1:16" x14ac:dyDescent="0.25">
      <c r="A112" s="24" t="s">
        <v>293</v>
      </c>
      <c r="B112" s="143" t="s">
        <v>117</v>
      </c>
      <c r="C112" s="143" t="s">
        <v>252</v>
      </c>
      <c r="D112" s="144" t="s">
        <v>411</v>
      </c>
      <c r="E112" s="20">
        <f>IFERROR(VLOOKUP(Vertailu[[#This Row],[Y-tunnus]],'3.2 Suoritepäätös 2019'!$A:$S,COLUMN('3.2 Suoritepäätös 2019'!Q:Q),FALSE)-VLOOKUP(Vertailu[[#This Row],[Y-tunnus]],'3.2 Suoritepäätös 2019'!$A:$S,COLUMN('3.2 Suoritepäätös 2019'!L:L),FALSE),0)</f>
        <v>19038478</v>
      </c>
      <c r="F112" s="20">
        <f>IFERROR(VLOOKUP(Vertailu[[#This Row],[Y-tunnus]],'1.2 Ohjaus-laskentataulu'!A:AG,COLUMN('1.2 Ohjaus-laskentataulu'!Z:Z),FALSE),0)</f>
        <v>18161539</v>
      </c>
      <c r="G112" s="20">
        <f>IFERROR(Vertailu[[#This Row],[Simuloitu rahoitus pl. hark. kor. ilman alv, €]]-Vertailu[[#This Row],[2019 rahoitus pl. hark. kor. ilman alv, €]],0)</f>
        <v>-876939</v>
      </c>
      <c r="H112" s="37">
        <f>IFERROR(Vertailu[[#This Row],[Muutos, € 1]]/Vertailu[[#This Row],[2019 rahoitus pl. hark. kor. ilman alv, €]],0)</f>
        <v>-4.6061402597413509E-2</v>
      </c>
      <c r="I112" s="132">
        <f>IFERROR(VLOOKUP(Vertailu[[#This Row],[Y-tunnus]],'3.2 Suoritepäätös 2019'!$A:$S,COLUMN('3.2 Suoritepäätös 2019'!Q:Q),FALSE),0)</f>
        <v>19038478</v>
      </c>
      <c r="J112" s="134">
        <f>IFERROR(VLOOKUP(Vertailu[[#This Row],[Y-tunnus]],'1.2 Ohjaus-laskentataulu'!A:AG,COLUMN('1.2 Ohjaus-laskentataulu'!AE:AE),FALSE),0)</f>
        <v>18161539</v>
      </c>
      <c r="K112" s="20">
        <f>IFERROR(Vertailu[[#This Row],[Simuloitu rahoitus sis. hark. kor. ilman alv, €]]-Vertailu[[#This Row],[2019 rahoitus sis. hark. kor. ilman alv, €]],0)</f>
        <v>-876939</v>
      </c>
      <c r="L112" s="18">
        <f>IFERROR(Vertailu[[#This Row],[Muutos, € 2]]/Vertailu[[#This Row],[2019 rahoitus sis. hark. kor. ilman alv, €]],0)</f>
        <v>-4.6061402597413509E-2</v>
      </c>
      <c r="M112" s="134">
        <f>IFERROR(VLOOKUP(Vertailu[[#This Row],[Y-tunnus]],'3.2 Suoritepäätös 2019'!$A:$S,COLUMN('3.2 Suoritepäätös 2019'!Q:Q),FALSE)+VLOOKUP(Vertailu[[#This Row],[Y-tunnus]],'3.2 Suoritepäätös 2019'!$A:$S,COLUMN('3.2 Suoritepäätös 2019'!R:R),FALSE),0)</f>
        <v>19038478</v>
      </c>
      <c r="N112" s="132">
        <f>IFERROR(VLOOKUP(Vertailu[[#This Row],[Y-tunnus]],'1.2 Ohjaus-laskentataulu'!A:AG,COLUMN('1.2 Ohjaus-laskentataulu'!AG:AG),FALSE),0)</f>
        <v>18161539</v>
      </c>
      <c r="O112" s="142">
        <f>IFERROR(Vertailu[[#This Row],[Simuloitu rahoitus sis. hark. kor. + alv, €]]-Vertailu[[#This Row],[2019 rahoitus sis. hark. kor. + alv, €]],0)</f>
        <v>-876939</v>
      </c>
      <c r="P112" s="37">
        <f>IFERROR(Vertailu[[#This Row],[Muutos, € 3]]/Vertailu[[#This Row],[2019 rahoitus sis. hark. kor. + alv, €]],0)</f>
        <v>-4.6061402597413509E-2</v>
      </c>
    </row>
    <row r="113" spans="1:16" x14ac:dyDescent="0.25">
      <c r="A113" s="24" t="s">
        <v>292</v>
      </c>
      <c r="B113" s="143" t="s">
        <v>213</v>
      </c>
      <c r="C113" s="143" t="s">
        <v>236</v>
      </c>
      <c r="D113" s="144" t="s">
        <v>412</v>
      </c>
      <c r="E113" s="20">
        <f>IFERROR(VLOOKUP(Vertailu[[#This Row],[Y-tunnus]],'3.2 Suoritepäätös 2019'!$A:$S,COLUMN('3.2 Suoritepäätös 2019'!Q:Q),FALSE)-VLOOKUP(Vertailu[[#This Row],[Y-tunnus]],'3.2 Suoritepäätös 2019'!$A:$S,COLUMN('3.2 Suoritepäätös 2019'!L:L),FALSE),0)</f>
        <v>0</v>
      </c>
      <c r="F113" s="20">
        <f>IFERROR(VLOOKUP(Vertailu[[#This Row],[Y-tunnus]],'1.2 Ohjaus-laskentataulu'!A:AG,COLUMN('1.2 Ohjaus-laskentataulu'!Z:Z),FALSE),0)</f>
        <v>0</v>
      </c>
      <c r="G113" s="20">
        <f>IFERROR(Vertailu[[#This Row],[Simuloitu rahoitus pl. hark. kor. ilman alv, €]]-Vertailu[[#This Row],[2019 rahoitus pl. hark. kor. ilman alv, €]],0)</f>
        <v>0</v>
      </c>
      <c r="H113" s="37">
        <f>IFERROR(Vertailu[[#This Row],[Muutos, € 1]]/Vertailu[[#This Row],[2019 rahoitus pl. hark. kor. ilman alv, €]],0)</f>
        <v>0</v>
      </c>
      <c r="I113" s="132">
        <f>IFERROR(VLOOKUP(Vertailu[[#This Row],[Y-tunnus]],'3.2 Suoritepäätös 2019'!$A:$S,COLUMN('3.2 Suoritepäätös 2019'!Q:Q),FALSE),0)</f>
        <v>0</v>
      </c>
      <c r="J113" s="134">
        <f>IFERROR(VLOOKUP(Vertailu[[#This Row],[Y-tunnus]],'1.2 Ohjaus-laskentataulu'!A:AG,COLUMN('1.2 Ohjaus-laskentataulu'!AE:AE),FALSE),0)</f>
        <v>0</v>
      </c>
      <c r="K113" s="20">
        <f>IFERROR(Vertailu[[#This Row],[Simuloitu rahoitus sis. hark. kor. ilman alv, €]]-Vertailu[[#This Row],[2019 rahoitus sis. hark. kor. ilman alv, €]],0)</f>
        <v>0</v>
      </c>
      <c r="L113" s="18">
        <f>IFERROR(Vertailu[[#This Row],[Muutos, € 2]]/Vertailu[[#This Row],[2019 rahoitus sis. hark. kor. ilman alv, €]],0)</f>
        <v>0</v>
      </c>
      <c r="M113" s="134">
        <f>IFERROR(VLOOKUP(Vertailu[[#This Row],[Y-tunnus]],'3.2 Suoritepäätös 2019'!$A:$S,COLUMN('3.2 Suoritepäätös 2019'!Q:Q),FALSE)+VLOOKUP(Vertailu[[#This Row],[Y-tunnus]],'3.2 Suoritepäätös 2019'!$A:$S,COLUMN('3.2 Suoritepäätös 2019'!R:R),FALSE),0)</f>
        <v>0</v>
      </c>
      <c r="N113" s="132">
        <f>IFERROR(VLOOKUP(Vertailu[[#This Row],[Y-tunnus]],'1.2 Ohjaus-laskentataulu'!A:AG,COLUMN('1.2 Ohjaus-laskentataulu'!AG:AG),FALSE),0)</f>
        <v>0</v>
      </c>
      <c r="O113" s="142">
        <f>IFERROR(Vertailu[[#This Row],[Simuloitu rahoitus sis. hark. kor. + alv, €]]-Vertailu[[#This Row],[2019 rahoitus sis. hark. kor. + alv, €]],0)</f>
        <v>0</v>
      </c>
      <c r="P113" s="37">
        <f>IFERROR(Vertailu[[#This Row],[Muutos, € 3]]/Vertailu[[#This Row],[2019 rahoitus sis. hark. kor. + alv, €]],0)</f>
        <v>0</v>
      </c>
    </row>
    <row r="114" spans="1:16" x14ac:dyDescent="0.25">
      <c r="A114" s="24" t="s">
        <v>291</v>
      </c>
      <c r="B114" s="143" t="s">
        <v>118</v>
      </c>
      <c r="C114" s="143" t="s">
        <v>247</v>
      </c>
      <c r="D114" s="144" t="s">
        <v>411</v>
      </c>
      <c r="E114" s="20">
        <f>IFERROR(VLOOKUP(Vertailu[[#This Row],[Y-tunnus]],'3.2 Suoritepäätös 2019'!$A:$S,COLUMN('3.2 Suoritepäätös 2019'!Q:Q),FALSE)-VLOOKUP(Vertailu[[#This Row],[Y-tunnus]],'3.2 Suoritepäätös 2019'!$A:$S,COLUMN('3.2 Suoritepäätös 2019'!L:L),FALSE),0)</f>
        <v>32692901</v>
      </c>
      <c r="F114" s="20">
        <f>IFERROR(VLOOKUP(Vertailu[[#This Row],[Y-tunnus]],'1.2 Ohjaus-laskentataulu'!A:AG,COLUMN('1.2 Ohjaus-laskentataulu'!Z:Z),FALSE),0)</f>
        <v>30542843</v>
      </c>
      <c r="G114" s="20">
        <f>IFERROR(Vertailu[[#This Row],[Simuloitu rahoitus pl. hark. kor. ilman alv, €]]-Vertailu[[#This Row],[2019 rahoitus pl. hark. kor. ilman alv, €]],0)</f>
        <v>-2150058</v>
      </c>
      <c r="H114" s="37">
        <f>IFERROR(Vertailu[[#This Row],[Muutos, € 1]]/Vertailu[[#This Row],[2019 rahoitus pl. hark. kor. ilman alv, €]],0)</f>
        <v>-6.5765286476106841E-2</v>
      </c>
      <c r="I114" s="132">
        <f>IFERROR(VLOOKUP(Vertailu[[#This Row],[Y-tunnus]],'3.2 Suoritepäätös 2019'!$A:$S,COLUMN('3.2 Suoritepäätös 2019'!Q:Q),FALSE),0)</f>
        <v>32692901</v>
      </c>
      <c r="J114" s="134">
        <f>IFERROR(VLOOKUP(Vertailu[[#This Row],[Y-tunnus]],'1.2 Ohjaus-laskentataulu'!A:AG,COLUMN('1.2 Ohjaus-laskentataulu'!AE:AE),FALSE),0)</f>
        <v>30542843</v>
      </c>
      <c r="K114" s="20">
        <f>IFERROR(Vertailu[[#This Row],[Simuloitu rahoitus sis. hark. kor. ilman alv, €]]-Vertailu[[#This Row],[2019 rahoitus sis. hark. kor. ilman alv, €]],0)</f>
        <v>-2150058</v>
      </c>
      <c r="L114" s="18">
        <f>IFERROR(Vertailu[[#This Row],[Muutos, € 2]]/Vertailu[[#This Row],[2019 rahoitus sis. hark. kor. ilman alv, €]],0)</f>
        <v>-6.5765286476106841E-2</v>
      </c>
      <c r="M114" s="134">
        <f>IFERROR(VLOOKUP(Vertailu[[#This Row],[Y-tunnus]],'3.2 Suoritepäätös 2019'!$A:$S,COLUMN('3.2 Suoritepäätös 2019'!Q:Q),FALSE)+VLOOKUP(Vertailu[[#This Row],[Y-tunnus]],'3.2 Suoritepäätös 2019'!$A:$S,COLUMN('3.2 Suoritepäätös 2019'!R:R),FALSE),0)</f>
        <v>32692901</v>
      </c>
      <c r="N114" s="132">
        <f>IFERROR(VLOOKUP(Vertailu[[#This Row],[Y-tunnus]],'1.2 Ohjaus-laskentataulu'!A:AG,COLUMN('1.2 Ohjaus-laskentataulu'!AG:AG),FALSE),0)</f>
        <v>30542843</v>
      </c>
      <c r="O114" s="142">
        <f>IFERROR(Vertailu[[#This Row],[Simuloitu rahoitus sis. hark. kor. + alv, €]]-Vertailu[[#This Row],[2019 rahoitus sis. hark. kor. + alv, €]],0)</f>
        <v>-2150058</v>
      </c>
      <c r="P114" s="37">
        <f>IFERROR(Vertailu[[#This Row],[Muutos, € 3]]/Vertailu[[#This Row],[2019 rahoitus sis. hark. kor. + alv, €]],0)</f>
        <v>-6.5765286476106841E-2</v>
      </c>
    </row>
    <row r="115" spans="1:16" x14ac:dyDescent="0.25">
      <c r="A115" s="24" t="s">
        <v>290</v>
      </c>
      <c r="B115" s="143" t="s">
        <v>119</v>
      </c>
      <c r="C115" s="143" t="s">
        <v>285</v>
      </c>
      <c r="D115" s="144" t="s">
        <v>411</v>
      </c>
      <c r="E115" s="20">
        <f>IFERROR(VLOOKUP(Vertailu[[#This Row],[Y-tunnus]],'3.2 Suoritepäätös 2019'!$A:$S,COLUMN('3.2 Suoritepäätös 2019'!Q:Q),FALSE)-VLOOKUP(Vertailu[[#This Row],[Y-tunnus]],'3.2 Suoritepäätös 2019'!$A:$S,COLUMN('3.2 Suoritepäätös 2019'!L:L),FALSE),0)</f>
        <v>19110251</v>
      </c>
      <c r="F115" s="20">
        <f>IFERROR(VLOOKUP(Vertailu[[#This Row],[Y-tunnus]],'1.2 Ohjaus-laskentataulu'!A:AG,COLUMN('1.2 Ohjaus-laskentataulu'!Z:Z),FALSE),0)</f>
        <v>18361040</v>
      </c>
      <c r="G115" s="20">
        <f>IFERROR(Vertailu[[#This Row],[Simuloitu rahoitus pl. hark. kor. ilman alv, €]]-Vertailu[[#This Row],[2019 rahoitus pl. hark. kor. ilman alv, €]],0)</f>
        <v>-749211</v>
      </c>
      <c r="H115" s="37">
        <f>IFERROR(Vertailu[[#This Row],[Muutos, € 1]]/Vertailu[[#This Row],[2019 rahoitus pl. hark. kor. ilman alv, €]],0)</f>
        <v>-3.9204665600676827E-2</v>
      </c>
      <c r="I115" s="132">
        <f>IFERROR(VLOOKUP(Vertailu[[#This Row],[Y-tunnus]],'3.2 Suoritepäätös 2019'!$A:$S,COLUMN('3.2 Suoritepäätös 2019'!Q:Q),FALSE),0)</f>
        <v>19110251</v>
      </c>
      <c r="J115" s="134">
        <f>IFERROR(VLOOKUP(Vertailu[[#This Row],[Y-tunnus]],'1.2 Ohjaus-laskentataulu'!A:AG,COLUMN('1.2 Ohjaus-laskentataulu'!AE:AE),FALSE),0)</f>
        <v>18361040</v>
      </c>
      <c r="K115" s="20">
        <f>IFERROR(Vertailu[[#This Row],[Simuloitu rahoitus sis. hark. kor. ilman alv, €]]-Vertailu[[#This Row],[2019 rahoitus sis. hark. kor. ilman alv, €]],0)</f>
        <v>-749211</v>
      </c>
      <c r="L115" s="18">
        <f>IFERROR(Vertailu[[#This Row],[Muutos, € 2]]/Vertailu[[#This Row],[2019 rahoitus sis. hark. kor. ilman alv, €]],0)</f>
        <v>-3.9204665600676827E-2</v>
      </c>
      <c r="M115" s="134">
        <f>IFERROR(VLOOKUP(Vertailu[[#This Row],[Y-tunnus]],'3.2 Suoritepäätös 2019'!$A:$S,COLUMN('3.2 Suoritepäätös 2019'!Q:Q),FALSE)+VLOOKUP(Vertailu[[#This Row],[Y-tunnus]],'3.2 Suoritepäätös 2019'!$A:$S,COLUMN('3.2 Suoritepäätös 2019'!R:R),FALSE),0)</f>
        <v>19110251</v>
      </c>
      <c r="N115" s="132">
        <f>IFERROR(VLOOKUP(Vertailu[[#This Row],[Y-tunnus]],'1.2 Ohjaus-laskentataulu'!A:AG,COLUMN('1.2 Ohjaus-laskentataulu'!AG:AG),FALSE),0)</f>
        <v>18361040</v>
      </c>
      <c r="O115" s="142">
        <f>IFERROR(Vertailu[[#This Row],[Simuloitu rahoitus sis. hark. kor. + alv, €]]-Vertailu[[#This Row],[2019 rahoitus sis. hark. kor. + alv, €]],0)</f>
        <v>-749211</v>
      </c>
      <c r="P115" s="37">
        <f>IFERROR(Vertailu[[#This Row],[Muutos, € 3]]/Vertailu[[#This Row],[2019 rahoitus sis. hark. kor. + alv, €]],0)</f>
        <v>-3.9204665600676827E-2</v>
      </c>
    </row>
    <row r="116" spans="1:16" x14ac:dyDescent="0.25">
      <c r="A116" s="24" t="s">
        <v>289</v>
      </c>
      <c r="B116" s="143" t="s">
        <v>120</v>
      </c>
      <c r="C116" s="143" t="s">
        <v>240</v>
      </c>
      <c r="D116" s="144" t="s">
        <v>411</v>
      </c>
      <c r="E116" s="20">
        <f>IFERROR(VLOOKUP(Vertailu[[#This Row],[Y-tunnus]],'3.2 Suoritepäätös 2019'!$A:$S,COLUMN('3.2 Suoritepäätös 2019'!Q:Q),FALSE)-VLOOKUP(Vertailu[[#This Row],[Y-tunnus]],'3.2 Suoritepäätös 2019'!$A:$S,COLUMN('3.2 Suoritepäätös 2019'!L:L),FALSE),0)</f>
        <v>55126649</v>
      </c>
      <c r="F116" s="20">
        <f>IFERROR(VLOOKUP(Vertailu[[#This Row],[Y-tunnus]],'1.2 Ohjaus-laskentataulu'!A:AG,COLUMN('1.2 Ohjaus-laskentataulu'!Z:Z),FALSE),0)</f>
        <v>54161879</v>
      </c>
      <c r="G116" s="20">
        <f>IFERROR(Vertailu[[#This Row],[Simuloitu rahoitus pl. hark. kor. ilman alv, €]]-Vertailu[[#This Row],[2019 rahoitus pl. hark. kor. ilman alv, €]],0)</f>
        <v>-964770</v>
      </c>
      <c r="H116" s="37">
        <f>IFERROR(Vertailu[[#This Row],[Muutos, € 1]]/Vertailu[[#This Row],[2019 rahoitus pl. hark. kor. ilman alv, €]],0)</f>
        <v>-1.7500973077467487E-2</v>
      </c>
      <c r="I116" s="132">
        <f>IFERROR(VLOOKUP(Vertailu[[#This Row],[Y-tunnus]],'3.2 Suoritepäätös 2019'!$A:$S,COLUMN('3.2 Suoritepäätös 2019'!Q:Q),FALSE),0)</f>
        <v>55216649</v>
      </c>
      <c r="J116" s="134">
        <f>IFERROR(VLOOKUP(Vertailu[[#This Row],[Y-tunnus]],'1.2 Ohjaus-laskentataulu'!A:AG,COLUMN('1.2 Ohjaus-laskentataulu'!AE:AE),FALSE),0)</f>
        <v>54161879</v>
      </c>
      <c r="K116" s="20">
        <f>IFERROR(Vertailu[[#This Row],[Simuloitu rahoitus sis. hark. kor. ilman alv, €]]-Vertailu[[#This Row],[2019 rahoitus sis. hark. kor. ilman alv, €]],0)</f>
        <v>-1054770</v>
      </c>
      <c r="L116" s="18">
        <f>IFERROR(Vertailu[[#This Row],[Muutos, € 2]]/Vertailu[[#This Row],[2019 rahoitus sis. hark. kor. ilman alv, €]],0)</f>
        <v>-1.9102390657571414E-2</v>
      </c>
      <c r="M116" s="134">
        <f>IFERROR(VLOOKUP(Vertailu[[#This Row],[Y-tunnus]],'3.2 Suoritepäätös 2019'!$A:$S,COLUMN('3.2 Suoritepäätös 2019'!Q:Q),FALSE)+VLOOKUP(Vertailu[[#This Row],[Y-tunnus]],'3.2 Suoritepäätös 2019'!$A:$S,COLUMN('3.2 Suoritepäätös 2019'!R:R),FALSE),0)</f>
        <v>55216649</v>
      </c>
      <c r="N116" s="132">
        <f>IFERROR(VLOOKUP(Vertailu[[#This Row],[Y-tunnus]],'1.2 Ohjaus-laskentataulu'!A:AG,COLUMN('1.2 Ohjaus-laskentataulu'!AG:AG),FALSE),0)</f>
        <v>54161879</v>
      </c>
      <c r="O116" s="142">
        <f>IFERROR(Vertailu[[#This Row],[Simuloitu rahoitus sis. hark. kor. + alv, €]]-Vertailu[[#This Row],[2019 rahoitus sis. hark. kor. + alv, €]],0)</f>
        <v>-1054770</v>
      </c>
      <c r="P116" s="37">
        <f>IFERROR(Vertailu[[#This Row],[Muutos, € 3]]/Vertailu[[#This Row],[2019 rahoitus sis. hark. kor. + alv, €]],0)</f>
        <v>-1.9102390657571414E-2</v>
      </c>
    </row>
    <row r="117" spans="1:16" x14ac:dyDescent="0.25">
      <c r="A117" s="24" t="s">
        <v>288</v>
      </c>
      <c r="B117" s="143" t="s">
        <v>121</v>
      </c>
      <c r="C117" s="143" t="s">
        <v>269</v>
      </c>
      <c r="D117" s="144" t="s">
        <v>411</v>
      </c>
      <c r="E117" s="20">
        <f>IFERROR(VLOOKUP(Vertailu[[#This Row],[Y-tunnus]],'3.2 Suoritepäätös 2019'!$A:$S,COLUMN('3.2 Suoritepäätös 2019'!Q:Q),FALSE)-VLOOKUP(Vertailu[[#This Row],[Y-tunnus]],'3.2 Suoritepäätös 2019'!$A:$S,COLUMN('3.2 Suoritepäätös 2019'!L:L),FALSE),0)</f>
        <v>42482605</v>
      </c>
      <c r="F117" s="20">
        <f>IFERROR(VLOOKUP(Vertailu[[#This Row],[Y-tunnus]],'1.2 Ohjaus-laskentataulu'!A:AG,COLUMN('1.2 Ohjaus-laskentataulu'!Z:Z),FALSE),0)</f>
        <v>41530096</v>
      </c>
      <c r="G117" s="20">
        <f>IFERROR(Vertailu[[#This Row],[Simuloitu rahoitus pl. hark. kor. ilman alv, €]]-Vertailu[[#This Row],[2019 rahoitus pl. hark. kor. ilman alv, €]],0)</f>
        <v>-952509</v>
      </c>
      <c r="H117" s="37">
        <f>IFERROR(Vertailu[[#This Row],[Muutos, € 1]]/Vertailu[[#This Row],[2019 rahoitus pl. hark. kor. ilman alv, €]],0)</f>
        <v>-2.2421153316751645E-2</v>
      </c>
      <c r="I117" s="132">
        <f>IFERROR(VLOOKUP(Vertailu[[#This Row],[Y-tunnus]],'3.2 Suoritepäätös 2019'!$A:$S,COLUMN('3.2 Suoritepäätös 2019'!Q:Q),FALSE),0)</f>
        <v>42952605</v>
      </c>
      <c r="J117" s="134">
        <f>IFERROR(VLOOKUP(Vertailu[[#This Row],[Y-tunnus]],'1.2 Ohjaus-laskentataulu'!A:AG,COLUMN('1.2 Ohjaus-laskentataulu'!AE:AE),FALSE),0)</f>
        <v>41530096</v>
      </c>
      <c r="K117" s="20">
        <f>IFERROR(Vertailu[[#This Row],[Simuloitu rahoitus sis. hark. kor. ilman alv, €]]-Vertailu[[#This Row],[2019 rahoitus sis. hark. kor. ilman alv, €]],0)</f>
        <v>-1422509</v>
      </c>
      <c r="L117" s="18">
        <f>IFERROR(Vertailu[[#This Row],[Muutos, € 2]]/Vertailu[[#This Row],[2019 rahoitus sis. hark. kor. ilman alv, €]],0)</f>
        <v>-3.3118107737586583E-2</v>
      </c>
      <c r="M117" s="134">
        <f>IFERROR(VLOOKUP(Vertailu[[#This Row],[Y-tunnus]],'3.2 Suoritepäätös 2019'!$A:$S,COLUMN('3.2 Suoritepäätös 2019'!Q:Q),FALSE)+VLOOKUP(Vertailu[[#This Row],[Y-tunnus]],'3.2 Suoritepäätös 2019'!$A:$S,COLUMN('3.2 Suoritepäätös 2019'!R:R),FALSE),0)</f>
        <v>42952605</v>
      </c>
      <c r="N117" s="132">
        <f>IFERROR(VLOOKUP(Vertailu[[#This Row],[Y-tunnus]],'1.2 Ohjaus-laskentataulu'!A:AG,COLUMN('1.2 Ohjaus-laskentataulu'!AG:AG),FALSE),0)</f>
        <v>41530096</v>
      </c>
      <c r="O117" s="142">
        <f>IFERROR(Vertailu[[#This Row],[Simuloitu rahoitus sis. hark. kor. + alv, €]]-Vertailu[[#This Row],[2019 rahoitus sis. hark. kor. + alv, €]],0)</f>
        <v>-1422509</v>
      </c>
      <c r="P117" s="37">
        <f>IFERROR(Vertailu[[#This Row],[Muutos, € 3]]/Vertailu[[#This Row],[2019 rahoitus sis. hark. kor. + alv, €]],0)</f>
        <v>-3.3118107737586583E-2</v>
      </c>
    </row>
    <row r="118" spans="1:16" x14ac:dyDescent="0.25">
      <c r="A118" s="24" t="s">
        <v>287</v>
      </c>
      <c r="B118" s="143" t="s">
        <v>122</v>
      </c>
      <c r="C118" s="143" t="s">
        <v>236</v>
      </c>
      <c r="D118" s="144" t="s">
        <v>412</v>
      </c>
      <c r="E118" s="20">
        <f>IFERROR(VLOOKUP(Vertailu[[#This Row],[Y-tunnus]],'3.2 Suoritepäätös 2019'!$A:$S,COLUMN('3.2 Suoritepäätös 2019'!Q:Q),FALSE)-VLOOKUP(Vertailu[[#This Row],[Y-tunnus]],'3.2 Suoritepäätös 2019'!$A:$S,COLUMN('3.2 Suoritepäätös 2019'!L:L),FALSE),0)</f>
        <v>17219758</v>
      </c>
      <c r="F118" s="20">
        <f>IFERROR(VLOOKUP(Vertailu[[#This Row],[Y-tunnus]],'1.2 Ohjaus-laskentataulu'!A:AG,COLUMN('1.2 Ohjaus-laskentataulu'!Z:Z),FALSE),0)</f>
        <v>15867400</v>
      </c>
      <c r="G118" s="20">
        <f>IFERROR(Vertailu[[#This Row],[Simuloitu rahoitus pl. hark. kor. ilman alv, €]]-Vertailu[[#This Row],[2019 rahoitus pl. hark. kor. ilman alv, €]],0)</f>
        <v>-1352358</v>
      </c>
      <c r="H118" s="37">
        <f>IFERROR(Vertailu[[#This Row],[Muutos, € 1]]/Vertailu[[#This Row],[2019 rahoitus pl. hark. kor. ilman alv, €]],0)</f>
        <v>-7.8535250030807635E-2</v>
      </c>
      <c r="I118" s="132">
        <f>IFERROR(VLOOKUP(Vertailu[[#This Row],[Y-tunnus]],'3.2 Suoritepäätös 2019'!$A:$S,COLUMN('3.2 Suoritepäätös 2019'!Q:Q),FALSE),0)</f>
        <v>17219758</v>
      </c>
      <c r="J118" s="134">
        <f>IFERROR(VLOOKUP(Vertailu[[#This Row],[Y-tunnus]],'1.2 Ohjaus-laskentataulu'!A:AG,COLUMN('1.2 Ohjaus-laskentataulu'!AE:AE),FALSE),0)</f>
        <v>15867400</v>
      </c>
      <c r="K118" s="20">
        <f>IFERROR(Vertailu[[#This Row],[Simuloitu rahoitus sis. hark. kor. ilman alv, €]]-Vertailu[[#This Row],[2019 rahoitus sis. hark. kor. ilman alv, €]],0)</f>
        <v>-1352358</v>
      </c>
      <c r="L118" s="18">
        <f>IFERROR(Vertailu[[#This Row],[Muutos, € 2]]/Vertailu[[#This Row],[2019 rahoitus sis. hark. kor. ilman alv, €]],0)</f>
        <v>-7.8535250030807635E-2</v>
      </c>
      <c r="M118" s="134">
        <f>IFERROR(VLOOKUP(Vertailu[[#This Row],[Y-tunnus]],'3.2 Suoritepäätös 2019'!$A:$S,COLUMN('3.2 Suoritepäätös 2019'!Q:Q),FALSE)+VLOOKUP(Vertailu[[#This Row],[Y-tunnus]],'3.2 Suoritepäätös 2019'!$A:$S,COLUMN('3.2 Suoritepäätös 2019'!R:R),FALSE),0)</f>
        <v>18142956</v>
      </c>
      <c r="N118" s="132">
        <f>IFERROR(VLOOKUP(Vertailu[[#This Row],[Y-tunnus]],'1.2 Ohjaus-laskentataulu'!A:AG,COLUMN('1.2 Ohjaus-laskentataulu'!AG:AG),FALSE),0)</f>
        <v>16287550.32</v>
      </c>
      <c r="O118" s="142">
        <f>IFERROR(Vertailu[[#This Row],[Simuloitu rahoitus sis. hark. kor. + alv, €]]-Vertailu[[#This Row],[2019 rahoitus sis. hark. kor. + alv, €]],0)</f>
        <v>-1855405.6799999997</v>
      </c>
      <c r="P118" s="37">
        <f>IFERROR(Vertailu[[#This Row],[Muutos, € 3]]/Vertailu[[#This Row],[2019 rahoitus sis. hark. kor. + alv, €]],0)</f>
        <v>-0.1022658975747943</v>
      </c>
    </row>
    <row r="119" spans="1:16" x14ac:dyDescent="0.25">
      <c r="A119" s="24" t="s">
        <v>286</v>
      </c>
      <c r="B119" s="143" t="s">
        <v>184</v>
      </c>
      <c r="C119" s="143" t="s">
        <v>285</v>
      </c>
      <c r="D119" s="144" t="s">
        <v>412</v>
      </c>
      <c r="E119" s="20">
        <f>IFERROR(VLOOKUP(Vertailu[[#This Row],[Y-tunnus]],'3.2 Suoritepäätös 2019'!$A:$S,COLUMN('3.2 Suoritepäätös 2019'!Q:Q),FALSE)-VLOOKUP(Vertailu[[#This Row],[Y-tunnus]],'3.2 Suoritepäätös 2019'!$A:$S,COLUMN('3.2 Suoritepäätös 2019'!L:L),FALSE),0)</f>
        <v>427577</v>
      </c>
      <c r="F119" s="20">
        <f>IFERROR(VLOOKUP(Vertailu[[#This Row],[Y-tunnus]],'1.2 Ohjaus-laskentataulu'!A:AG,COLUMN('1.2 Ohjaus-laskentataulu'!Z:Z),FALSE),0)</f>
        <v>245427</v>
      </c>
      <c r="G119" s="20">
        <f>IFERROR(Vertailu[[#This Row],[Simuloitu rahoitus pl. hark. kor. ilman alv, €]]-Vertailu[[#This Row],[2019 rahoitus pl. hark. kor. ilman alv, €]],0)</f>
        <v>-182150</v>
      </c>
      <c r="H119" s="37">
        <f>IFERROR(Vertailu[[#This Row],[Muutos, € 1]]/Vertailu[[#This Row],[2019 rahoitus pl. hark. kor. ilman alv, €]],0)</f>
        <v>-0.42600514059455957</v>
      </c>
      <c r="I119" s="132">
        <f>IFERROR(VLOOKUP(Vertailu[[#This Row],[Y-tunnus]],'3.2 Suoritepäätös 2019'!$A:$S,COLUMN('3.2 Suoritepäätös 2019'!Q:Q),FALSE),0)</f>
        <v>7077577</v>
      </c>
      <c r="J119" s="134">
        <f>IFERROR(VLOOKUP(Vertailu[[#This Row],[Y-tunnus]],'1.2 Ohjaus-laskentataulu'!A:AG,COLUMN('1.2 Ohjaus-laskentataulu'!AE:AE),FALSE),0)</f>
        <v>245427</v>
      </c>
      <c r="K119" s="20">
        <f>IFERROR(Vertailu[[#This Row],[Simuloitu rahoitus sis. hark. kor. ilman alv, €]]-Vertailu[[#This Row],[2019 rahoitus sis. hark. kor. ilman alv, €]],0)</f>
        <v>-6832150</v>
      </c>
      <c r="L119" s="18">
        <f>IFERROR(Vertailu[[#This Row],[Muutos, € 2]]/Vertailu[[#This Row],[2019 rahoitus sis. hark. kor. ilman alv, €]],0)</f>
        <v>-0.96532330202836369</v>
      </c>
      <c r="M119" s="134">
        <f>IFERROR(VLOOKUP(Vertailu[[#This Row],[Y-tunnus]],'3.2 Suoritepäätös 2019'!$A:$S,COLUMN('3.2 Suoritepäätös 2019'!Q:Q),FALSE)+VLOOKUP(Vertailu[[#This Row],[Y-tunnus]],'3.2 Suoritepäätös 2019'!$A:$S,COLUMN('3.2 Suoritepäätös 2019'!R:R),FALSE),0)</f>
        <v>7473584</v>
      </c>
      <c r="N119" s="132">
        <f>IFERROR(VLOOKUP(Vertailu[[#This Row],[Y-tunnus]],'1.2 Ohjaus-laskentataulu'!A:AG,COLUMN('1.2 Ohjaus-laskentataulu'!AG:AG),FALSE),0)</f>
        <v>1495367.06</v>
      </c>
      <c r="O119" s="142">
        <f>IFERROR(Vertailu[[#This Row],[Simuloitu rahoitus sis. hark. kor. + alv, €]]-Vertailu[[#This Row],[2019 rahoitus sis. hark. kor. + alv, €]],0)</f>
        <v>-5978216.9399999995</v>
      </c>
      <c r="P119" s="37">
        <f>IFERROR(Vertailu[[#This Row],[Muutos, € 3]]/Vertailu[[#This Row],[2019 rahoitus sis. hark. kor. + alv, €]],0)</f>
        <v>-0.79991299221364198</v>
      </c>
    </row>
    <row r="120" spans="1:16" x14ac:dyDescent="0.25">
      <c r="A120" s="24" t="s">
        <v>284</v>
      </c>
      <c r="B120" s="143" t="s">
        <v>123</v>
      </c>
      <c r="C120" s="143" t="s">
        <v>236</v>
      </c>
      <c r="D120" s="144" t="s">
        <v>412</v>
      </c>
      <c r="E120" s="20">
        <f>IFERROR(VLOOKUP(Vertailu[[#This Row],[Y-tunnus]],'3.2 Suoritepäätös 2019'!$A:$S,COLUMN('3.2 Suoritepäätös 2019'!Q:Q),FALSE)-VLOOKUP(Vertailu[[#This Row],[Y-tunnus]],'3.2 Suoritepäätös 2019'!$A:$S,COLUMN('3.2 Suoritepäätös 2019'!L:L),FALSE),0)</f>
        <v>290567</v>
      </c>
      <c r="F120" s="20">
        <f>IFERROR(VLOOKUP(Vertailu[[#This Row],[Y-tunnus]],'1.2 Ohjaus-laskentataulu'!A:AG,COLUMN('1.2 Ohjaus-laskentataulu'!Z:Z),FALSE),0)</f>
        <v>289777</v>
      </c>
      <c r="G120" s="20">
        <f>IFERROR(Vertailu[[#This Row],[Simuloitu rahoitus pl. hark. kor. ilman alv, €]]-Vertailu[[#This Row],[2019 rahoitus pl. hark. kor. ilman alv, €]],0)</f>
        <v>-790</v>
      </c>
      <c r="H120" s="37">
        <f>IFERROR(Vertailu[[#This Row],[Muutos, € 1]]/Vertailu[[#This Row],[2019 rahoitus pl. hark. kor. ilman alv, €]],0)</f>
        <v>-2.7188221649395838E-3</v>
      </c>
      <c r="I120" s="132">
        <f>IFERROR(VLOOKUP(Vertailu[[#This Row],[Y-tunnus]],'3.2 Suoritepäätös 2019'!$A:$S,COLUMN('3.2 Suoritepäätös 2019'!Q:Q),FALSE),0)</f>
        <v>570567</v>
      </c>
      <c r="J120" s="134">
        <f>IFERROR(VLOOKUP(Vertailu[[#This Row],[Y-tunnus]],'1.2 Ohjaus-laskentataulu'!A:AG,COLUMN('1.2 Ohjaus-laskentataulu'!AE:AE),FALSE),0)</f>
        <v>289777</v>
      </c>
      <c r="K120" s="20">
        <f>IFERROR(Vertailu[[#This Row],[Simuloitu rahoitus sis. hark. kor. ilman alv, €]]-Vertailu[[#This Row],[2019 rahoitus sis. hark. kor. ilman alv, €]],0)</f>
        <v>-280790</v>
      </c>
      <c r="L120" s="18">
        <f>IFERROR(Vertailu[[#This Row],[Muutos, € 2]]/Vertailu[[#This Row],[2019 rahoitus sis. hark. kor. ilman alv, €]],0)</f>
        <v>-0.49212450071595448</v>
      </c>
      <c r="M120" s="134">
        <f>IFERROR(VLOOKUP(Vertailu[[#This Row],[Y-tunnus]],'3.2 Suoritepäätös 2019'!$A:$S,COLUMN('3.2 Suoritepäätös 2019'!Q:Q),FALSE)+VLOOKUP(Vertailu[[#This Row],[Y-tunnus]],'3.2 Suoritepäätös 2019'!$A:$S,COLUMN('3.2 Suoritepäätös 2019'!R:R),FALSE),0)</f>
        <v>601421</v>
      </c>
      <c r="N120" s="132">
        <f>IFERROR(VLOOKUP(Vertailu[[#This Row],[Y-tunnus]],'1.2 Ohjaus-laskentataulu'!A:AG,COLUMN('1.2 Ohjaus-laskentataulu'!AG:AG),FALSE),0)</f>
        <v>339364.3</v>
      </c>
      <c r="O120" s="142">
        <f>IFERROR(Vertailu[[#This Row],[Simuloitu rahoitus sis. hark. kor. + alv, €]]-Vertailu[[#This Row],[2019 rahoitus sis. hark. kor. + alv, €]],0)</f>
        <v>-262056.7</v>
      </c>
      <c r="P120" s="37">
        <f>IFERROR(Vertailu[[#This Row],[Muutos, € 3]]/Vertailu[[#This Row],[2019 rahoitus sis. hark. kor. + alv, €]],0)</f>
        <v>-0.43572921464331976</v>
      </c>
    </row>
    <row r="121" spans="1:16" x14ac:dyDescent="0.25">
      <c r="A121" s="24" t="s">
        <v>283</v>
      </c>
      <c r="B121" s="143" t="s">
        <v>155</v>
      </c>
      <c r="C121" s="143" t="s">
        <v>236</v>
      </c>
      <c r="D121" s="144" t="s">
        <v>412</v>
      </c>
      <c r="E121" s="20">
        <f>IFERROR(VLOOKUP(Vertailu[[#This Row],[Y-tunnus]],'3.2 Suoritepäätös 2019'!$A:$S,COLUMN('3.2 Suoritepäätös 2019'!Q:Q),FALSE)-VLOOKUP(Vertailu[[#This Row],[Y-tunnus]],'3.2 Suoritepäätös 2019'!$A:$S,COLUMN('3.2 Suoritepäätös 2019'!L:L),FALSE),0)</f>
        <v>184963</v>
      </c>
      <c r="F121" s="20">
        <f>IFERROR(VLOOKUP(Vertailu[[#This Row],[Y-tunnus]],'1.2 Ohjaus-laskentataulu'!A:AG,COLUMN('1.2 Ohjaus-laskentataulu'!Z:Z),FALSE),0)</f>
        <v>187941</v>
      </c>
      <c r="G121" s="20">
        <f>IFERROR(Vertailu[[#This Row],[Simuloitu rahoitus pl. hark. kor. ilman alv, €]]-Vertailu[[#This Row],[2019 rahoitus pl. hark. kor. ilman alv, €]],0)</f>
        <v>2978</v>
      </c>
      <c r="H121" s="37">
        <f>IFERROR(Vertailu[[#This Row],[Muutos, € 1]]/Vertailu[[#This Row],[2019 rahoitus pl. hark. kor. ilman alv, €]],0)</f>
        <v>1.6100517400777451E-2</v>
      </c>
      <c r="I121" s="132">
        <f>IFERROR(VLOOKUP(Vertailu[[#This Row],[Y-tunnus]],'3.2 Suoritepäätös 2019'!$A:$S,COLUMN('3.2 Suoritepäätös 2019'!Q:Q),FALSE),0)</f>
        <v>184963</v>
      </c>
      <c r="J121" s="134">
        <f>IFERROR(VLOOKUP(Vertailu[[#This Row],[Y-tunnus]],'1.2 Ohjaus-laskentataulu'!A:AG,COLUMN('1.2 Ohjaus-laskentataulu'!AE:AE),FALSE),0)</f>
        <v>187941</v>
      </c>
      <c r="K121" s="20">
        <f>IFERROR(Vertailu[[#This Row],[Simuloitu rahoitus sis. hark. kor. ilman alv, €]]-Vertailu[[#This Row],[2019 rahoitus sis. hark. kor. ilman alv, €]],0)</f>
        <v>2978</v>
      </c>
      <c r="L121" s="18">
        <f>IFERROR(Vertailu[[#This Row],[Muutos, € 2]]/Vertailu[[#This Row],[2019 rahoitus sis. hark. kor. ilman alv, €]],0)</f>
        <v>1.6100517400777451E-2</v>
      </c>
      <c r="M121" s="134">
        <f>IFERROR(VLOOKUP(Vertailu[[#This Row],[Y-tunnus]],'3.2 Suoritepäätös 2019'!$A:$S,COLUMN('3.2 Suoritepäätös 2019'!Q:Q),FALSE)+VLOOKUP(Vertailu[[#This Row],[Y-tunnus]],'3.2 Suoritepäätös 2019'!$A:$S,COLUMN('3.2 Suoritepäätös 2019'!R:R),FALSE),0)</f>
        <v>195027</v>
      </c>
      <c r="N121" s="132">
        <f>IFERROR(VLOOKUP(Vertailu[[#This Row],[Y-tunnus]],'1.2 Ohjaus-laskentataulu'!A:AG,COLUMN('1.2 Ohjaus-laskentataulu'!AG:AG),FALSE),0)</f>
        <v>198402.1</v>
      </c>
      <c r="O121" s="142">
        <f>IFERROR(Vertailu[[#This Row],[Simuloitu rahoitus sis. hark. kor. + alv, €]]-Vertailu[[#This Row],[2019 rahoitus sis. hark. kor. + alv, €]],0)</f>
        <v>3375.1000000000058</v>
      </c>
      <c r="P121" s="37">
        <f>IFERROR(Vertailu[[#This Row],[Muutos, € 3]]/Vertailu[[#This Row],[2019 rahoitus sis. hark. kor. + alv, €]],0)</f>
        <v>1.7305808939275105E-2</v>
      </c>
    </row>
    <row r="122" spans="1:16" x14ac:dyDescent="0.25">
      <c r="A122" s="24" t="s">
        <v>282</v>
      </c>
      <c r="B122" s="143" t="s">
        <v>124</v>
      </c>
      <c r="C122" s="143" t="s">
        <v>270</v>
      </c>
      <c r="D122" s="144" t="s">
        <v>412</v>
      </c>
      <c r="E122" s="20">
        <f>IFERROR(VLOOKUP(Vertailu[[#This Row],[Y-tunnus]],'3.2 Suoritepäätös 2019'!$A:$S,COLUMN('3.2 Suoritepäätös 2019'!Q:Q),FALSE)-VLOOKUP(Vertailu[[#This Row],[Y-tunnus]],'3.2 Suoritepäätös 2019'!$A:$S,COLUMN('3.2 Suoritepäätös 2019'!L:L),FALSE),0)</f>
        <v>1115140</v>
      </c>
      <c r="F122" s="20">
        <f>IFERROR(VLOOKUP(Vertailu[[#This Row],[Y-tunnus]],'1.2 Ohjaus-laskentataulu'!A:AG,COLUMN('1.2 Ohjaus-laskentataulu'!Z:Z),FALSE),0)</f>
        <v>1075783</v>
      </c>
      <c r="G122" s="20">
        <f>IFERROR(Vertailu[[#This Row],[Simuloitu rahoitus pl. hark. kor. ilman alv, €]]-Vertailu[[#This Row],[2019 rahoitus pl. hark. kor. ilman alv, €]],0)</f>
        <v>-39357</v>
      </c>
      <c r="H122" s="37">
        <f>IFERROR(Vertailu[[#This Row],[Muutos, € 1]]/Vertailu[[#This Row],[2019 rahoitus pl. hark. kor. ilman alv, €]],0)</f>
        <v>-3.5293326398479118E-2</v>
      </c>
      <c r="I122" s="132">
        <f>IFERROR(VLOOKUP(Vertailu[[#This Row],[Y-tunnus]],'3.2 Suoritepäätös 2019'!$A:$S,COLUMN('3.2 Suoritepäätös 2019'!Q:Q),FALSE),0)</f>
        <v>1115140</v>
      </c>
      <c r="J122" s="134">
        <f>IFERROR(VLOOKUP(Vertailu[[#This Row],[Y-tunnus]],'1.2 Ohjaus-laskentataulu'!A:AG,COLUMN('1.2 Ohjaus-laskentataulu'!AE:AE),FALSE),0)</f>
        <v>1075783</v>
      </c>
      <c r="K122" s="20">
        <f>IFERROR(Vertailu[[#This Row],[Simuloitu rahoitus sis. hark. kor. ilman alv, €]]-Vertailu[[#This Row],[2019 rahoitus sis. hark. kor. ilman alv, €]],0)</f>
        <v>-39357</v>
      </c>
      <c r="L122" s="18">
        <f>IFERROR(Vertailu[[#This Row],[Muutos, € 2]]/Vertailu[[#This Row],[2019 rahoitus sis. hark. kor. ilman alv, €]],0)</f>
        <v>-3.5293326398479118E-2</v>
      </c>
      <c r="M122" s="134">
        <f>IFERROR(VLOOKUP(Vertailu[[#This Row],[Y-tunnus]],'3.2 Suoritepäätös 2019'!$A:$S,COLUMN('3.2 Suoritepäätös 2019'!Q:Q),FALSE)+VLOOKUP(Vertailu[[#This Row],[Y-tunnus]],'3.2 Suoritepäätös 2019'!$A:$S,COLUMN('3.2 Suoritepäätös 2019'!R:R),FALSE),0)</f>
        <v>1174469</v>
      </c>
      <c r="N122" s="132">
        <f>IFERROR(VLOOKUP(Vertailu[[#This Row],[Y-tunnus]],'1.2 Ohjaus-laskentataulu'!A:AG,COLUMN('1.2 Ohjaus-laskentataulu'!AG:AG),FALSE),0)</f>
        <v>1182053.77</v>
      </c>
      <c r="O122" s="142">
        <f>IFERROR(Vertailu[[#This Row],[Simuloitu rahoitus sis. hark. kor. + alv, €]]-Vertailu[[#This Row],[2019 rahoitus sis. hark. kor. + alv, €]],0)</f>
        <v>7584.7700000000186</v>
      </c>
      <c r="P122" s="37">
        <f>IFERROR(Vertailu[[#This Row],[Muutos, € 3]]/Vertailu[[#This Row],[2019 rahoitus sis. hark. kor. + alv, €]],0)</f>
        <v>6.4580418895688338E-3</v>
      </c>
    </row>
    <row r="123" spans="1:16" x14ac:dyDescent="0.25">
      <c r="A123" s="24" t="s">
        <v>281</v>
      </c>
      <c r="B123" s="143" t="s">
        <v>125</v>
      </c>
      <c r="C123" s="143" t="s">
        <v>250</v>
      </c>
      <c r="D123" s="144" t="s">
        <v>412</v>
      </c>
      <c r="E123" s="20">
        <f>IFERROR(VLOOKUP(Vertailu[[#This Row],[Y-tunnus]],'3.2 Suoritepäätös 2019'!$A:$S,COLUMN('3.2 Suoritepäätös 2019'!Q:Q),FALSE)-VLOOKUP(Vertailu[[#This Row],[Y-tunnus]],'3.2 Suoritepäätös 2019'!$A:$S,COLUMN('3.2 Suoritepäätös 2019'!L:L),FALSE),0)</f>
        <v>2841936</v>
      </c>
      <c r="F123" s="20">
        <f>IFERROR(VLOOKUP(Vertailu[[#This Row],[Y-tunnus]],'1.2 Ohjaus-laskentataulu'!A:AG,COLUMN('1.2 Ohjaus-laskentataulu'!Z:Z),FALSE),0)</f>
        <v>2652429</v>
      </c>
      <c r="G123" s="20">
        <f>IFERROR(Vertailu[[#This Row],[Simuloitu rahoitus pl. hark. kor. ilman alv, €]]-Vertailu[[#This Row],[2019 rahoitus pl. hark. kor. ilman alv, €]],0)</f>
        <v>-189507</v>
      </c>
      <c r="H123" s="37">
        <f>IFERROR(Vertailu[[#This Row],[Muutos, € 1]]/Vertailu[[#This Row],[2019 rahoitus pl. hark. kor. ilman alv, €]],0)</f>
        <v>-6.6682360193895993E-2</v>
      </c>
      <c r="I123" s="132">
        <f>IFERROR(VLOOKUP(Vertailu[[#This Row],[Y-tunnus]],'3.2 Suoritepäätös 2019'!$A:$S,COLUMN('3.2 Suoritepäätös 2019'!Q:Q),FALSE),0)</f>
        <v>2841936</v>
      </c>
      <c r="J123" s="134">
        <f>IFERROR(VLOOKUP(Vertailu[[#This Row],[Y-tunnus]],'1.2 Ohjaus-laskentataulu'!A:AG,COLUMN('1.2 Ohjaus-laskentataulu'!AE:AE),FALSE),0)</f>
        <v>2652429</v>
      </c>
      <c r="K123" s="20">
        <f>IFERROR(Vertailu[[#This Row],[Simuloitu rahoitus sis. hark. kor. ilman alv, €]]-Vertailu[[#This Row],[2019 rahoitus sis. hark. kor. ilman alv, €]],0)</f>
        <v>-189507</v>
      </c>
      <c r="L123" s="18">
        <f>IFERROR(Vertailu[[#This Row],[Muutos, € 2]]/Vertailu[[#This Row],[2019 rahoitus sis. hark. kor. ilman alv, €]],0)</f>
        <v>-6.6682360193895993E-2</v>
      </c>
      <c r="M123" s="134">
        <f>IFERROR(VLOOKUP(Vertailu[[#This Row],[Y-tunnus]],'3.2 Suoritepäätös 2019'!$A:$S,COLUMN('3.2 Suoritepäätös 2019'!Q:Q),FALSE)+VLOOKUP(Vertailu[[#This Row],[Y-tunnus]],'3.2 Suoritepäätös 2019'!$A:$S,COLUMN('3.2 Suoritepäätös 2019'!R:R),FALSE),0)</f>
        <v>2991015</v>
      </c>
      <c r="N123" s="132">
        <f>IFERROR(VLOOKUP(Vertailu[[#This Row],[Y-tunnus]],'1.2 Ohjaus-laskentataulu'!A:AG,COLUMN('1.2 Ohjaus-laskentataulu'!AG:AG),FALSE),0)</f>
        <v>2960219.7</v>
      </c>
      <c r="O123" s="142">
        <f>IFERROR(Vertailu[[#This Row],[Simuloitu rahoitus sis. hark. kor. + alv, €]]-Vertailu[[#This Row],[2019 rahoitus sis. hark. kor. + alv, €]],0)</f>
        <v>-30795.299999999814</v>
      </c>
      <c r="P123" s="37">
        <f>IFERROR(Vertailu[[#This Row],[Muutos, € 3]]/Vertailu[[#This Row],[2019 rahoitus sis. hark. kor. + alv, €]],0)</f>
        <v>-1.0295936329306209E-2</v>
      </c>
    </row>
    <row r="124" spans="1:16" x14ac:dyDescent="0.25">
      <c r="A124" s="24" t="s">
        <v>280</v>
      </c>
      <c r="B124" s="143" t="s">
        <v>126</v>
      </c>
      <c r="C124" s="143" t="s">
        <v>236</v>
      </c>
      <c r="D124" s="144" t="s">
        <v>412</v>
      </c>
      <c r="E124" s="20">
        <f>IFERROR(VLOOKUP(Vertailu[[#This Row],[Y-tunnus]],'3.2 Suoritepäätös 2019'!$A:$S,COLUMN('3.2 Suoritepäätös 2019'!Q:Q),FALSE)-VLOOKUP(Vertailu[[#This Row],[Y-tunnus]],'3.2 Suoritepäätös 2019'!$A:$S,COLUMN('3.2 Suoritepäätös 2019'!L:L),FALSE),0)</f>
        <v>1441691</v>
      </c>
      <c r="F124" s="20">
        <f>IFERROR(VLOOKUP(Vertailu[[#This Row],[Y-tunnus]],'1.2 Ohjaus-laskentataulu'!A:AG,COLUMN('1.2 Ohjaus-laskentataulu'!Z:Z),FALSE),0)</f>
        <v>1437846</v>
      </c>
      <c r="G124" s="20">
        <f>IFERROR(Vertailu[[#This Row],[Simuloitu rahoitus pl. hark. kor. ilman alv, €]]-Vertailu[[#This Row],[2019 rahoitus pl. hark. kor. ilman alv, €]],0)</f>
        <v>-3845</v>
      </c>
      <c r="H124" s="37">
        <f>IFERROR(Vertailu[[#This Row],[Muutos, € 1]]/Vertailu[[#This Row],[2019 rahoitus pl. hark. kor. ilman alv, €]],0)</f>
        <v>-2.6670070077429906E-3</v>
      </c>
      <c r="I124" s="132">
        <f>IFERROR(VLOOKUP(Vertailu[[#This Row],[Y-tunnus]],'3.2 Suoritepäätös 2019'!$A:$S,COLUMN('3.2 Suoritepäätös 2019'!Q:Q),FALSE),0)</f>
        <v>1441691</v>
      </c>
      <c r="J124" s="134">
        <f>IFERROR(VLOOKUP(Vertailu[[#This Row],[Y-tunnus]],'1.2 Ohjaus-laskentataulu'!A:AG,COLUMN('1.2 Ohjaus-laskentataulu'!AE:AE),FALSE),0)</f>
        <v>1437846</v>
      </c>
      <c r="K124" s="20">
        <f>IFERROR(Vertailu[[#This Row],[Simuloitu rahoitus sis. hark. kor. ilman alv, €]]-Vertailu[[#This Row],[2019 rahoitus sis. hark. kor. ilman alv, €]],0)</f>
        <v>-3845</v>
      </c>
      <c r="L124" s="18">
        <f>IFERROR(Vertailu[[#This Row],[Muutos, € 2]]/Vertailu[[#This Row],[2019 rahoitus sis. hark. kor. ilman alv, €]],0)</f>
        <v>-2.6670070077429906E-3</v>
      </c>
      <c r="M124" s="134">
        <f>IFERROR(VLOOKUP(Vertailu[[#This Row],[Y-tunnus]],'3.2 Suoritepäätös 2019'!$A:$S,COLUMN('3.2 Suoritepäätös 2019'!Q:Q),FALSE)+VLOOKUP(Vertailu[[#This Row],[Y-tunnus]],'3.2 Suoritepäätös 2019'!$A:$S,COLUMN('3.2 Suoritepäätös 2019'!R:R),FALSE),0)</f>
        <v>1520690</v>
      </c>
      <c r="N124" s="132">
        <f>IFERROR(VLOOKUP(Vertailu[[#This Row],[Y-tunnus]],'1.2 Ohjaus-laskentataulu'!A:AG,COLUMN('1.2 Ohjaus-laskentataulu'!AG:AG),FALSE),0)</f>
        <v>1511251.76</v>
      </c>
      <c r="O124" s="142">
        <f>IFERROR(Vertailu[[#This Row],[Simuloitu rahoitus sis. hark. kor. + alv, €]]-Vertailu[[#This Row],[2019 rahoitus sis. hark. kor. + alv, €]],0)</f>
        <v>-9438.2399999999907</v>
      </c>
      <c r="P124" s="37">
        <f>IFERROR(Vertailu[[#This Row],[Muutos, € 3]]/Vertailu[[#This Row],[2019 rahoitus sis. hark. kor. + alv, €]],0)</f>
        <v>-6.2065509735712019E-3</v>
      </c>
    </row>
    <row r="125" spans="1:16" x14ac:dyDescent="0.25">
      <c r="A125" s="24" t="s">
        <v>279</v>
      </c>
      <c r="B125" s="143" t="s">
        <v>127</v>
      </c>
      <c r="C125" s="143" t="s">
        <v>269</v>
      </c>
      <c r="D125" s="144" t="s">
        <v>412</v>
      </c>
      <c r="E125" s="20">
        <f>IFERROR(VLOOKUP(Vertailu[[#This Row],[Y-tunnus]],'3.2 Suoritepäätös 2019'!$A:$S,COLUMN('3.2 Suoritepäätös 2019'!Q:Q),FALSE)-VLOOKUP(Vertailu[[#This Row],[Y-tunnus]],'3.2 Suoritepäätös 2019'!$A:$S,COLUMN('3.2 Suoritepäätös 2019'!L:L),FALSE),0)</f>
        <v>3942347</v>
      </c>
      <c r="F125" s="20">
        <f>IFERROR(VLOOKUP(Vertailu[[#This Row],[Y-tunnus]],'1.2 Ohjaus-laskentataulu'!A:AG,COLUMN('1.2 Ohjaus-laskentataulu'!Z:Z),FALSE),0)</f>
        <v>4062320</v>
      </c>
      <c r="G125" s="20">
        <f>IFERROR(Vertailu[[#This Row],[Simuloitu rahoitus pl. hark. kor. ilman alv, €]]-Vertailu[[#This Row],[2019 rahoitus pl. hark. kor. ilman alv, €]],0)</f>
        <v>119973</v>
      </c>
      <c r="H125" s="37">
        <f>IFERROR(Vertailu[[#This Row],[Muutos, € 1]]/Vertailu[[#This Row],[2019 rahoitus pl. hark. kor. ilman alv, €]],0)</f>
        <v>3.0431872181723222E-2</v>
      </c>
      <c r="I125" s="132">
        <f>IFERROR(VLOOKUP(Vertailu[[#This Row],[Y-tunnus]],'3.2 Suoritepäätös 2019'!$A:$S,COLUMN('3.2 Suoritepäätös 2019'!Q:Q),FALSE),0)</f>
        <v>3942347</v>
      </c>
      <c r="J125" s="134">
        <f>IFERROR(VLOOKUP(Vertailu[[#This Row],[Y-tunnus]],'1.2 Ohjaus-laskentataulu'!A:AG,COLUMN('1.2 Ohjaus-laskentataulu'!AE:AE),FALSE),0)</f>
        <v>4062320</v>
      </c>
      <c r="K125" s="20">
        <f>IFERROR(Vertailu[[#This Row],[Simuloitu rahoitus sis. hark. kor. ilman alv, €]]-Vertailu[[#This Row],[2019 rahoitus sis. hark. kor. ilman alv, €]],0)</f>
        <v>119973</v>
      </c>
      <c r="L125" s="18">
        <f>IFERROR(Vertailu[[#This Row],[Muutos, € 2]]/Vertailu[[#This Row],[2019 rahoitus sis. hark. kor. ilman alv, €]],0)</f>
        <v>3.0431872181723222E-2</v>
      </c>
      <c r="M125" s="134">
        <f>IFERROR(VLOOKUP(Vertailu[[#This Row],[Y-tunnus]],'3.2 Suoritepäätös 2019'!$A:$S,COLUMN('3.2 Suoritepäätös 2019'!Q:Q),FALSE)+VLOOKUP(Vertailu[[#This Row],[Y-tunnus]],'3.2 Suoritepäätös 2019'!$A:$S,COLUMN('3.2 Suoritepäätös 2019'!R:R),FALSE),0)</f>
        <v>4152539</v>
      </c>
      <c r="N125" s="132">
        <f>IFERROR(VLOOKUP(Vertailu[[#This Row],[Y-tunnus]],'1.2 Ohjaus-laskentataulu'!A:AG,COLUMN('1.2 Ohjaus-laskentataulu'!AG:AG),FALSE),0)</f>
        <v>4278821.93</v>
      </c>
      <c r="O125" s="142">
        <f>IFERROR(Vertailu[[#This Row],[Simuloitu rahoitus sis. hark. kor. + alv, €]]-Vertailu[[#This Row],[2019 rahoitus sis. hark. kor. + alv, €]],0)</f>
        <v>126282.9299999997</v>
      </c>
      <c r="P125" s="37">
        <f>IFERROR(Vertailu[[#This Row],[Muutos, € 3]]/Vertailu[[#This Row],[2019 rahoitus sis. hark. kor. + alv, €]],0)</f>
        <v>3.0411016007314971E-2</v>
      </c>
    </row>
    <row r="126" spans="1:16" x14ac:dyDescent="0.25">
      <c r="A126" s="24" t="s">
        <v>278</v>
      </c>
      <c r="B126" s="143" t="s">
        <v>128</v>
      </c>
      <c r="C126" s="143" t="s">
        <v>269</v>
      </c>
      <c r="D126" s="144" t="s">
        <v>411</v>
      </c>
      <c r="E126" s="20">
        <f>IFERROR(VLOOKUP(Vertailu[[#This Row],[Y-tunnus]],'3.2 Suoritepäätös 2019'!$A:$S,COLUMN('3.2 Suoritepäätös 2019'!Q:Q),FALSE)-VLOOKUP(Vertailu[[#This Row],[Y-tunnus]],'3.2 Suoritepäätös 2019'!$A:$S,COLUMN('3.2 Suoritepäätös 2019'!L:L),FALSE),0)</f>
        <v>5223004</v>
      </c>
      <c r="F126" s="20">
        <f>IFERROR(VLOOKUP(Vertailu[[#This Row],[Y-tunnus]],'1.2 Ohjaus-laskentataulu'!A:AG,COLUMN('1.2 Ohjaus-laskentataulu'!Z:Z),FALSE),0)</f>
        <v>5738051</v>
      </c>
      <c r="G126" s="20">
        <f>IFERROR(Vertailu[[#This Row],[Simuloitu rahoitus pl. hark. kor. ilman alv, €]]-Vertailu[[#This Row],[2019 rahoitus pl. hark. kor. ilman alv, €]],0)</f>
        <v>515047</v>
      </c>
      <c r="H126" s="37">
        <f>IFERROR(Vertailu[[#This Row],[Muutos, € 1]]/Vertailu[[#This Row],[2019 rahoitus pl. hark. kor. ilman alv, €]],0)</f>
        <v>9.8611258961318046E-2</v>
      </c>
      <c r="I126" s="132">
        <f>IFERROR(VLOOKUP(Vertailu[[#This Row],[Y-tunnus]],'3.2 Suoritepäätös 2019'!$A:$S,COLUMN('3.2 Suoritepäätös 2019'!Q:Q),FALSE),0)</f>
        <v>5223004</v>
      </c>
      <c r="J126" s="134">
        <f>IFERROR(VLOOKUP(Vertailu[[#This Row],[Y-tunnus]],'1.2 Ohjaus-laskentataulu'!A:AG,COLUMN('1.2 Ohjaus-laskentataulu'!AE:AE),FALSE),0)</f>
        <v>5738051</v>
      </c>
      <c r="K126" s="20">
        <f>IFERROR(Vertailu[[#This Row],[Simuloitu rahoitus sis. hark. kor. ilman alv, €]]-Vertailu[[#This Row],[2019 rahoitus sis. hark. kor. ilman alv, €]],0)</f>
        <v>515047</v>
      </c>
      <c r="L126" s="18">
        <f>IFERROR(Vertailu[[#This Row],[Muutos, € 2]]/Vertailu[[#This Row],[2019 rahoitus sis. hark. kor. ilman alv, €]],0)</f>
        <v>9.8611258961318046E-2</v>
      </c>
      <c r="M126" s="134">
        <f>IFERROR(VLOOKUP(Vertailu[[#This Row],[Y-tunnus]],'3.2 Suoritepäätös 2019'!$A:$S,COLUMN('3.2 Suoritepäätös 2019'!Q:Q),FALSE)+VLOOKUP(Vertailu[[#This Row],[Y-tunnus]],'3.2 Suoritepäätös 2019'!$A:$S,COLUMN('3.2 Suoritepäätös 2019'!R:R),FALSE),0)</f>
        <v>5223004</v>
      </c>
      <c r="N126" s="132">
        <f>IFERROR(VLOOKUP(Vertailu[[#This Row],[Y-tunnus]],'1.2 Ohjaus-laskentataulu'!A:AG,COLUMN('1.2 Ohjaus-laskentataulu'!AG:AG),FALSE),0)</f>
        <v>5738051</v>
      </c>
      <c r="O126" s="142">
        <f>IFERROR(Vertailu[[#This Row],[Simuloitu rahoitus sis. hark. kor. + alv, €]]-Vertailu[[#This Row],[2019 rahoitus sis. hark. kor. + alv, €]],0)</f>
        <v>515047</v>
      </c>
      <c r="P126" s="37">
        <f>IFERROR(Vertailu[[#This Row],[Muutos, € 3]]/Vertailu[[#This Row],[2019 rahoitus sis. hark. kor. + alv, €]],0)</f>
        <v>9.8611258961318046E-2</v>
      </c>
    </row>
    <row r="127" spans="1:16" x14ac:dyDescent="0.25">
      <c r="A127" s="24" t="s">
        <v>277</v>
      </c>
      <c r="B127" s="143" t="s">
        <v>129</v>
      </c>
      <c r="C127" s="143" t="s">
        <v>236</v>
      </c>
      <c r="D127" s="144" t="s">
        <v>412</v>
      </c>
      <c r="E127" s="20">
        <f>IFERROR(VLOOKUP(Vertailu[[#This Row],[Y-tunnus]],'3.2 Suoritepäätös 2019'!$A:$S,COLUMN('3.2 Suoritepäätös 2019'!Q:Q),FALSE)-VLOOKUP(Vertailu[[#This Row],[Y-tunnus]],'3.2 Suoritepäätös 2019'!$A:$S,COLUMN('3.2 Suoritepäätös 2019'!L:L),FALSE),0)</f>
        <v>9885470</v>
      </c>
      <c r="F127" s="20">
        <f>IFERROR(VLOOKUP(Vertailu[[#This Row],[Y-tunnus]],'1.2 Ohjaus-laskentataulu'!A:AG,COLUMN('1.2 Ohjaus-laskentataulu'!Z:Z),FALSE),0)</f>
        <v>9795427</v>
      </c>
      <c r="G127" s="20">
        <f>IFERROR(Vertailu[[#This Row],[Simuloitu rahoitus pl. hark. kor. ilman alv, €]]-Vertailu[[#This Row],[2019 rahoitus pl. hark. kor. ilman alv, €]],0)</f>
        <v>-90043</v>
      </c>
      <c r="H127" s="37">
        <f>IFERROR(Vertailu[[#This Row],[Muutos, € 1]]/Vertailu[[#This Row],[2019 rahoitus pl. hark. kor. ilman alv, €]],0)</f>
        <v>-9.1086210367337106E-3</v>
      </c>
      <c r="I127" s="132">
        <f>IFERROR(VLOOKUP(Vertailu[[#This Row],[Y-tunnus]],'3.2 Suoritepäätös 2019'!$A:$S,COLUMN('3.2 Suoritepäätös 2019'!Q:Q),FALSE),0)</f>
        <v>9985470</v>
      </c>
      <c r="J127" s="134">
        <f>IFERROR(VLOOKUP(Vertailu[[#This Row],[Y-tunnus]],'1.2 Ohjaus-laskentataulu'!A:AG,COLUMN('1.2 Ohjaus-laskentataulu'!AE:AE),FALSE),0)</f>
        <v>9795427</v>
      </c>
      <c r="K127" s="20">
        <f>IFERROR(Vertailu[[#This Row],[Simuloitu rahoitus sis. hark. kor. ilman alv, €]]-Vertailu[[#This Row],[2019 rahoitus sis. hark. kor. ilman alv, €]],0)</f>
        <v>-190043</v>
      </c>
      <c r="L127" s="18">
        <f>IFERROR(Vertailu[[#This Row],[Muutos, € 2]]/Vertailu[[#This Row],[2019 rahoitus sis. hark. kor. ilman alv, €]],0)</f>
        <v>-1.9031953428331364E-2</v>
      </c>
      <c r="M127" s="134">
        <f>IFERROR(VLOOKUP(Vertailu[[#This Row],[Y-tunnus]],'3.2 Suoritepäätös 2019'!$A:$S,COLUMN('3.2 Suoritepäätös 2019'!Q:Q),FALSE)+VLOOKUP(Vertailu[[#This Row],[Y-tunnus]],'3.2 Suoritepäätös 2019'!$A:$S,COLUMN('3.2 Suoritepäätös 2019'!R:R),FALSE),0)</f>
        <v>10388288</v>
      </c>
      <c r="N127" s="132">
        <f>IFERROR(VLOOKUP(Vertailu[[#This Row],[Y-tunnus]],'1.2 Ohjaus-laskentataulu'!A:AG,COLUMN('1.2 Ohjaus-laskentataulu'!AG:AG),FALSE),0)</f>
        <v>10410044.880000001</v>
      </c>
      <c r="O127" s="142">
        <f>IFERROR(Vertailu[[#This Row],[Simuloitu rahoitus sis. hark. kor. + alv, €]]-Vertailu[[#This Row],[2019 rahoitus sis. hark. kor. + alv, €]],0)</f>
        <v>21756.88000000082</v>
      </c>
      <c r="P127" s="37">
        <f>IFERROR(Vertailu[[#This Row],[Muutos, € 3]]/Vertailu[[#This Row],[2019 rahoitus sis. hark. kor. + alv, €]],0)</f>
        <v>2.0943662709390441E-3</v>
      </c>
    </row>
    <row r="128" spans="1:16" x14ac:dyDescent="0.25">
      <c r="A128" s="24" t="s">
        <v>276</v>
      </c>
      <c r="B128" s="143" t="s">
        <v>130</v>
      </c>
      <c r="C128" s="143" t="s">
        <v>242</v>
      </c>
      <c r="D128" s="144" t="s">
        <v>411</v>
      </c>
      <c r="E128" s="20">
        <f>IFERROR(VLOOKUP(Vertailu[[#This Row],[Y-tunnus]],'3.2 Suoritepäätös 2019'!$A:$S,COLUMN('3.2 Suoritepäätös 2019'!Q:Q),FALSE)-VLOOKUP(Vertailu[[#This Row],[Y-tunnus]],'3.2 Suoritepäätös 2019'!$A:$S,COLUMN('3.2 Suoritepäätös 2019'!L:L),FALSE),0)</f>
        <v>14841074</v>
      </c>
      <c r="F128" s="20">
        <f>IFERROR(VLOOKUP(Vertailu[[#This Row],[Y-tunnus]],'1.2 Ohjaus-laskentataulu'!A:AG,COLUMN('1.2 Ohjaus-laskentataulu'!Z:Z),FALSE),0)</f>
        <v>14504312</v>
      </c>
      <c r="G128" s="20">
        <f>IFERROR(Vertailu[[#This Row],[Simuloitu rahoitus pl. hark. kor. ilman alv, €]]-Vertailu[[#This Row],[2019 rahoitus pl. hark. kor. ilman alv, €]],0)</f>
        <v>-336762</v>
      </c>
      <c r="H128" s="37">
        <f>IFERROR(Vertailu[[#This Row],[Muutos, € 1]]/Vertailu[[#This Row],[2019 rahoitus pl. hark. kor. ilman alv, €]],0)</f>
        <v>-2.2691214934983817E-2</v>
      </c>
      <c r="I128" s="132">
        <f>IFERROR(VLOOKUP(Vertailu[[#This Row],[Y-tunnus]],'3.2 Suoritepäätös 2019'!$A:$S,COLUMN('3.2 Suoritepäätös 2019'!Q:Q),FALSE),0)</f>
        <v>14841074</v>
      </c>
      <c r="J128" s="134">
        <f>IFERROR(VLOOKUP(Vertailu[[#This Row],[Y-tunnus]],'1.2 Ohjaus-laskentataulu'!A:AG,COLUMN('1.2 Ohjaus-laskentataulu'!AE:AE),FALSE),0)</f>
        <v>14504312</v>
      </c>
      <c r="K128" s="20">
        <f>IFERROR(Vertailu[[#This Row],[Simuloitu rahoitus sis. hark. kor. ilman alv, €]]-Vertailu[[#This Row],[2019 rahoitus sis. hark. kor. ilman alv, €]],0)</f>
        <v>-336762</v>
      </c>
      <c r="L128" s="18">
        <f>IFERROR(Vertailu[[#This Row],[Muutos, € 2]]/Vertailu[[#This Row],[2019 rahoitus sis. hark. kor. ilman alv, €]],0)</f>
        <v>-2.2691214934983817E-2</v>
      </c>
      <c r="M128" s="134">
        <f>IFERROR(VLOOKUP(Vertailu[[#This Row],[Y-tunnus]],'3.2 Suoritepäätös 2019'!$A:$S,COLUMN('3.2 Suoritepäätös 2019'!Q:Q),FALSE)+VLOOKUP(Vertailu[[#This Row],[Y-tunnus]],'3.2 Suoritepäätös 2019'!$A:$S,COLUMN('3.2 Suoritepäätös 2019'!R:R),FALSE),0)</f>
        <v>14841074</v>
      </c>
      <c r="N128" s="132">
        <f>IFERROR(VLOOKUP(Vertailu[[#This Row],[Y-tunnus]],'1.2 Ohjaus-laskentataulu'!A:AG,COLUMN('1.2 Ohjaus-laskentataulu'!AG:AG),FALSE),0)</f>
        <v>14504312</v>
      </c>
      <c r="O128" s="142">
        <f>IFERROR(Vertailu[[#This Row],[Simuloitu rahoitus sis. hark. kor. + alv, €]]-Vertailu[[#This Row],[2019 rahoitus sis. hark. kor. + alv, €]],0)</f>
        <v>-336762</v>
      </c>
      <c r="P128" s="37">
        <f>IFERROR(Vertailu[[#This Row],[Muutos, € 3]]/Vertailu[[#This Row],[2019 rahoitus sis. hark. kor. + alv, €]],0)</f>
        <v>-2.2691214934983817E-2</v>
      </c>
    </row>
    <row r="129" spans="1:16" x14ac:dyDescent="0.25">
      <c r="A129" s="24" t="s">
        <v>275</v>
      </c>
      <c r="B129" s="143" t="s">
        <v>131</v>
      </c>
      <c r="C129" s="143" t="s">
        <v>247</v>
      </c>
      <c r="D129" s="144" t="s">
        <v>412</v>
      </c>
      <c r="E129" s="20">
        <f>IFERROR(VLOOKUP(Vertailu[[#This Row],[Y-tunnus]],'3.2 Suoritepäätös 2019'!$A:$S,COLUMN('3.2 Suoritepäätös 2019'!Q:Q),FALSE)-VLOOKUP(Vertailu[[#This Row],[Y-tunnus]],'3.2 Suoritepäätös 2019'!$A:$S,COLUMN('3.2 Suoritepäätös 2019'!L:L),FALSE),0)</f>
        <v>13335578</v>
      </c>
      <c r="F129" s="20">
        <f>IFERROR(VLOOKUP(Vertailu[[#This Row],[Y-tunnus]],'1.2 Ohjaus-laskentataulu'!A:AG,COLUMN('1.2 Ohjaus-laskentataulu'!Z:Z),FALSE),0)</f>
        <v>9581354</v>
      </c>
      <c r="G129" s="20">
        <f>IFERROR(Vertailu[[#This Row],[Simuloitu rahoitus pl. hark. kor. ilman alv, €]]-Vertailu[[#This Row],[2019 rahoitus pl. hark. kor. ilman alv, €]],0)</f>
        <v>-3754224</v>
      </c>
      <c r="H129" s="37">
        <f>IFERROR(Vertailu[[#This Row],[Muutos, € 1]]/Vertailu[[#This Row],[2019 rahoitus pl. hark. kor. ilman alv, €]],0)</f>
        <v>-0.2815194062079649</v>
      </c>
      <c r="I129" s="132">
        <f>IFERROR(VLOOKUP(Vertailu[[#This Row],[Y-tunnus]],'3.2 Suoritepäätös 2019'!$A:$S,COLUMN('3.2 Suoritepäätös 2019'!Q:Q),FALSE),0)</f>
        <v>13585578</v>
      </c>
      <c r="J129" s="134">
        <f>IFERROR(VLOOKUP(Vertailu[[#This Row],[Y-tunnus]],'1.2 Ohjaus-laskentataulu'!A:AG,COLUMN('1.2 Ohjaus-laskentataulu'!AE:AE),FALSE),0)</f>
        <v>9581354</v>
      </c>
      <c r="K129" s="20">
        <f>IFERROR(Vertailu[[#This Row],[Simuloitu rahoitus sis. hark. kor. ilman alv, €]]-Vertailu[[#This Row],[2019 rahoitus sis. hark. kor. ilman alv, €]],0)</f>
        <v>-4004224</v>
      </c>
      <c r="L129" s="18">
        <f>IFERROR(Vertailu[[#This Row],[Muutos, € 2]]/Vertailu[[#This Row],[2019 rahoitus sis. hark. kor. ilman alv, €]],0)</f>
        <v>-0.29474079056481806</v>
      </c>
      <c r="M129" s="134">
        <f>IFERROR(VLOOKUP(Vertailu[[#This Row],[Y-tunnus]],'3.2 Suoritepäätös 2019'!$A:$S,COLUMN('3.2 Suoritepäätös 2019'!Q:Q),FALSE)+VLOOKUP(Vertailu[[#This Row],[Y-tunnus]],'3.2 Suoritepäätös 2019'!$A:$S,COLUMN('3.2 Suoritepäätös 2019'!R:R),FALSE),0)</f>
        <v>14308272</v>
      </c>
      <c r="N129" s="132">
        <f>IFERROR(VLOOKUP(Vertailu[[#This Row],[Y-tunnus]],'1.2 Ohjaus-laskentataulu'!A:AG,COLUMN('1.2 Ohjaus-laskentataulu'!AG:AG),FALSE),0)</f>
        <v>10295513.390000001</v>
      </c>
      <c r="O129" s="142">
        <f>IFERROR(Vertailu[[#This Row],[Simuloitu rahoitus sis. hark. kor. + alv, €]]-Vertailu[[#This Row],[2019 rahoitus sis. hark. kor. + alv, €]],0)</f>
        <v>-4012758.6099999994</v>
      </c>
      <c r="P129" s="37">
        <f>IFERROR(Vertailu[[#This Row],[Muutos, € 3]]/Vertailu[[#This Row],[2019 rahoitus sis. hark. kor. + alv, €]],0)</f>
        <v>-0.28045026052062749</v>
      </c>
    </row>
    <row r="130" spans="1:16" x14ac:dyDescent="0.25">
      <c r="A130" s="24" t="s">
        <v>274</v>
      </c>
      <c r="B130" s="143" t="s">
        <v>132</v>
      </c>
      <c r="C130" s="143" t="s">
        <v>247</v>
      </c>
      <c r="D130" s="144" t="s">
        <v>413</v>
      </c>
      <c r="E130" s="20">
        <f>IFERROR(VLOOKUP(Vertailu[[#This Row],[Y-tunnus]],'3.2 Suoritepäätös 2019'!$A:$S,COLUMN('3.2 Suoritepäätös 2019'!Q:Q),FALSE)-VLOOKUP(Vertailu[[#This Row],[Y-tunnus]],'3.2 Suoritepäätös 2019'!$A:$S,COLUMN('3.2 Suoritepäätös 2019'!L:L),FALSE),0)</f>
        <v>76311186</v>
      </c>
      <c r="F130" s="20">
        <f>IFERROR(VLOOKUP(Vertailu[[#This Row],[Y-tunnus]],'1.2 Ohjaus-laskentataulu'!A:AG,COLUMN('1.2 Ohjaus-laskentataulu'!Z:Z),FALSE),0)</f>
        <v>77591522</v>
      </c>
      <c r="G130" s="20">
        <f>IFERROR(Vertailu[[#This Row],[Simuloitu rahoitus pl. hark. kor. ilman alv, €]]-Vertailu[[#This Row],[2019 rahoitus pl. hark. kor. ilman alv, €]],0)</f>
        <v>1280336</v>
      </c>
      <c r="H130" s="37">
        <f>IFERROR(Vertailu[[#This Row],[Muutos, € 1]]/Vertailu[[#This Row],[2019 rahoitus pl. hark. kor. ilman alv, €]],0)</f>
        <v>1.6777828613487936E-2</v>
      </c>
      <c r="I130" s="132">
        <f>IFERROR(VLOOKUP(Vertailu[[#This Row],[Y-tunnus]],'3.2 Suoritepäätös 2019'!$A:$S,COLUMN('3.2 Suoritepäätös 2019'!Q:Q),FALSE),0)</f>
        <v>76461186</v>
      </c>
      <c r="J130" s="134">
        <f>IFERROR(VLOOKUP(Vertailu[[#This Row],[Y-tunnus]],'1.2 Ohjaus-laskentataulu'!A:AG,COLUMN('1.2 Ohjaus-laskentataulu'!AE:AE),FALSE),0)</f>
        <v>77591522</v>
      </c>
      <c r="K130" s="20">
        <f>IFERROR(Vertailu[[#This Row],[Simuloitu rahoitus sis. hark. kor. ilman alv, €]]-Vertailu[[#This Row],[2019 rahoitus sis. hark. kor. ilman alv, €]],0)</f>
        <v>1130336</v>
      </c>
      <c r="L130" s="18">
        <f>IFERROR(Vertailu[[#This Row],[Muutos, € 2]]/Vertailu[[#This Row],[2019 rahoitus sis. hark. kor. ilman alv, €]],0)</f>
        <v>1.4783134543583983E-2</v>
      </c>
      <c r="M130" s="134">
        <f>IFERROR(VLOOKUP(Vertailu[[#This Row],[Y-tunnus]],'3.2 Suoritepäätös 2019'!$A:$S,COLUMN('3.2 Suoritepäätös 2019'!Q:Q),FALSE)+VLOOKUP(Vertailu[[#This Row],[Y-tunnus]],'3.2 Suoritepäätös 2019'!$A:$S,COLUMN('3.2 Suoritepäätös 2019'!R:R),FALSE),0)</f>
        <v>76461186</v>
      </c>
      <c r="N130" s="132">
        <f>IFERROR(VLOOKUP(Vertailu[[#This Row],[Y-tunnus]],'1.2 Ohjaus-laskentataulu'!A:AG,COLUMN('1.2 Ohjaus-laskentataulu'!AG:AG),FALSE),0)</f>
        <v>77591522</v>
      </c>
      <c r="O130" s="142">
        <f>IFERROR(Vertailu[[#This Row],[Simuloitu rahoitus sis. hark. kor. + alv, €]]-Vertailu[[#This Row],[2019 rahoitus sis. hark. kor. + alv, €]],0)</f>
        <v>1130336</v>
      </c>
      <c r="P130" s="37">
        <f>IFERROR(Vertailu[[#This Row],[Muutos, € 3]]/Vertailu[[#This Row],[2019 rahoitus sis. hark. kor. + alv, €]],0)</f>
        <v>1.4783134543583983E-2</v>
      </c>
    </row>
    <row r="131" spans="1:16" x14ac:dyDescent="0.25">
      <c r="A131" s="24" t="s">
        <v>273</v>
      </c>
      <c r="B131" s="143" t="s">
        <v>133</v>
      </c>
      <c r="C131" s="143" t="s">
        <v>247</v>
      </c>
      <c r="D131" s="144" t="s">
        <v>412</v>
      </c>
      <c r="E131" s="20">
        <f>IFERROR(VLOOKUP(Vertailu[[#This Row],[Y-tunnus]],'3.2 Suoritepäätös 2019'!$A:$S,COLUMN('3.2 Suoritepäätös 2019'!Q:Q),FALSE)-VLOOKUP(Vertailu[[#This Row],[Y-tunnus]],'3.2 Suoritepäätös 2019'!$A:$S,COLUMN('3.2 Suoritepäätös 2019'!L:L),FALSE),0)</f>
        <v>849677</v>
      </c>
      <c r="F131" s="20">
        <f>IFERROR(VLOOKUP(Vertailu[[#This Row],[Y-tunnus]],'1.2 Ohjaus-laskentataulu'!A:AG,COLUMN('1.2 Ohjaus-laskentataulu'!Z:Z),FALSE),0)</f>
        <v>834763</v>
      </c>
      <c r="G131" s="20">
        <f>IFERROR(Vertailu[[#This Row],[Simuloitu rahoitus pl. hark. kor. ilman alv, €]]-Vertailu[[#This Row],[2019 rahoitus pl. hark. kor. ilman alv, €]],0)</f>
        <v>-14914</v>
      </c>
      <c r="H131" s="37">
        <f>IFERROR(Vertailu[[#This Row],[Muutos, € 1]]/Vertailu[[#This Row],[2019 rahoitus pl. hark. kor. ilman alv, €]],0)</f>
        <v>-1.755255232282385E-2</v>
      </c>
      <c r="I131" s="132">
        <f>IFERROR(VLOOKUP(Vertailu[[#This Row],[Y-tunnus]],'3.2 Suoritepäätös 2019'!$A:$S,COLUMN('3.2 Suoritepäätös 2019'!Q:Q),FALSE),0)</f>
        <v>849677</v>
      </c>
      <c r="J131" s="134">
        <f>IFERROR(VLOOKUP(Vertailu[[#This Row],[Y-tunnus]],'1.2 Ohjaus-laskentataulu'!A:AG,COLUMN('1.2 Ohjaus-laskentataulu'!AE:AE),FALSE),0)</f>
        <v>834763</v>
      </c>
      <c r="K131" s="20">
        <f>IFERROR(Vertailu[[#This Row],[Simuloitu rahoitus sis. hark. kor. ilman alv, €]]-Vertailu[[#This Row],[2019 rahoitus sis. hark. kor. ilman alv, €]],0)</f>
        <v>-14914</v>
      </c>
      <c r="L131" s="18">
        <f>IFERROR(Vertailu[[#This Row],[Muutos, € 2]]/Vertailu[[#This Row],[2019 rahoitus sis. hark. kor. ilman alv, €]],0)</f>
        <v>-1.755255232282385E-2</v>
      </c>
      <c r="M131" s="134">
        <f>IFERROR(VLOOKUP(Vertailu[[#This Row],[Y-tunnus]],'3.2 Suoritepäätös 2019'!$A:$S,COLUMN('3.2 Suoritepäätös 2019'!Q:Q),FALSE)+VLOOKUP(Vertailu[[#This Row],[Y-tunnus]],'3.2 Suoritepäätös 2019'!$A:$S,COLUMN('3.2 Suoritepäätös 2019'!R:R),FALSE),0)</f>
        <v>893591</v>
      </c>
      <c r="N131" s="132">
        <f>IFERROR(VLOOKUP(Vertailu[[#This Row],[Y-tunnus]],'1.2 Ohjaus-laskentataulu'!A:AG,COLUMN('1.2 Ohjaus-laskentataulu'!AG:AG),FALSE),0)</f>
        <v>863571.02</v>
      </c>
      <c r="O131" s="142">
        <f>IFERROR(Vertailu[[#This Row],[Simuloitu rahoitus sis. hark. kor. + alv, €]]-Vertailu[[#This Row],[2019 rahoitus sis. hark. kor. + alv, €]],0)</f>
        <v>-30019.979999999981</v>
      </c>
      <c r="P131" s="37">
        <f>IFERROR(Vertailu[[#This Row],[Muutos, € 3]]/Vertailu[[#This Row],[2019 rahoitus sis. hark. kor. + alv, €]],0)</f>
        <v>-3.3594765390430277E-2</v>
      </c>
    </row>
    <row r="132" spans="1:16" x14ac:dyDescent="0.25">
      <c r="A132" s="24" t="s">
        <v>271</v>
      </c>
      <c r="B132" s="143" t="s">
        <v>134</v>
      </c>
      <c r="C132" s="143" t="s">
        <v>270</v>
      </c>
      <c r="D132" s="144" t="s">
        <v>412</v>
      </c>
      <c r="E132" s="20">
        <f>IFERROR(VLOOKUP(Vertailu[[#This Row],[Y-tunnus]],'3.2 Suoritepäätös 2019'!$A:$S,COLUMN('3.2 Suoritepäätös 2019'!Q:Q),FALSE)-VLOOKUP(Vertailu[[#This Row],[Y-tunnus]],'3.2 Suoritepäätös 2019'!$A:$S,COLUMN('3.2 Suoritepäätös 2019'!L:L),FALSE),0)</f>
        <v>1043549</v>
      </c>
      <c r="F132" s="20">
        <f>IFERROR(VLOOKUP(Vertailu[[#This Row],[Y-tunnus]],'1.2 Ohjaus-laskentataulu'!A:AG,COLUMN('1.2 Ohjaus-laskentataulu'!Z:Z),FALSE),0)</f>
        <v>1015506</v>
      </c>
      <c r="G132" s="20">
        <f>IFERROR(Vertailu[[#This Row],[Simuloitu rahoitus pl. hark. kor. ilman alv, €]]-Vertailu[[#This Row],[2019 rahoitus pl. hark. kor. ilman alv, €]],0)</f>
        <v>-28043</v>
      </c>
      <c r="H132" s="37">
        <f>IFERROR(Vertailu[[#This Row],[Muutos, € 1]]/Vertailu[[#This Row],[2019 rahoitus pl. hark. kor. ilman alv, €]],0)</f>
        <v>-2.6872719920195409E-2</v>
      </c>
      <c r="I132" s="132">
        <f>IFERROR(VLOOKUP(Vertailu[[#This Row],[Y-tunnus]],'3.2 Suoritepäätös 2019'!$A:$S,COLUMN('3.2 Suoritepäätös 2019'!Q:Q),FALSE),0)</f>
        <v>1043549</v>
      </c>
      <c r="J132" s="134">
        <f>IFERROR(VLOOKUP(Vertailu[[#This Row],[Y-tunnus]],'1.2 Ohjaus-laskentataulu'!A:AG,COLUMN('1.2 Ohjaus-laskentataulu'!AE:AE),FALSE),0)</f>
        <v>1015506</v>
      </c>
      <c r="K132" s="20">
        <f>IFERROR(Vertailu[[#This Row],[Simuloitu rahoitus sis. hark. kor. ilman alv, €]]-Vertailu[[#This Row],[2019 rahoitus sis. hark. kor. ilman alv, €]],0)</f>
        <v>-28043</v>
      </c>
      <c r="L132" s="18">
        <f>IFERROR(Vertailu[[#This Row],[Muutos, € 2]]/Vertailu[[#This Row],[2019 rahoitus sis. hark. kor. ilman alv, €]],0)</f>
        <v>-2.6872719920195409E-2</v>
      </c>
      <c r="M132" s="134">
        <f>IFERROR(VLOOKUP(Vertailu[[#This Row],[Y-tunnus]],'3.2 Suoritepäätös 2019'!$A:$S,COLUMN('3.2 Suoritepäätös 2019'!Q:Q),FALSE)+VLOOKUP(Vertailu[[#This Row],[Y-tunnus]],'3.2 Suoritepäätös 2019'!$A:$S,COLUMN('3.2 Suoritepäätös 2019'!R:R),FALSE),0)</f>
        <v>1097938</v>
      </c>
      <c r="N132" s="132">
        <f>IFERROR(VLOOKUP(Vertailu[[#This Row],[Y-tunnus]],'1.2 Ohjaus-laskentataulu'!A:AG,COLUMN('1.2 Ohjaus-laskentataulu'!AG:AG),FALSE),0)</f>
        <v>1059986.9099999999</v>
      </c>
      <c r="O132" s="142">
        <f>IFERROR(Vertailu[[#This Row],[Simuloitu rahoitus sis. hark. kor. + alv, €]]-Vertailu[[#This Row],[2019 rahoitus sis. hark. kor. + alv, €]],0)</f>
        <v>-37951.090000000084</v>
      </c>
      <c r="P132" s="37">
        <f>IFERROR(Vertailu[[#This Row],[Muutos, € 3]]/Vertailu[[#This Row],[2019 rahoitus sis. hark. kor. + alv, €]],0)</f>
        <v>-3.4565786046206692E-2</v>
      </c>
    </row>
    <row r="133" spans="1:16" x14ac:dyDescent="0.25">
      <c r="A133" s="24" t="s">
        <v>266</v>
      </c>
      <c r="B133" s="143" t="s">
        <v>135</v>
      </c>
      <c r="C133" s="143" t="s">
        <v>240</v>
      </c>
      <c r="D133" s="144" t="s">
        <v>412</v>
      </c>
      <c r="E133" s="20">
        <f>IFERROR(VLOOKUP(Vertailu[[#This Row],[Y-tunnus]],'3.2 Suoritepäätös 2019'!$A:$S,COLUMN('3.2 Suoritepäätös 2019'!Q:Q),FALSE)-VLOOKUP(Vertailu[[#This Row],[Y-tunnus]],'3.2 Suoritepäätös 2019'!$A:$S,COLUMN('3.2 Suoritepäätös 2019'!L:L),FALSE),0)</f>
        <v>2426681</v>
      </c>
      <c r="F133" s="20">
        <f>IFERROR(VLOOKUP(Vertailu[[#This Row],[Y-tunnus]],'1.2 Ohjaus-laskentataulu'!A:AG,COLUMN('1.2 Ohjaus-laskentataulu'!Z:Z),FALSE),0)</f>
        <v>2276233</v>
      </c>
      <c r="G133" s="20">
        <f>IFERROR(Vertailu[[#This Row],[Simuloitu rahoitus pl. hark. kor. ilman alv, €]]-Vertailu[[#This Row],[2019 rahoitus pl. hark. kor. ilman alv, €]],0)</f>
        <v>-150448</v>
      </c>
      <c r="H133" s="37">
        <f>IFERROR(Vertailu[[#This Row],[Muutos, € 1]]/Vertailu[[#This Row],[2019 rahoitus pl. hark. kor. ilman alv, €]],0)</f>
        <v>-6.1997436004155471E-2</v>
      </c>
      <c r="I133" s="132">
        <f>IFERROR(VLOOKUP(Vertailu[[#This Row],[Y-tunnus]],'3.2 Suoritepäätös 2019'!$A:$S,COLUMN('3.2 Suoritepäätös 2019'!Q:Q),FALSE),0)</f>
        <v>2426681</v>
      </c>
      <c r="J133" s="134">
        <f>IFERROR(VLOOKUP(Vertailu[[#This Row],[Y-tunnus]],'1.2 Ohjaus-laskentataulu'!A:AG,COLUMN('1.2 Ohjaus-laskentataulu'!AE:AE),FALSE),0)</f>
        <v>2276233</v>
      </c>
      <c r="K133" s="20">
        <f>IFERROR(Vertailu[[#This Row],[Simuloitu rahoitus sis. hark. kor. ilman alv, €]]-Vertailu[[#This Row],[2019 rahoitus sis. hark. kor. ilman alv, €]],0)</f>
        <v>-150448</v>
      </c>
      <c r="L133" s="18">
        <f>IFERROR(Vertailu[[#This Row],[Muutos, € 2]]/Vertailu[[#This Row],[2019 rahoitus sis. hark. kor. ilman alv, €]],0)</f>
        <v>-6.1997436004155471E-2</v>
      </c>
      <c r="M133" s="134">
        <f>IFERROR(VLOOKUP(Vertailu[[#This Row],[Y-tunnus]],'3.2 Suoritepäätös 2019'!$A:$S,COLUMN('3.2 Suoritepäätös 2019'!Q:Q),FALSE)+VLOOKUP(Vertailu[[#This Row],[Y-tunnus]],'3.2 Suoritepäätös 2019'!$A:$S,COLUMN('3.2 Suoritepäätös 2019'!R:R),FALSE),0)</f>
        <v>2554992</v>
      </c>
      <c r="N133" s="132">
        <f>IFERROR(VLOOKUP(Vertailu[[#This Row],[Y-tunnus]],'1.2 Ohjaus-laskentataulu'!A:AG,COLUMN('1.2 Ohjaus-laskentataulu'!AG:AG),FALSE),0)</f>
        <v>2420872.41</v>
      </c>
      <c r="O133" s="142">
        <f>IFERROR(Vertailu[[#This Row],[Simuloitu rahoitus sis. hark. kor. + alv, €]]-Vertailu[[#This Row],[2019 rahoitus sis. hark. kor. + alv, €]],0)</f>
        <v>-134119.58999999985</v>
      </c>
      <c r="P133" s="37">
        <f>IFERROR(Vertailu[[#This Row],[Muutos, € 3]]/Vertailu[[#This Row],[2019 rahoitus sis. hark. kor. + alv, €]],0)</f>
        <v>-5.2493154577391968E-2</v>
      </c>
    </row>
    <row r="134" spans="1:16" x14ac:dyDescent="0.25">
      <c r="A134" s="24" t="s">
        <v>268</v>
      </c>
      <c r="B134" s="143" t="s">
        <v>177</v>
      </c>
      <c r="C134" s="143" t="s">
        <v>236</v>
      </c>
      <c r="D134" s="144" t="s">
        <v>412</v>
      </c>
      <c r="E134" s="20">
        <f>IFERROR(VLOOKUP(Vertailu[[#This Row],[Y-tunnus]],'3.2 Suoritepäätös 2019'!$A:$S,COLUMN('3.2 Suoritepäätös 2019'!Q:Q),FALSE)-VLOOKUP(Vertailu[[#This Row],[Y-tunnus]],'3.2 Suoritepäätös 2019'!$A:$S,COLUMN('3.2 Suoritepäätös 2019'!L:L),FALSE),0)</f>
        <v>224796</v>
      </c>
      <c r="F134" s="20">
        <f>IFERROR(VLOOKUP(Vertailu[[#This Row],[Y-tunnus]],'1.2 Ohjaus-laskentataulu'!A:AG,COLUMN('1.2 Ohjaus-laskentataulu'!Z:Z),FALSE),0)</f>
        <v>270531</v>
      </c>
      <c r="G134" s="20">
        <f>IFERROR(Vertailu[[#This Row],[Simuloitu rahoitus pl. hark. kor. ilman alv, €]]-Vertailu[[#This Row],[2019 rahoitus pl. hark. kor. ilman alv, €]],0)</f>
        <v>45735</v>
      </c>
      <c r="H134" s="37">
        <f>IFERROR(Vertailu[[#This Row],[Muutos, € 1]]/Vertailu[[#This Row],[2019 rahoitus pl. hark. kor. ilman alv, €]],0)</f>
        <v>0.20345112902364812</v>
      </c>
      <c r="I134" s="132">
        <f>IFERROR(VLOOKUP(Vertailu[[#This Row],[Y-tunnus]],'3.2 Suoritepäätös 2019'!$A:$S,COLUMN('3.2 Suoritepäätös 2019'!Q:Q),FALSE),0)</f>
        <v>224796</v>
      </c>
      <c r="J134" s="134">
        <f>IFERROR(VLOOKUP(Vertailu[[#This Row],[Y-tunnus]],'1.2 Ohjaus-laskentataulu'!A:AG,COLUMN('1.2 Ohjaus-laskentataulu'!AE:AE),FALSE),0)</f>
        <v>270531</v>
      </c>
      <c r="K134" s="20">
        <f>IFERROR(Vertailu[[#This Row],[Simuloitu rahoitus sis. hark. kor. ilman alv, €]]-Vertailu[[#This Row],[2019 rahoitus sis. hark. kor. ilman alv, €]],0)</f>
        <v>45735</v>
      </c>
      <c r="L134" s="18">
        <f>IFERROR(Vertailu[[#This Row],[Muutos, € 2]]/Vertailu[[#This Row],[2019 rahoitus sis. hark. kor. ilman alv, €]],0)</f>
        <v>0.20345112902364812</v>
      </c>
      <c r="M134" s="134">
        <f>IFERROR(VLOOKUP(Vertailu[[#This Row],[Y-tunnus]],'3.2 Suoritepäätös 2019'!$A:$S,COLUMN('3.2 Suoritepäätös 2019'!Q:Q),FALSE)+VLOOKUP(Vertailu[[#This Row],[Y-tunnus]],'3.2 Suoritepäätös 2019'!$A:$S,COLUMN('3.2 Suoritepäätös 2019'!R:R),FALSE),0)</f>
        <v>236918</v>
      </c>
      <c r="N134" s="132">
        <f>IFERROR(VLOOKUP(Vertailu[[#This Row],[Y-tunnus]],'1.2 Ohjaus-laskentataulu'!A:AG,COLUMN('1.2 Ohjaus-laskentataulu'!AG:AG),FALSE),0)</f>
        <v>270531</v>
      </c>
      <c r="O134" s="142">
        <f>IFERROR(Vertailu[[#This Row],[Simuloitu rahoitus sis. hark. kor. + alv, €]]-Vertailu[[#This Row],[2019 rahoitus sis. hark. kor. + alv, €]],0)</f>
        <v>33613</v>
      </c>
      <c r="P134" s="37">
        <f>IFERROR(Vertailu[[#This Row],[Muutos, € 3]]/Vertailu[[#This Row],[2019 rahoitus sis. hark. kor. + alv, €]],0)</f>
        <v>0.14187609215002658</v>
      </c>
    </row>
    <row r="135" spans="1:16" x14ac:dyDescent="0.25">
      <c r="A135" s="24" t="s">
        <v>267</v>
      </c>
      <c r="B135" s="143" t="s">
        <v>136</v>
      </c>
      <c r="C135" s="143" t="s">
        <v>240</v>
      </c>
      <c r="D135" s="144" t="s">
        <v>412</v>
      </c>
      <c r="E135" s="20">
        <f>IFERROR(VLOOKUP(Vertailu[[#This Row],[Y-tunnus]],'3.2 Suoritepäätös 2019'!$A:$S,COLUMN('3.2 Suoritepäätös 2019'!Q:Q),FALSE)-VLOOKUP(Vertailu[[#This Row],[Y-tunnus]],'3.2 Suoritepäätös 2019'!$A:$S,COLUMN('3.2 Suoritepäätös 2019'!L:L),FALSE),0)</f>
        <v>81755</v>
      </c>
      <c r="F135" s="20">
        <f>IFERROR(VLOOKUP(Vertailu[[#This Row],[Y-tunnus]],'1.2 Ohjaus-laskentataulu'!A:AG,COLUMN('1.2 Ohjaus-laskentataulu'!Z:Z),FALSE),0)</f>
        <v>30640</v>
      </c>
      <c r="G135" s="20">
        <f>IFERROR(Vertailu[[#This Row],[Simuloitu rahoitus pl. hark. kor. ilman alv, €]]-Vertailu[[#This Row],[2019 rahoitus pl. hark. kor. ilman alv, €]],0)</f>
        <v>-51115</v>
      </c>
      <c r="H135" s="37">
        <f>IFERROR(Vertailu[[#This Row],[Muutos, € 1]]/Vertailu[[#This Row],[2019 rahoitus pl. hark. kor. ilman alv, €]],0)</f>
        <v>-0.62522169897865576</v>
      </c>
      <c r="I135" s="132">
        <f>IFERROR(VLOOKUP(Vertailu[[#This Row],[Y-tunnus]],'3.2 Suoritepäätös 2019'!$A:$S,COLUMN('3.2 Suoritepäätös 2019'!Q:Q),FALSE),0)</f>
        <v>141755</v>
      </c>
      <c r="J135" s="134">
        <f>IFERROR(VLOOKUP(Vertailu[[#This Row],[Y-tunnus]],'1.2 Ohjaus-laskentataulu'!A:AG,COLUMN('1.2 Ohjaus-laskentataulu'!AE:AE),FALSE),0)</f>
        <v>30640</v>
      </c>
      <c r="K135" s="20">
        <f>IFERROR(Vertailu[[#This Row],[Simuloitu rahoitus sis. hark. kor. ilman alv, €]]-Vertailu[[#This Row],[2019 rahoitus sis. hark. kor. ilman alv, €]],0)</f>
        <v>-111115</v>
      </c>
      <c r="L135" s="18">
        <f>IFERROR(Vertailu[[#This Row],[Muutos, € 2]]/Vertailu[[#This Row],[2019 rahoitus sis. hark. kor. ilman alv, €]],0)</f>
        <v>-0.78385242143134282</v>
      </c>
      <c r="M135" s="134">
        <f>IFERROR(VLOOKUP(Vertailu[[#This Row],[Y-tunnus]],'3.2 Suoritepäätös 2019'!$A:$S,COLUMN('3.2 Suoritepäätös 2019'!Q:Q),FALSE)+VLOOKUP(Vertailu[[#This Row],[Y-tunnus]],'3.2 Suoritepäätös 2019'!$A:$S,COLUMN('3.2 Suoritepäätös 2019'!R:R),FALSE),0)</f>
        <v>149687</v>
      </c>
      <c r="N135" s="132">
        <f>IFERROR(VLOOKUP(Vertailu[[#This Row],[Y-tunnus]],'1.2 Ohjaus-laskentataulu'!A:AG,COLUMN('1.2 Ohjaus-laskentataulu'!AG:AG),FALSE),0)</f>
        <v>57783.75</v>
      </c>
      <c r="O135" s="142">
        <f>IFERROR(Vertailu[[#This Row],[Simuloitu rahoitus sis. hark. kor. + alv, €]]-Vertailu[[#This Row],[2019 rahoitus sis. hark. kor. + alv, €]],0)</f>
        <v>-91903.25</v>
      </c>
      <c r="P135" s="37">
        <f>IFERROR(Vertailu[[#This Row],[Muutos, € 3]]/Vertailu[[#This Row],[2019 rahoitus sis. hark. kor. + alv, €]],0)</f>
        <v>-0.6139694829878346</v>
      </c>
    </row>
    <row r="136" spans="1:16" x14ac:dyDescent="0.25">
      <c r="A136" s="24" t="s">
        <v>265</v>
      </c>
      <c r="B136" s="143" t="s">
        <v>178</v>
      </c>
      <c r="C136" s="143" t="s">
        <v>236</v>
      </c>
      <c r="D136" s="144" t="s">
        <v>412</v>
      </c>
      <c r="E136" s="20">
        <f>IFERROR(VLOOKUP(Vertailu[[#This Row],[Y-tunnus]],'3.2 Suoritepäätös 2019'!$A:$S,COLUMN('3.2 Suoritepäätös 2019'!Q:Q),FALSE)-VLOOKUP(Vertailu[[#This Row],[Y-tunnus]],'3.2 Suoritepäätös 2019'!$A:$S,COLUMN('3.2 Suoritepäätös 2019'!L:L),FALSE),0)</f>
        <v>36904</v>
      </c>
      <c r="F136" s="20">
        <f>IFERROR(VLOOKUP(Vertailu[[#This Row],[Y-tunnus]],'1.2 Ohjaus-laskentataulu'!A:AG,COLUMN('1.2 Ohjaus-laskentataulu'!Z:Z),FALSE),0)</f>
        <v>44391</v>
      </c>
      <c r="G136" s="20">
        <f>IFERROR(Vertailu[[#This Row],[Simuloitu rahoitus pl. hark. kor. ilman alv, €]]-Vertailu[[#This Row],[2019 rahoitus pl. hark. kor. ilman alv, €]],0)</f>
        <v>7487</v>
      </c>
      <c r="H136" s="37">
        <f>IFERROR(Vertailu[[#This Row],[Muutos, € 1]]/Vertailu[[#This Row],[2019 rahoitus pl. hark. kor. ilman alv, €]],0)</f>
        <v>0.20287773683069585</v>
      </c>
      <c r="I136" s="132">
        <f>IFERROR(VLOOKUP(Vertailu[[#This Row],[Y-tunnus]],'3.2 Suoritepäätös 2019'!$A:$S,COLUMN('3.2 Suoritepäätös 2019'!Q:Q),FALSE),0)</f>
        <v>36904</v>
      </c>
      <c r="J136" s="134">
        <f>IFERROR(VLOOKUP(Vertailu[[#This Row],[Y-tunnus]],'1.2 Ohjaus-laskentataulu'!A:AG,COLUMN('1.2 Ohjaus-laskentataulu'!AE:AE),FALSE),0)</f>
        <v>44391</v>
      </c>
      <c r="K136" s="20">
        <f>IFERROR(Vertailu[[#This Row],[Simuloitu rahoitus sis. hark. kor. ilman alv, €]]-Vertailu[[#This Row],[2019 rahoitus sis. hark. kor. ilman alv, €]],0)</f>
        <v>7487</v>
      </c>
      <c r="L136" s="18">
        <f>IFERROR(Vertailu[[#This Row],[Muutos, € 2]]/Vertailu[[#This Row],[2019 rahoitus sis. hark. kor. ilman alv, €]],0)</f>
        <v>0.20287773683069585</v>
      </c>
      <c r="M136" s="134">
        <f>IFERROR(VLOOKUP(Vertailu[[#This Row],[Y-tunnus]],'3.2 Suoritepäätös 2019'!$A:$S,COLUMN('3.2 Suoritepäätös 2019'!Q:Q),FALSE)+VLOOKUP(Vertailu[[#This Row],[Y-tunnus]],'3.2 Suoritepäätös 2019'!$A:$S,COLUMN('3.2 Suoritepäätös 2019'!R:R),FALSE),0)</f>
        <v>38825</v>
      </c>
      <c r="N136" s="132">
        <f>IFERROR(VLOOKUP(Vertailu[[#This Row],[Y-tunnus]],'1.2 Ohjaus-laskentataulu'!A:AG,COLUMN('1.2 Ohjaus-laskentataulu'!AG:AG),FALSE),0)</f>
        <v>45732.6</v>
      </c>
      <c r="O136" s="142">
        <f>IFERROR(Vertailu[[#This Row],[Simuloitu rahoitus sis. hark. kor. + alv, €]]-Vertailu[[#This Row],[2019 rahoitus sis. hark. kor. + alv, €]],0)</f>
        <v>6907.5999999999985</v>
      </c>
      <c r="P136" s="37">
        <f>IFERROR(Vertailu[[#This Row],[Muutos, € 3]]/Vertailu[[#This Row],[2019 rahoitus sis. hark. kor. + alv, €]],0)</f>
        <v>0.17791629104958143</v>
      </c>
    </row>
    <row r="137" spans="1:16" x14ac:dyDescent="0.25">
      <c r="A137" s="24" t="s">
        <v>264</v>
      </c>
      <c r="B137" s="143" t="s">
        <v>137</v>
      </c>
      <c r="C137" s="143" t="s">
        <v>252</v>
      </c>
      <c r="D137" s="144" t="s">
        <v>412</v>
      </c>
      <c r="E137" s="20">
        <f>IFERROR(VLOOKUP(Vertailu[[#This Row],[Y-tunnus]],'3.2 Suoritepäätös 2019'!$A:$S,COLUMN('3.2 Suoritepäätös 2019'!Q:Q),FALSE)-VLOOKUP(Vertailu[[#This Row],[Y-tunnus]],'3.2 Suoritepäätös 2019'!$A:$S,COLUMN('3.2 Suoritepäätös 2019'!L:L),FALSE),0)</f>
        <v>8488940</v>
      </c>
      <c r="F137" s="20">
        <f>IFERROR(VLOOKUP(Vertailu[[#This Row],[Y-tunnus]],'1.2 Ohjaus-laskentataulu'!A:AG,COLUMN('1.2 Ohjaus-laskentataulu'!Z:Z),FALSE),0)</f>
        <v>6859930</v>
      </c>
      <c r="G137" s="20">
        <f>IFERROR(Vertailu[[#This Row],[Simuloitu rahoitus pl. hark. kor. ilman alv, €]]-Vertailu[[#This Row],[2019 rahoitus pl. hark. kor. ilman alv, €]],0)</f>
        <v>-1629010</v>
      </c>
      <c r="H137" s="37">
        <f>IFERROR(Vertailu[[#This Row],[Muutos, € 1]]/Vertailu[[#This Row],[2019 rahoitus pl. hark. kor. ilman alv, €]],0)</f>
        <v>-0.19189792836325856</v>
      </c>
      <c r="I137" s="132">
        <f>IFERROR(VLOOKUP(Vertailu[[#This Row],[Y-tunnus]],'3.2 Suoritepäätös 2019'!$A:$S,COLUMN('3.2 Suoritepäätös 2019'!Q:Q),FALSE),0)</f>
        <v>8698940</v>
      </c>
      <c r="J137" s="134">
        <f>IFERROR(VLOOKUP(Vertailu[[#This Row],[Y-tunnus]],'1.2 Ohjaus-laskentataulu'!A:AG,COLUMN('1.2 Ohjaus-laskentataulu'!AE:AE),FALSE),0)</f>
        <v>6859930</v>
      </c>
      <c r="K137" s="20">
        <f>IFERROR(Vertailu[[#This Row],[Simuloitu rahoitus sis. hark. kor. ilman alv, €]]-Vertailu[[#This Row],[2019 rahoitus sis. hark. kor. ilman alv, €]],0)</f>
        <v>-1839010</v>
      </c>
      <c r="L137" s="18">
        <f>IFERROR(Vertailu[[#This Row],[Muutos, € 2]]/Vertailu[[#This Row],[2019 rahoitus sis. hark. kor. ilman alv, €]],0)</f>
        <v>-0.21140621730923537</v>
      </c>
      <c r="M137" s="134">
        <f>IFERROR(VLOOKUP(Vertailu[[#This Row],[Y-tunnus]],'3.2 Suoritepäätös 2019'!$A:$S,COLUMN('3.2 Suoritepäätös 2019'!Q:Q),FALSE)+VLOOKUP(Vertailu[[#This Row],[Y-tunnus]],'3.2 Suoritepäätös 2019'!$A:$S,COLUMN('3.2 Suoritepäätös 2019'!R:R),FALSE),0)</f>
        <v>9162408</v>
      </c>
      <c r="N137" s="132">
        <f>IFERROR(VLOOKUP(Vertailu[[#This Row],[Y-tunnus]],'1.2 Ohjaus-laskentataulu'!A:AG,COLUMN('1.2 Ohjaus-laskentataulu'!AG:AG),FALSE),0)</f>
        <v>7304591.5099999998</v>
      </c>
      <c r="O137" s="142">
        <f>IFERROR(Vertailu[[#This Row],[Simuloitu rahoitus sis. hark. kor. + alv, €]]-Vertailu[[#This Row],[2019 rahoitus sis. hark. kor. + alv, €]],0)</f>
        <v>-1857816.4900000002</v>
      </c>
      <c r="P137" s="37">
        <f>IFERROR(Vertailu[[#This Row],[Muutos, € 3]]/Vertailu[[#This Row],[2019 rahoitus sis. hark. kor. + alv, €]],0)</f>
        <v>-0.20276509079272612</v>
      </c>
    </row>
    <row r="138" spans="1:16" x14ac:dyDescent="0.25">
      <c r="A138" s="24" t="s">
        <v>263</v>
      </c>
      <c r="B138" s="143" t="s">
        <v>138</v>
      </c>
      <c r="C138" s="143" t="s">
        <v>252</v>
      </c>
      <c r="D138" s="144" t="s">
        <v>412</v>
      </c>
      <c r="E138" s="20">
        <f>IFERROR(VLOOKUP(Vertailu[[#This Row],[Y-tunnus]],'3.2 Suoritepäätös 2019'!$A:$S,COLUMN('3.2 Suoritepäätös 2019'!Q:Q),FALSE)-VLOOKUP(Vertailu[[#This Row],[Y-tunnus]],'3.2 Suoritepäätös 2019'!$A:$S,COLUMN('3.2 Suoritepäätös 2019'!L:L),FALSE),0)</f>
        <v>3236089</v>
      </c>
      <c r="F138" s="20">
        <f>IFERROR(VLOOKUP(Vertailu[[#This Row],[Y-tunnus]],'1.2 Ohjaus-laskentataulu'!A:AG,COLUMN('1.2 Ohjaus-laskentataulu'!Z:Z),FALSE),0)</f>
        <v>2763033</v>
      </c>
      <c r="G138" s="20">
        <f>IFERROR(Vertailu[[#This Row],[Simuloitu rahoitus pl. hark. kor. ilman alv, €]]-Vertailu[[#This Row],[2019 rahoitus pl. hark. kor. ilman alv, €]],0)</f>
        <v>-473056</v>
      </c>
      <c r="H138" s="37">
        <f>IFERROR(Vertailu[[#This Row],[Muutos, € 1]]/Vertailu[[#This Row],[2019 rahoitus pl. hark. kor. ilman alv, €]],0)</f>
        <v>-0.1461813936514107</v>
      </c>
      <c r="I138" s="132">
        <f>IFERROR(VLOOKUP(Vertailu[[#This Row],[Y-tunnus]],'3.2 Suoritepäätös 2019'!$A:$S,COLUMN('3.2 Suoritepäätös 2019'!Q:Q),FALSE),0)</f>
        <v>3236089</v>
      </c>
      <c r="J138" s="134">
        <f>IFERROR(VLOOKUP(Vertailu[[#This Row],[Y-tunnus]],'1.2 Ohjaus-laskentataulu'!A:AG,COLUMN('1.2 Ohjaus-laskentataulu'!AE:AE),FALSE),0)</f>
        <v>2763033</v>
      </c>
      <c r="K138" s="20">
        <f>IFERROR(Vertailu[[#This Row],[Simuloitu rahoitus sis. hark. kor. ilman alv, €]]-Vertailu[[#This Row],[2019 rahoitus sis. hark. kor. ilman alv, €]],0)</f>
        <v>-473056</v>
      </c>
      <c r="L138" s="18">
        <f>IFERROR(Vertailu[[#This Row],[Muutos, € 2]]/Vertailu[[#This Row],[2019 rahoitus sis. hark. kor. ilman alv, €]],0)</f>
        <v>-0.1461813936514107</v>
      </c>
      <c r="M138" s="134">
        <f>IFERROR(VLOOKUP(Vertailu[[#This Row],[Y-tunnus]],'3.2 Suoritepäätös 2019'!$A:$S,COLUMN('3.2 Suoritepäätös 2019'!Q:Q),FALSE)+VLOOKUP(Vertailu[[#This Row],[Y-tunnus]],'3.2 Suoritepäätös 2019'!$A:$S,COLUMN('3.2 Suoritepäätös 2019'!R:R),FALSE),0)</f>
        <v>3408497</v>
      </c>
      <c r="N138" s="132">
        <f>IFERROR(VLOOKUP(Vertailu[[#This Row],[Y-tunnus]],'1.2 Ohjaus-laskentataulu'!A:AG,COLUMN('1.2 Ohjaus-laskentataulu'!AG:AG),FALSE),0)</f>
        <v>2902033</v>
      </c>
      <c r="O138" s="142">
        <f>IFERROR(Vertailu[[#This Row],[Simuloitu rahoitus sis. hark. kor. + alv, €]]-Vertailu[[#This Row],[2019 rahoitus sis. hark. kor. + alv, €]],0)</f>
        <v>-506464</v>
      </c>
      <c r="P138" s="37">
        <f>IFERROR(Vertailu[[#This Row],[Muutos, € 3]]/Vertailu[[#This Row],[2019 rahoitus sis. hark. kor. + alv, €]],0)</f>
        <v>-0.14858865945899322</v>
      </c>
    </row>
    <row r="139" spans="1:16" x14ac:dyDescent="0.25">
      <c r="A139" s="24" t="s">
        <v>262</v>
      </c>
      <c r="B139" s="143" t="s">
        <v>139</v>
      </c>
      <c r="C139" s="143" t="s">
        <v>252</v>
      </c>
      <c r="D139" s="144" t="s">
        <v>413</v>
      </c>
      <c r="E139" s="20">
        <f>IFERROR(VLOOKUP(Vertailu[[#This Row],[Y-tunnus]],'3.2 Suoritepäätös 2019'!$A:$S,COLUMN('3.2 Suoritepäätös 2019'!Q:Q),FALSE)-VLOOKUP(Vertailu[[#This Row],[Y-tunnus]],'3.2 Suoritepäätös 2019'!$A:$S,COLUMN('3.2 Suoritepäätös 2019'!L:L),FALSE),0)</f>
        <v>42588105</v>
      </c>
      <c r="F139" s="20">
        <f>IFERROR(VLOOKUP(Vertailu[[#This Row],[Y-tunnus]],'1.2 Ohjaus-laskentataulu'!A:AG,COLUMN('1.2 Ohjaus-laskentataulu'!Z:Z),FALSE),0)</f>
        <v>39962060</v>
      </c>
      <c r="G139" s="20">
        <f>IFERROR(Vertailu[[#This Row],[Simuloitu rahoitus pl. hark. kor. ilman alv, €]]-Vertailu[[#This Row],[2019 rahoitus pl. hark. kor. ilman alv, €]],0)</f>
        <v>-2626045</v>
      </c>
      <c r="H139" s="37">
        <f>IFERROR(Vertailu[[#This Row],[Muutos, € 1]]/Vertailu[[#This Row],[2019 rahoitus pl. hark. kor. ilman alv, €]],0)</f>
        <v>-6.1661466270922359E-2</v>
      </c>
      <c r="I139" s="132">
        <f>IFERROR(VLOOKUP(Vertailu[[#This Row],[Y-tunnus]],'3.2 Suoritepäätös 2019'!$A:$S,COLUMN('3.2 Suoritepäätös 2019'!Q:Q),FALSE),0)</f>
        <v>42588105</v>
      </c>
      <c r="J139" s="134">
        <f>IFERROR(VLOOKUP(Vertailu[[#This Row],[Y-tunnus]],'1.2 Ohjaus-laskentataulu'!A:AG,COLUMN('1.2 Ohjaus-laskentataulu'!AE:AE),FALSE),0)</f>
        <v>39962060</v>
      </c>
      <c r="K139" s="20">
        <f>IFERROR(Vertailu[[#This Row],[Simuloitu rahoitus sis. hark. kor. ilman alv, €]]-Vertailu[[#This Row],[2019 rahoitus sis. hark. kor. ilman alv, €]],0)</f>
        <v>-2626045</v>
      </c>
      <c r="L139" s="18">
        <f>IFERROR(Vertailu[[#This Row],[Muutos, € 2]]/Vertailu[[#This Row],[2019 rahoitus sis. hark. kor. ilman alv, €]],0)</f>
        <v>-6.1661466270922359E-2</v>
      </c>
      <c r="M139" s="134">
        <f>IFERROR(VLOOKUP(Vertailu[[#This Row],[Y-tunnus]],'3.2 Suoritepäätös 2019'!$A:$S,COLUMN('3.2 Suoritepäätös 2019'!Q:Q),FALSE)+VLOOKUP(Vertailu[[#This Row],[Y-tunnus]],'3.2 Suoritepäätös 2019'!$A:$S,COLUMN('3.2 Suoritepäätös 2019'!R:R),FALSE),0)</f>
        <v>42588105</v>
      </c>
      <c r="N139" s="132">
        <f>IFERROR(VLOOKUP(Vertailu[[#This Row],[Y-tunnus]],'1.2 Ohjaus-laskentataulu'!A:AG,COLUMN('1.2 Ohjaus-laskentataulu'!AG:AG),FALSE),0)</f>
        <v>39962060</v>
      </c>
      <c r="O139" s="142">
        <f>IFERROR(Vertailu[[#This Row],[Simuloitu rahoitus sis. hark. kor. + alv, €]]-Vertailu[[#This Row],[2019 rahoitus sis. hark. kor. + alv, €]],0)</f>
        <v>-2626045</v>
      </c>
      <c r="P139" s="37">
        <f>IFERROR(Vertailu[[#This Row],[Muutos, € 3]]/Vertailu[[#This Row],[2019 rahoitus sis. hark. kor. + alv, €]],0)</f>
        <v>-6.1661466270922359E-2</v>
      </c>
    </row>
    <row r="140" spans="1:16" x14ac:dyDescent="0.25">
      <c r="A140" s="24" t="s">
        <v>261</v>
      </c>
      <c r="B140" s="143" t="s">
        <v>141</v>
      </c>
      <c r="C140" s="143" t="s">
        <v>252</v>
      </c>
      <c r="D140" s="144" t="s">
        <v>412</v>
      </c>
      <c r="E140" s="20">
        <f>IFERROR(VLOOKUP(Vertailu[[#This Row],[Y-tunnus]],'3.2 Suoritepäätös 2019'!$A:$S,COLUMN('3.2 Suoritepäätös 2019'!Q:Q),FALSE)-VLOOKUP(Vertailu[[#This Row],[Y-tunnus]],'3.2 Suoritepäätös 2019'!$A:$S,COLUMN('3.2 Suoritepäätös 2019'!L:L),FALSE),0)</f>
        <v>1960533</v>
      </c>
      <c r="F140" s="20">
        <f>IFERROR(VLOOKUP(Vertailu[[#This Row],[Y-tunnus]],'1.2 Ohjaus-laskentataulu'!A:AG,COLUMN('1.2 Ohjaus-laskentataulu'!Z:Z),FALSE),0)</f>
        <v>2075613</v>
      </c>
      <c r="G140" s="20">
        <f>IFERROR(Vertailu[[#This Row],[Simuloitu rahoitus pl. hark. kor. ilman alv, €]]-Vertailu[[#This Row],[2019 rahoitus pl. hark. kor. ilman alv, €]],0)</f>
        <v>115080</v>
      </c>
      <c r="H140" s="37">
        <f>IFERROR(Vertailu[[#This Row],[Muutos, € 1]]/Vertailu[[#This Row],[2019 rahoitus pl. hark. kor. ilman alv, €]],0)</f>
        <v>5.8698323364105576E-2</v>
      </c>
      <c r="I140" s="132">
        <f>IFERROR(VLOOKUP(Vertailu[[#This Row],[Y-tunnus]],'3.2 Suoritepäätös 2019'!$A:$S,COLUMN('3.2 Suoritepäätös 2019'!Q:Q),FALSE),0)</f>
        <v>1960533</v>
      </c>
      <c r="J140" s="134">
        <f>IFERROR(VLOOKUP(Vertailu[[#This Row],[Y-tunnus]],'1.2 Ohjaus-laskentataulu'!A:AG,COLUMN('1.2 Ohjaus-laskentataulu'!AE:AE),FALSE),0)</f>
        <v>2075613</v>
      </c>
      <c r="K140" s="20">
        <f>IFERROR(Vertailu[[#This Row],[Simuloitu rahoitus sis. hark. kor. ilman alv, €]]-Vertailu[[#This Row],[2019 rahoitus sis. hark. kor. ilman alv, €]],0)</f>
        <v>115080</v>
      </c>
      <c r="L140" s="18">
        <f>IFERROR(Vertailu[[#This Row],[Muutos, € 2]]/Vertailu[[#This Row],[2019 rahoitus sis. hark. kor. ilman alv, €]],0)</f>
        <v>5.8698323364105576E-2</v>
      </c>
      <c r="M140" s="134">
        <f>IFERROR(VLOOKUP(Vertailu[[#This Row],[Y-tunnus]],'3.2 Suoritepäätös 2019'!$A:$S,COLUMN('3.2 Suoritepäätös 2019'!Q:Q),FALSE)+VLOOKUP(Vertailu[[#This Row],[Y-tunnus]],'3.2 Suoritepäätös 2019'!$A:$S,COLUMN('3.2 Suoritepäätös 2019'!R:R),FALSE),0)</f>
        <v>2065332</v>
      </c>
      <c r="N140" s="132">
        <f>IFERROR(VLOOKUP(Vertailu[[#This Row],[Y-tunnus]],'1.2 Ohjaus-laskentataulu'!A:AG,COLUMN('1.2 Ohjaus-laskentataulu'!AG:AG),FALSE),0)</f>
        <v>2194443</v>
      </c>
      <c r="O140" s="142">
        <f>IFERROR(Vertailu[[#This Row],[Simuloitu rahoitus sis. hark. kor. + alv, €]]-Vertailu[[#This Row],[2019 rahoitus sis. hark. kor. + alv, €]],0)</f>
        <v>129111</v>
      </c>
      <c r="P140" s="37">
        <f>IFERROR(Vertailu[[#This Row],[Muutos, € 3]]/Vertailu[[#This Row],[2019 rahoitus sis. hark. kor. + alv, €]],0)</f>
        <v>6.2513436096472627E-2</v>
      </c>
    </row>
    <row r="141" spans="1:16" x14ac:dyDescent="0.25">
      <c r="A141" s="24" t="s">
        <v>585</v>
      </c>
      <c r="B141" s="143" t="s">
        <v>586</v>
      </c>
      <c r="C141" s="143" t="s">
        <v>252</v>
      </c>
      <c r="D141" s="144" t="s">
        <v>412</v>
      </c>
      <c r="E141" s="20">
        <f>IFERROR(VLOOKUP(Vertailu[[#This Row],[Y-tunnus]],'3.2 Suoritepäätös 2019'!$A:$S,COLUMN('3.2 Suoritepäätös 2019'!Q:Q),FALSE)-VLOOKUP(Vertailu[[#This Row],[Y-tunnus]],'3.2 Suoritepäätös 2019'!$A:$S,COLUMN('3.2 Suoritepäätös 2019'!L:L),FALSE),0)</f>
        <v>1215966</v>
      </c>
      <c r="F141" s="20">
        <f>IFERROR(VLOOKUP(Vertailu[[#This Row],[Y-tunnus]],'1.2 Ohjaus-laskentataulu'!A:AG,COLUMN('1.2 Ohjaus-laskentataulu'!Z:Z),FALSE),0)</f>
        <v>1141824</v>
      </c>
      <c r="G141" s="20">
        <f>IFERROR(Vertailu[[#This Row],[Simuloitu rahoitus pl. hark. kor. ilman alv, €]]-Vertailu[[#This Row],[2019 rahoitus pl. hark. kor. ilman alv, €]],0)</f>
        <v>-74142</v>
      </c>
      <c r="H141" s="37">
        <f>IFERROR(Vertailu[[#This Row],[Muutos, € 1]]/Vertailu[[#This Row],[2019 rahoitus pl. hark. kor. ilman alv, €]],0)</f>
        <v>-6.0973744331667169E-2</v>
      </c>
      <c r="I141" s="132">
        <f>IFERROR(VLOOKUP(Vertailu[[#This Row],[Y-tunnus]],'3.2 Suoritepäätös 2019'!$A:$S,COLUMN('3.2 Suoritepäätös 2019'!Q:Q),FALSE),0)</f>
        <v>1215966</v>
      </c>
      <c r="J141" s="134">
        <f>IFERROR(VLOOKUP(Vertailu[[#This Row],[Y-tunnus]],'1.2 Ohjaus-laskentataulu'!A:AG,COLUMN('1.2 Ohjaus-laskentataulu'!AE:AE),FALSE),0)</f>
        <v>1141824</v>
      </c>
      <c r="K141" s="20">
        <f>IFERROR(Vertailu[[#This Row],[Simuloitu rahoitus sis. hark. kor. ilman alv, €]]-Vertailu[[#This Row],[2019 rahoitus sis. hark. kor. ilman alv, €]],0)</f>
        <v>-74142</v>
      </c>
      <c r="L141" s="18">
        <f>IFERROR(Vertailu[[#This Row],[Muutos, € 2]]/Vertailu[[#This Row],[2019 rahoitus sis. hark. kor. ilman alv, €]],0)</f>
        <v>-6.0973744331667169E-2</v>
      </c>
      <c r="M141" s="134">
        <f>IFERROR(VLOOKUP(Vertailu[[#This Row],[Y-tunnus]],'3.2 Suoritepäätös 2019'!$A:$S,COLUMN('3.2 Suoritepäätös 2019'!Q:Q),FALSE)+VLOOKUP(Vertailu[[#This Row],[Y-tunnus]],'3.2 Suoritepäätös 2019'!$A:$S,COLUMN('3.2 Suoritepäätös 2019'!R:R),FALSE),0)</f>
        <v>1277079</v>
      </c>
      <c r="N141" s="132">
        <f>IFERROR(VLOOKUP(Vertailu[[#This Row],[Y-tunnus]],'1.2 Ohjaus-laskentataulu'!A:AG,COLUMN('1.2 Ohjaus-laskentataulu'!AG:AG),FALSE),0)</f>
        <v>1167293.76</v>
      </c>
      <c r="O141" s="142">
        <f>IFERROR(Vertailu[[#This Row],[Simuloitu rahoitus sis. hark. kor. + alv, €]]-Vertailu[[#This Row],[2019 rahoitus sis. hark. kor. + alv, €]],0)</f>
        <v>-109785.23999999999</v>
      </c>
      <c r="P141" s="37">
        <f>IFERROR(Vertailu[[#This Row],[Muutos, € 3]]/Vertailu[[#This Row],[2019 rahoitus sis. hark. kor. + alv, €]],0)</f>
        <v>-8.5965895610216739E-2</v>
      </c>
    </row>
    <row r="142" spans="1:16" x14ac:dyDescent="0.25">
      <c r="A142" s="24" t="s">
        <v>328</v>
      </c>
      <c r="B142" s="143" t="s">
        <v>156</v>
      </c>
      <c r="C142" s="143" t="s">
        <v>252</v>
      </c>
      <c r="D142" s="144" t="s">
        <v>412</v>
      </c>
      <c r="E142" s="20">
        <f>IFERROR(VLOOKUP(Vertailu[[#This Row],[Y-tunnus]],'3.2 Suoritepäätös 2019'!$A:$S,COLUMN('3.2 Suoritepäätös 2019'!Q:Q),FALSE)-VLOOKUP(Vertailu[[#This Row],[Y-tunnus]],'3.2 Suoritepäätös 2019'!$A:$S,COLUMN('3.2 Suoritepäätös 2019'!L:L),FALSE),0)</f>
        <v>211686</v>
      </c>
      <c r="F142" s="20">
        <f>IFERROR(VLOOKUP(Vertailu[[#This Row],[Y-tunnus]],'1.2 Ohjaus-laskentataulu'!A:AG,COLUMN('1.2 Ohjaus-laskentataulu'!Z:Z),FALSE),0)</f>
        <v>207017</v>
      </c>
      <c r="G142" s="20">
        <f>IFERROR(Vertailu[[#This Row],[Simuloitu rahoitus pl. hark. kor. ilman alv, €]]-Vertailu[[#This Row],[2019 rahoitus pl. hark. kor. ilman alv, €]],0)</f>
        <v>-4669</v>
      </c>
      <c r="H142" s="37">
        <f>IFERROR(Vertailu[[#This Row],[Muutos, € 1]]/Vertailu[[#This Row],[2019 rahoitus pl. hark. kor. ilman alv, €]],0)</f>
        <v>-2.2056253129635404E-2</v>
      </c>
      <c r="I142" s="132">
        <f>IFERROR(VLOOKUP(Vertailu[[#This Row],[Y-tunnus]],'3.2 Suoritepäätös 2019'!$A:$S,COLUMN('3.2 Suoritepäätös 2019'!Q:Q),FALSE),0)</f>
        <v>211686</v>
      </c>
      <c r="J142" s="134">
        <f>IFERROR(VLOOKUP(Vertailu[[#This Row],[Y-tunnus]],'1.2 Ohjaus-laskentataulu'!A:AG,COLUMN('1.2 Ohjaus-laskentataulu'!AE:AE),FALSE),0)</f>
        <v>207017</v>
      </c>
      <c r="K142" s="20">
        <f>IFERROR(Vertailu[[#This Row],[Simuloitu rahoitus sis. hark. kor. ilman alv, €]]-Vertailu[[#This Row],[2019 rahoitus sis. hark. kor. ilman alv, €]],0)</f>
        <v>-4669</v>
      </c>
      <c r="L142" s="18">
        <f>IFERROR(Vertailu[[#This Row],[Muutos, € 2]]/Vertailu[[#This Row],[2019 rahoitus sis. hark. kor. ilman alv, €]],0)</f>
        <v>-2.2056253129635404E-2</v>
      </c>
      <c r="M142" s="134">
        <f>IFERROR(VLOOKUP(Vertailu[[#This Row],[Y-tunnus]],'3.2 Suoritepäätös 2019'!$A:$S,COLUMN('3.2 Suoritepäätös 2019'!Q:Q),FALSE)+VLOOKUP(Vertailu[[#This Row],[Y-tunnus]],'3.2 Suoritepäätös 2019'!$A:$S,COLUMN('3.2 Suoritepäätös 2019'!R:R),FALSE),0)</f>
        <v>222481</v>
      </c>
      <c r="N142" s="132">
        <f>IFERROR(VLOOKUP(Vertailu[[#This Row],[Y-tunnus]],'1.2 Ohjaus-laskentataulu'!A:AG,COLUMN('1.2 Ohjaus-laskentataulu'!AG:AG),FALSE),0)</f>
        <v>219700.2</v>
      </c>
      <c r="O142" s="142">
        <f>IFERROR(Vertailu[[#This Row],[Simuloitu rahoitus sis. hark. kor. + alv, €]]-Vertailu[[#This Row],[2019 rahoitus sis. hark. kor. + alv, €]],0)</f>
        <v>-2780.7999999999884</v>
      </c>
      <c r="P142" s="37">
        <f>IFERROR(Vertailu[[#This Row],[Muutos, € 3]]/Vertailu[[#This Row],[2019 rahoitus sis. hark. kor. + alv, €]],0)</f>
        <v>-1.2499044862257848E-2</v>
      </c>
    </row>
    <row r="143" spans="1:16" x14ac:dyDescent="0.25">
      <c r="A143" s="24" t="s">
        <v>260</v>
      </c>
      <c r="B143" s="143" t="s">
        <v>142</v>
      </c>
      <c r="C143" s="143" t="s">
        <v>236</v>
      </c>
      <c r="D143" s="144" t="s">
        <v>412</v>
      </c>
      <c r="E143" s="20">
        <f>IFERROR(VLOOKUP(Vertailu[[#This Row],[Y-tunnus]],'3.2 Suoritepäätös 2019'!$A:$S,COLUMN('3.2 Suoritepäätös 2019'!Q:Q),FALSE)-VLOOKUP(Vertailu[[#This Row],[Y-tunnus]],'3.2 Suoritepäätös 2019'!$A:$S,COLUMN('3.2 Suoritepäätös 2019'!L:L),FALSE),0)</f>
        <v>11082006</v>
      </c>
      <c r="F143" s="20">
        <f>IFERROR(VLOOKUP(Vertailu[[#This Row],[Y-tunnus]],'1.2 Ohjaus-laskentataulu'!A:AG,COLUMN('1.2 Ohjaus-laskentataulu'!Z:Z),FALSE),0)</f>
        <v>9495872</v>
      </c>
      <c r="G143" s="20">
        <f>IFERROR(Vertailu[[#This Row],[Simuloitu rahoitus pl. hark. kor. ilman alv, €]]-Vertailu[[#This Row],[2019 rahoitus pl. hark. kor. ilman alv, €]],0)</f>
        <v>-1586134</v>
      </c>
      <c r="H143" s="37">
        <f>IFERROR(Vertailu[[#This Row],[Muutos, € 1]]/Vertailu[[#This Row],[2019 rahoitus pl. hark. kor. ilman alv, €]],0)</f>
        <v>-0.1431269753869471</v>
      </c>
      <c r="I143" s="132">
        <f>IFERROR(VLOOKUP(Vertailu[[#This Row],[Y-tunnus]],'3.2 Suoritepäätös 2019'!$A:$S,COLUMN('3.2 Suoritepäätös 2019'!Q:Q),FALSE),0)</f>
        <v>11182006</v>
      </c>
      <c r="J143" s="134">
        <f>IFERROR(VLOOKUP(Vertailu[[#This Row],[Y-tunnus]],'1.2 Ohjaus-laskentataulu'!A:AG,COLUMN('1.2 Ohjaus-laskentataulu'!AE:AE),FALSE),0)</f>
        <v>9495872</v>
      </c>
      <c r="K143" s="20">
        <f>IFERROR(Vertailu[[#This Row],[Simuloitu rahoitus sis. hark. kor. ilman alv, €]]-Vertailu[[#This Row],[2019 rahoitus sis. hark. kor. ilman alv, €]],0)</f>
        <v>-1686134</v>
      </c>
      <c r="L143" s="18">
        <f>IFERROR(Vertailu[[#This Row],[Muutos, € 2]]/Vertailu[[#This Row],[2019 rahoitus sis. hark. kor. ilman alv, €]],0)</f>
        <v>-0.150789938764118</v>
      </c>
      <c r="M143" s="134">
        <f>IFERROR(VLOOKUP(Vertailu[[#This Row],[Y-tunnus]],'3.2 Suoritepäätös 2019'!$A:$S,COLUMN('3.2 Suoritepäätös 2019'!Q:Q),FALSE)+VLOOKUP(Vertailu[[#This Row],[Y-tunnus]],'3.2 Suoritepäätös 2019'!$A:$S,COLUMN('3.2 Suoritepäätös 2019'!R:R),FALSE),0)</f>
        <v>11778609</v>
      </c>
      <c r="N143" s="132">
        <f>IFERROR(VLOOKUP(Vertailu[[#This Row],[Y-tunnus]],'1.2 Ohjaus-laskentataulu'!A:AG,COLUMN('1.2 Ohjaus-laskentataulu'!AG:AG),FALSE),0)</f>
        <v>10428549.869999999</v>
      </c>
      <c r="O143" s="142">
        <f>IFERROR(Vertailu[[#This Row],[Simuloitu rahoitus sis. hark. kor. + alv, €]]-Vertailu[[#This Row],[2019 rahoitus sis. hark. kor. + alv, €]],0)</f>
        <v>-1350059.1300000008</v>
      </c>
      <c r="P143" s="37">
        <f>IFERROR(Vertailu[[#This Row],[Muutos, € 3]]/Vertailu[[#This Row],[2019 rahoitus sis. hark. kor. + alv, €]],0)</f>
        <v>-0.11461957265072649</v>
      </c>
    </row>
    <row r="144" spans="1:16" x14ac:dyDescent="0.25">
      <c r="A144" s="24" t="s">
        <v>259</v>
      </c>
      <c r="B144" s="143" t="s">
        <v>193</v>
      </c>
      <c r="C144" s="143" t="s">
        <v>236</v>
      </c>
      <c r="D144" s="144" t="s">
        <v>412</v>
      </c>
      <c r="E144" s="20">
        <f>IFERROR(VLOOKUP(Vertailu[[#This Row],[Y-tunnus]],'3.2 Suoritepäätös 2019'!$A:$S,COLUMN('3.2 Suoritepäätös 2019'!Q:Q),FALSE)-VLOOKUP(Vertailu[[#This Row],[Y-tunnus]],'3.2 Suoritepäätös 2019'!$A:$S,COLUMN('3.2 Suoritepäätös 2019'!L:L),FALSE),0)</f>
        <v>232183</v>
      </c>
      <c r="F144" s="20">
        <f>IFERROR(VLOOKUP(Vertailu[[#This Row],[Y-tunnus]],'1.2 Ohjaus-laskentataulu'!A:AG,COLUMN('1.2 Ohjaus-laskentataulu'!Z:Z),FALSE),0)</f>
        <v>0</v>
      </c>
      <c r="G144" s="20">
        <f>IFERROR(Vertailu[[#This Row],[Simuloitu rahoitus pl. hark. kor. ilman alv, €]]-Vertailu[[#This Row],[2019 rahoitus pl. hark. kor. ilman alv, €]],0)</f>
        <v>-232183</v>
      </c>
      <c r="H144" s="37">
        <f>IFERROR(Vertailu[[#This Row],[Muutos, € 1]]/Vertailu[[#This Row],[2019 rahoitus pl. hark. kor. ilman alv, €]],0)</f>
        <v>-1</v>
      </c>
      <c r="I144" s="132">
        <f>IFERROR(VLOOKUP(Vertailu[[#This Row],[Y-tunnus]],'3.2 Suoritepäätös 2019'!$A:$S,COLUMN('3.2 Suoritepäätös 2019'!Q:Q),FALSE),0)</f>
        <v>232183</v>
      </c>
      <c r="J144" s="134">
        <f>IFERROR(VLOOKUP(Vertailu[[#This Row],[Y-tunnus]],'1.2 Ohjaus-laskentataulu'!A:AG,COLUMN('1.2 Ohjaus-laskentataulu'!AE:AE),FALSE),0)</f>
        <v>0</v>
      </c>
      <c r="K144" s="20">
        <f>IFERROR(Vertailu[[#This Row],[Simuloitu rahoitus sis. hark. kor. ilman alv, €]]-Vertailu[[#This Row],[2019 rahoitus sis. hark. kor. ilman alv, €]],0)</f>
        <v>-232183</v>
      </c>
      <c r="L144" s="18">
        <f>IFERROR(Vertailu[[#This Row],[Muutos, € 2]]/Vertailu[[#This Row],[2019 rahoitus sis. hark. kor. ilman alv, €]],0)</f>
        <v>-1</v>
      </c>
      <c r="M144" s="134">
        <f>IFERROR(VLOOKUP(Vertailu[[#This Row],[Y-tunnus]],'3.2 Suoritepäätös 2019'!$A:$S,COLUMN('3.2 Suoritepäätös 2019'!Q:Q),FALSE)+VLOOKUP(Vertailu[[#This Row],[Y-tunnus]],'3.2 Suoritepäätös 2019'!$A:$S,COLUMN('3.2 Suoritepäätös 2019'!R:R),FALSE),0)</f>
        <v>245174</v>
      </c>
      <c r="N144" s="132">
        <f>IFERROR(VLOOKUP(Vertailu[[#This Row],[Y-tunnus]],'1.2 Ohjaus-laskentataulu'!A:AG,COLUMN('1.2 Ohjaus-laskentataulu'!AG:AG),FALSE),0)</f>
        <v>0</v>
      </c>
      <c r="O144" s="142">
        <f>IFERROR(Vertailu[[#This Row],[Simuloitu rahoitus sis. hark. kor. + alv, €]]-Vertailu[[#This Row],[2019 rahoitus sis. hark. kor. + alv, €]],0)</f>
        <v>-245174</v>
      </c>
      <c r="P144" s="37">
        <f>IFERROR(Vertailu[[#This Row],[Muutos, € 3]]/Vertailu[[#This Row],[2019 rahoitus sis. hark. kor. + alv, €]],0)</f>
        <v>-1</v>
      </c>
    </row>
    <row r="145" spans="1:16" x14ac:dyDescent="0.25">
      <c r="A145" s="24" t="s">
        <v>258</v>
      </c>
      <c r="B145" s="143" t="s">
        <v>185</v>
      </c>
      <c r="C145" s="143" t="s">
        <v>236</v>
      </c>
      <c r="D145" s="144" t="s">
        <v>412</v>
      </c>
      <c r="E145" s="20">
        <f>IFERROR(VLOOKUP(Vertailu[[#This Row],[Y-tunnus]],'3.2 Suoritepäätös 2019'!$A:$S,COLUMN('3.2 Suoritepäätös 2019'!Q:Q),FALSE)-VLOOKUP(Vertailu[[#This Row],[Y-tunnus]],'3.2 Suoritepäätös 2019'!$A:$S,COLUMN('3.2 Suoritepäätös 2019'!L:L),FALSE),0)</f>
        <v>113639</v>
      </c>
      <c r="F145" s="20">
        <f>IFERROR(VLOOKUP(Vertailu[[#This Row],[Y-tunnus]],'1.2 Ohjaus-laskentataulu'!A:AG,COLUMN('1.2 Ohjaus-laskentataulu'!Z:Z),FALSE),0)</f>
        <v>0</v>
      </c>
      <c r="G145" s="20">
        <f>IFERROR(Vertailu[[#This Row],[Simuloitu rahoitus pl. hark. kor. ilman alv, €]]-Vertailu[[#This Row],[2019 rahoitus pl. hark. kor. ilman alv, €]],0)</f>
        <v>-113639</v>
      </c>
      <c r="H145" s="37">
        <f>IFERROR(Vertailu[[#This Row],[Muutos, € 1]]/Vertailu[[#This Row],[2019 rahoitus pl. hark. kor. ilman alv, €]],0)</f>
        <v>-1</v>
      </c>
      <c r="I145" s="132">
        <f>IFERROR(VLOOKUP(Vertailu[[#This Row],[Y-tunnus]],'3.2 Suoritepäätös 2019'!$A:$S,COLUMN('3.2 Suoritepäätös 2019'!Q:Q),FALSE),0)</f>
        <v>391139</v>
      </c>
      <c r="J145" s="134">
        <f>IFERROR(VLOOKUP(Vertailu[[#This Row],[Y-tunnus]],'1.2 Ohjaus-laskentataulu'!A:AG,COLUMN('1.2 Ohjaus-laskentataulu'!AE:AE),FALSE),0)</f>
        <v>0</v>
      </c>
      <c r="K145" s="20">
        <f>IFERROR(Vertailu[[#This Row],[Simuloitu rahoitus sis. hark. kor. ilman alv, €]]-Vertailu[[#This Row],[2019 rahoitus sis. hark. kor. ilman alv, €]],0)</f>
        <v>-391139</v>
      </c>
      <c r="L145" s="18">
        <f>IFERROR(Vertailu[[#This Row],[Muutos, € 2]]/Vertailu[[#This Row],[2019 rahoitus sis. hark. kor. ilman alv, €]],0)</f>
        <v>-1</v>
      </c>
      <c r="M145" s="134">
        <f>IFERROR(VLOOKUP(Vertailu[[#This Row],[Y-tunnus]],'3.2 Suoritepäätös 2019'!$A:$S,COLUMN('3.2 Suoritepäätös 2019'!Q:Q),FALSE)+VLOOKUP(Vertailu[[#This Row],[Y-tunnus]],'3.2 Suoritepäätös 2019'!$A:$S,COLUMN('3.2 Suoritepäätös 2019'!R:R),FALSE),0)</f>
        <v>413024</v>
      </c>
      <c r="N145" s="132">
        <f>IFERROR(VLOOKUP(Vertailu[[#This Row],[Y-tunnus]],'1.2 Ohjaus-laskentataulu'!A:AG,COLUMN('1.2 Ohjaus-laskentataulu'!AG:AG),FALSE),0)</f>
        <v>113902.2</v>
      </c>
      <c r="O145" s="142">
        <f>IFERROR(Vertailu[[#This Row],[Simuloitu rahoitus sis. hark. kor. + alv, €]]-Vertailu[[#This Row],[2019 rahoitus sis. hark. kor. + alv, €]],0)</f>
        <v>-299121.8</v>
      </c>
      <c r="P145" s="37">
        <f>IFERROR(Vertailu[[#This Row],[Muutos, € 3]]/Vertailu[[#This Row],[2019 rahoitus sis. hark. kor. + alv, €]],0)</f>
        <v>-0.72422377392112802</v>
      </c>
    </row>
    <row r="146" spans="1:16" x14ac:dyDescent="0.25">
      <c r="A146" s="24" t="s">
        <v>257</v>
      </c>
      <c r="B146" s="143" t="s">
        <v>143</v>
      </c>
      <c r="C146" s="143" t="s">
        <v>242</v>
      </c>
      <c r="D146" s="144" t="s">
        <v>413</v>
      </c>
      <c r="E146" s="20">
        <f>IFERROR(VLOOKUP(Vertailu[[#This Row],[Y-tunnus]],'3.2 Suoritepäätös 2019'!$A:$S,COLUMN('3.2 Suoritepäätös 2019'!Q:Q),FALSE)-VLOOKUP(Vertailu[[#This Row],[Y-tunnus]],'3.2 Suoritepäätös 2019'!$A:$S,COLUMN('3.2 Suoritepäätös 2019'!L:L),FALSE),0)</f>
        <v>22789301</v>
      </c>
      <c r="F146" s="20">
        <f>IFERROR(VLOOKUP(Vertailu[[#This Row],[Y-tunnus]],'1.2 Ohjaus-laskentataulu'!A:AG,COLUMN('1.2 Ohjaus-laskentataulu'!Z:Z),FALSE),0)</f>
        <v>21145483</v>
      </c>
      <c r="G146" s="20">
        <f>IFERROR(Vertailu[[#This Row],[Simuloitu rahoitus pl. hark. kor. ilman alv, €]]-Vertailu[[#This Row],[2019 rahoitus pl. hark. kor. ilman alv, €]],0)</f>
        <v>-1643818</v>
      </c>
      <c r="H146" s="37">
        <f>IFERROR(Vertailu[[#This Row],[Muutos, € 1]]/Vertailu[[#This Row],[2019 rahoitus pl. hark. kor. ilman alv, €]],0)</f>
        <v>-7.2131128550191159E-2</v>
      </c>
      <c r="I146" s="132">
        <f>IFERROR(VLOOKUP(Vertailu[[#This Row],[Y-tunnus]],'3.2 Suoritepäätös 2019'!$A:$S,COLUMN('3.2 Suoritepäätös 2019'!Q:Q),FALSE),0)</f>
        <v>22789301</v>
      </c>
      <c r="J146" s="134">
        <f>IFERROR(VLOOKUP(Vertailu[[#This Row],[Y-tunnus]],'1.2 Ohjaus-laskentataulu'!A:AG,COLUMN('1.2 Ohjaus-laskentataulu'!AE:AE),FALSE),0)</f>
        <v>21145483</v>
      </c>
      <c r="K146" s="20">
        <f>IFERROR(Vertailu[[#This Row],[Simuloitu rahoitus sis. hark. kor. ilman alv, €]]-Vertailu[[#This Row],[2019 rahoitus sis. hark. kor. ilman alv, €]],0)</f>
        <v>-1643818</v>
      </c>
      <c r="L146" s="18">
        <f>IFERROR(Vertailu[[#This Row],[Muutos, € 2]]/Vertailu[[#This Row],[2019 rahoitus sis. hark. kor. ilman alv, €]],0)</f>
        <v>-7.2131128550191159E-2</v>
      </c>
      <c r="M146" s="134">
        <f>IFERROR(VLOOKUP(Vertailu[[#This Row],[Y-tunnus]],'3.2 Suoritepäätös 2019'!$A:$S,COLUMN('3.2 Suoritepäätös 2019'!Q:Q),FALSE)+VLOOKUP(Vertailu[[#This Row],[Y-tunnus]],'3.2 Suoritepäätös 2019'!$A:$S,COLUMN('3.2 Suoritepäätös 2019'!R:R),FALSE),0)</f>
        <v>22789301</v>
      </c>
      <c r="N146" s="132">
        <f>IFERROR(VLOOKUP(Vertailu[[#This Row],[Y-tunnus]],'1.2 Ohjaus-laskentataulu'!A:AG,COLUMN('1.2 Ohjaus-laskentataulu'!AG:AG),FALSE),0)</f>
        <v>21145483</v>
      </c>
      <c r="O146" s="142">
        <f>IFERROR(Vertailu[[#This Row],[Simuloitu rahoitus sis. hark. kor. + alv, €]]-Vertailu[[#This Row],[2019 rahoitus sis. hark. kor. + alv, €]],0)</f>
        <v>-1643818</v>
      </c>
      <c r="P146" s="37">
        <f>IFERROR(Vertailu[[#This Row],[Muutos, € 3]]/Vertailu[[#This Row],[2019 rahoitus sis. hark. kor. + alv, €]],0)</f>
        <v>-7.2131128550191159E-2</v>
      </c>
    </row>
    <row r="147" spans="1:16" x14ac:dyDescent="0.25">
      <c r="A147" s="24" t="s">
        <v>256</v>
      </c>
      <c r="B147" s="143" t="s">
        <v>144</v>
      </c>
      <c r="C147" s="143" t="s">
        <v>247</v>
      </c>
      <c r="D147" s="144" t="s">
        <v>411</v>
      </c>
      <c r="E147" s="20">
        <f>IFERROR(VLOOKUP(Vertailu[[#This Row],[Y-tunnus]],'3.2 Suoritepäätös 2019'!$A:$S,COLUMN('3.2 Suoritepäätös 2019'!Q:Q),FALSE)-VLOOKUP(Vertailu[[#This Row],[Y-tunnus]],'3.2 Suoritepäätös 2019'!$A:$S,COLUMN('3.2 Suoritepäätös 2019'!L:L),FALSE),0)</f>
        <v>8996745</v>
      </c>
      <c r="F147" s="20">
        <f>IFERROR(VLOOKUP(Vertailu[[#This Row],[Y-tunnus]],'1.2 Ohjaus-laskentataulu'!A:AG,COLUMN('1.2 Ohjaus-laskentataulu'!Z:Z),FALSE),0)</f>
        <v>9092667</v>
      </c>
      <c r="G147" s="20">
        <f>IFERROR(Vertailu[[#This Row],[Simuloitu rahoitus pl. hark. kor. ilman alv, €]]-Vertailu[[#This Row],[2019 rahoitus pl. hark. kor. ilman alv, €]],0)</f>
        <v>95922</v>
      </c>
      <c r="H147" s="37">
        <f>IFERROR(Vertailu[[#This Row],[Muutos, € 1]]/Vertailu[[#This Row],[2019 rahoitus pl. hark. kor. ilman alv, €]],0)</f>
        <v>1.0661856037933719E-2</v>
      </c>
      <c r="I147" s="132">
        <f>IFERROR(VLOOKUP(Vertailu[[#This Row],[Y-tunnus]],'3.2 Suoritepäätös 2019'!$A:$S,COLUMN('3.2 Suoritepäätös 2019'!Q:Q),FALSE),0)</f>
        <v>8996745</v>
      </c>
      <c r="J147" s="134">
        <f>IFERROR(VLOOKUP(Vertailu[[#This Row],[Y-tunnus]],'1.2 Ohjaus-laskentataulu'!A:AG,COLUMN('1.2 Ohjaus-laskentataulu'!AE:AE),FALSE),0)</f>
        <v>9092667</v>
      </c>
      <c r="K147" s="20">
        <f>IFERROR(Vertailu[[#This Row],[Simuloitu rahoitus sis. hark. kor. ilman alv, €]]-Vertailu[[#This Row],[2019 rahoitus sis. hark. kor. ilman alv, €]],0)</f>
        <v>95922</v>
      </c>
      <c r="L147" s="18">
        <f>IFERROR(Vertailu[[#This Row],[Muutos, € 2]]/Vertailu[[#This Row],[2019 rahoitus sis. hark. kor. ilman alv, €]],0)</f>
        <v>1.0661856037933719E-2</v>
      </c>
      <c r="M147" s="134">
        <f>IFERROR(VLOOKUP(Vertailu[[#This Row],[Y-tunnus]],'3.2 Suoritepäätös 2019'!$A:$S,COLUMN('3.2 Suoritepäätös 2019'!Q:Q),FALSE)+VLOOKUP(Vertailu[[#This Row],[Y-tunnus]],'3.2 Suoritepäätös 2019'!$A:$S,COLUMN('3.2 Suoritepäätös 2019'!R:R),FALSE),0)</f>
        <v>8996745</v>
      </c>
      <c r="N147" s="132">
        <f>IFERROR(VLOOKUP(Vertailu[[#This Row],[Y-tunnus]],'1.2 Ohjaus-laskentataulu'!A:AG,COLUMN('1.2 Ohjaus-laskentataulu'!AG:AG),FALSE),0)</f>
        <v>9092667</v>
      </c>
      <c r="O147" s="142">
        <f>IFERROR(Vertailu[[#This Row],[Simuloitu rahoitus sis. hark. kor. + alv, €]]-Vertailu[[#This Row],[2019 rahoitus sis. hark. kor. + alv, €]],0)</f>
        <v>95922</v>
      </c>
      <c r="P147" s="37">
        <f>IFERROR(Vertailu[[#This Row],[Muutos, € 3]]/Vertailu[[#This Row],[2019 rahoitus sis. hark. kor. + alv, €]],0)</f>
        <v>1.0661856037933719E-2</v>
      </c>
    </row>
    <row r="148" spans="1:16" x14ac:dyDescent="0.25">
      <c r="A148" s="24" t="s">
        <v>255</v>
      </c>
      <c r="B148" s="143" t="s">
        <v>145</v>
      </c>
      <c r="C148" s="143" t="s">
        <v>254</v>
      </c>
      <c r="D148" s="144" t="s">
        <v>412</v>
      </c>
      <c r="E148" s="20">
        <f>IFERROR(VLOOKUP(Vertailu[[#This Row],[Y-tunnus]],'3.2 Suoritepäätös 2019'!$A:$S,COLUMN('3.2 Suoritepäätös 2019'!Q:Q),FALSE)-VLOOKUP(Vertailu[[#This Row],[Y-tunnus]],'3.2 Suoritepäätös 2019'!$A:$S,COLUMN('3.2 Suoritepäätös 2019'!L:L),FALSE),0)</f>
        <v>137485</v>
      </c>
      <c r="F148" s="20">
        <f>IFERROR(VLOOKUP(Vertailu[[#This Row],[Y-tunnus]],'1.2 Ohjaus-laskentataulu'!A:AG,COLUMN('1.2 Ohjaus-laskentataulu'!Z:Z),FALSE),0)</f>
        <v>149389</v>
      </c>
      <c r="G148" s="20">
        <f>IFERROR(Vertailu[[#This Row],[Simuloitu rahoitus pl. hark. kor. ilman alv, €]]-Vertailu[[#This Row],[2019 rahoitus pl. hark. kor. ilman alv, €]],0)</f>
        <v>11904</v>
      </c>
      <c r="H148" s="37">
        <f>IFERROR(Vertailu[[#This Row],[Muutos, € 1]]/Vertailu[[#This Row],[2019 rahoitus pl. hark. kor. ilman alv, €]],0)</f>
        <v>8.6583990980834274E-2</v>
      </c>
      <c r="I148" s="132">
        <f>IFERROR(VLOOKUP(Vertailu[[#This Row],[Y-tunnus]],'3.2 Suoritepäätös 2019'!$A:$S,COLUMN('3.2 Suoritepäätös 2019'!Q:Q),FALSE),0)</f>
        <v>137485</v>
      </c>
      <c r="J148" s="134">
        <f>IFERROR(VLOOKUP(Vertailu[[#This Row],[Y-tunnus]],'1.2 Ohjaus-laskentataulu'!A:AG,COLUMN('1.2 Ohjaus-laskentataulu'!AE:AE),FALSE),0)</f>
        <v>149389</v>
      </c>
      <c r="K148" s="20">
        <f>IFERROR(Vertailu[[#This Row],[Simuloitu rahoitus sis. hark. kor. ilman alv, €]]-Vertailu[[#This Row],[2019 rahoitus sis. hark. kor. ilman alv, €]],0)</f>
        <v>11904</v>
      </c>
      <c r="L148" s="18">
        <f>IFERROR(Vertailu[[#This Row],[Muutos, € 2]]/Vertailu[[#This Row],[2019 rahoitus sis. hark. kor. ilman alv, €]],0)</f>
        <v>8.6583990980834274E-2</v>
      </c>
      <c r="M148" s="134">
        <f>IFERROR(VLOOKUP(Vertailu[[#This Row],[Y-tunnus]],'3.2 Suoritepäätös 2019'!$A:$S,COLUMN('3.2 Suoritepäätös 2019'!Q:Q),FALSE)+VLOOKUP(Vertailu[[#This Row],[Y-tunnus]],'3.2 Suoritepäätös 2019'!$A:$S,COLUMN('3.2 Suoritepäätös 2019'!R:R),FALSE),0)</f>
        <v>144804</v>
      </c>
      <c r="N148" s="132">
        <f>IFERROR(VLOOKUP(Vertailu[[#This Row],[Y-tunnus]],'1.2 Ohjaus-laskentataulu'!A:AG,COLUMN('1.2 Ohjaus-laskentataulu'!AG:AG),FALSE),0)</f>
        <v>149389</v>
      </c>
      <c r="O148" s="142">
        <f>IFERROR(Vertailu[[#This Row],[Simuloitu rahoitus sis. hark. kor. + alv, €]]-Vertailu[[#This Row],[2019 rahoitus sis. hark. kor. + alv, €]],0)</f>
        <v>4585</v>
      </c>
      <c r="P148" s="37">
        <f>IFERROR(Vertailu[[#This Row],[Muutos, € 3]]/Vertailu[[#This Row],[2019 rahoitus sis. hark. kor. + alv, €]],0)</f>
        <v>3.1663489958840919E-2</v>
      </c>
    </row>
    <row r="149" spans="1:16" x14ac:dyDescent="0.25">
      <c r="A149" s="24" t="s">
        <v>253</v>
      </c>
      <c r="B149" s="143" t="s">
        <v>186</v>
      </c>
      <c r="C149" s="143" t="s">
        <v>252</v>
      </c>
      <c r="D149" s="144" t="s">
        <v>412</v>
      </c>
      <c r="E149" s="20">
        <f>IFERROR(VLOOKUP(Vertailu[[#This Row],[Y-tunnus]],'3.2 Suoritepäätös 2019'!$A:$S,COLUMN('3.2 Suoritepäätös 2019'!Q:Q),FALSE)-VLOOKUP(Vertailu[[#This Row],[Y-tunnus]],'3.2 Suoritepäätös 2019'!$A:$S,COLUMN('3.2 Suoritepäätös 2019'!L:L),FALSE),0)</f>
        <v>0</v>
      </c>
      <c r="F149" s="20">
        <f>IFERROR(VLOOKUP(Vertailu[[#This Row],[Y-tunnus]],'1.2 Ohjaus-laskentataulu'!A:AG,COLUMN('1.2 Ohjaus-laskentataulu'!Z:Z),FALSE),0)</f>
        <v>0</v>
      </c>
      <c r="G149" s="20">
        <f>IFERROR(Vertailu[[#This Row],[Simuloitu rahoitus pl. hark. kor. ilman alv, €]]-Vertailu[[#This Row],[2019 rahoitus pl. hark. kor. ilman alv, €]],0)</f>
        <v>0</v>
      </c>
      <c r="H149" s="37">
        <f>IFERROR(Vertailu[[#This Row],[Muutos, € 1]]/Vertailu[[#This Row],[2019 rahoitus pl. hark. kor. ilman alv, €]],0)</f>
        <v>0</v>
      </c>
      <c r="I149" s="132">
        <f>IFERROR(VLOOKUP(Vertailu[[#This Row],[Y-tunnus]],'3.2 Suoritepäätös 2019'!$A:$S,COLUMN('3.2 Suoritepäätös 2019'!Q:Q),FALSE),0)</f>
        <v>0</v>
      </c>
      <c r="J149" s="134">
        <f>IFERROR(VLOOKUP(Vertailu[[#This Row],[Y-tunnus]],'1.2 Ohjaus-laskentataulu'!A:AG,COLUMN('1.2 Ohjaus-laskentataulu'!AE:AE),FALSE),0)</f>
        <v>0</v>
      </c>
      <c r="K149" s="20">
        <f>IFERROR(Vertailu[[#This Row],[Simuloitu rahoitus sis. hark. kor. ilman alv, €]]-Vertailu[[#This Row],[2019 rahoitus sis. hark. kor. ilman alv, €]],0)</f>
        <v>0</v>
      </c>
      <c r="L149" s="18">
        <f>IFERROR(Vertailu[[#This Row],[Muutos, € 2]]/Vertailu[[#This Row],[2019 rahoitus sis. hark. kor. ilman alv, €]],0)</f>
        <v>0</v>
      </c>
      <c r="M149" s="134">
        <f>IFERROR(VLOOKUP(Vertailu[[#This Row],[Y-tunnus]],'3.2 Suoritepäätös 2019'!$A:$S,COLUMN('3.2 Suoritepäätös 2019'!Q:Q),FALSE)+VLOOKUP(Vertailu[[#This Row],[Y-tunnus]],'3.2 Suoritepäätös 2019'!$A:$S,COLUMN('3.2 Suoritepäätös 2019'!R:R),FALSE),0)</f>
        <v>0</v>
      </c>
      <c r="N149" s="132">
        <f>IFERROR(VLOOKUP(Vertailu[[#This Row],[Y-tunnus]],'1.2 Ohjaus-laskentataulu'!A:AG,COLUMN('1.2 Ohjaus-laskentataulu'!AG:AG),FALSE),0)</f>
        <v>0</v>
      </c>
      <c r="O149" s="142">
        <f>IFERROR(Vertailu[[#This Row],[Simuloitu rahoitus sis. hark. kor. + alv, €]]-Vertailu[[#This Row],[2019 rahoitus sis. hark. kor. + alv, €]],0)</f>
        <v>0</v>
      </c>
      <c r="P149" s="37">
        <f>IFERROR(Vertailu[[#This Row],[Muutos, € 3]]/Vertailu[[#This Row],[2019 rahoitus sis. hark. kor. + alv, €]],0)</f>
        <v>0</v>
      </c>
    </row>
    <row r="150" spans="1:16" x14ac:dyDescent="0.25">
      <c r="A150" s="24" t="s">
        <v>251</v>
      </c>
      <c r="B150" s="143" t="s">
        <v>146</v>
      </c>
      <c r="C150" s="143" t="s">
        <v>250</v>
      </c>
      <c r="D150" s="144" t="s">
        <v>412</v>
      </c>
      <c r="E150" s="20">
        <f>IFERROR(VLOOKUP(Vertailu[[#This Row],[Y-tunnus]],'3.2 Suoritepäätös 2019'!$A:$S,COLUMN('3.2 Suoritepäätös 2019'!Q:Q),FALSE)-VLOOKUP(Vertailu[[#This Row],[Y-tunnus]],'3.2 Suoritepäätös 2019'!$A:$S,COLUMN('3.2 Suoritepäätös 2019'!L:L),FALSE),0)</f>
        <v>2171316</v>
      </c>
      <c r="F150" s="20">
        <f>IFERROR(VLOOKUP(Vertailu[[#This Row],[Y-tunnus]],'1.2 Ohjaus-laskentataulu'!A:AG,COLUMN('1.2 Ohjaus-laskentataulu'!Z:Z),FALSE),0)</f>
        <v>2108117</v>
      </c>
      <c r="G150" s="20">
        <f>IFERROR(Vertailu[[#This Row],[Simuloitu rahoitus pl. hark. kor. ilman alv, €]]-Vertailu[[#This Row],[2019 rahoitus pl. hark. kor. ilman alv, €]],0)</f>
        <v>-63199</v>
      </c>
      <c r="H150" s="37">
        <f>IFERROR(Vertailu[[#This Row],[Muutos, € 1]]/Vertailu[[#This Row],[2019 rahoitus pl. hark. kor. ilman alv, €]],0)</f>
        <v>-2.9106311564046874E-2</v>
      </c>
      <c r="I150" s="132">
        <f>IFERROR(VLOOKUP(Vertailu[[#This Row],[Y-tunnus]],'3.2 Suoritepäätös 2019'!$A:$S,COLUMN('3.2 Suoritepäätös 2019'!Q:Q),FALSE),0)</f>
        <v>2171316</v>
      </c>
      <c r="J150" s="134">
        <f>IFERROR(VLOOKUP(Vertailu[[#This Row],[Y-tunnus]],'1.2 Ohjaus-laskentataulu'!A:AG,COLUMN('1.2 Ohjaus-laskentataulu'!AE:AE),FALSE),0)</f>
        <v>2108117</v>
      </c>
      <c r="K150" s="20">
        <f>IFERROR(Vertailu[[#This Row],[Simuloitu rahoitus sis. hark. kor. ilman alv, €]]-Vertailu[[#This Row],[2019 rahoitus sis. hark. kor. ilman alv, €]],0)</f>
        <v>-63199</v>
      </c>
      <c r="L150" s="18">
        <f>IFERROR(Vertailu[[#This Row],[Muutos, € 2]]/Vertailu[[#This Row],[2019 rahoitus sis. hark. kor. ilman alv, €]],0)</f>
        <v>-2.9106311564046874E-2</v>
      </c>
      <c r="M150" s="134">
        <f>IFERROR(VLOOKUP(Vertailu[[#This Row],[Y-tunnus]],'3.2 Suoritepäätös 2019'!$A:$S,COLUMN('3.2 Suoritepäätös 2019'!Q:Q),FALSE)+VLOOKUP(Vertailu[[#This Row],[Y-tunnus]],'3.2 Suoritepäätös 2019'!$A:$S,COLUMN('3.2 Suoritepäätös 2019'!R:R),FALSE),0)</f>
        <v>2284577</v>
      </c>
      <c r="N150" s="132">
        <f>IFERROR(VLOOKUP(Vertailu[[#This Row],[Y-tunnus]],'1.2 Ohjaus-laskentataulu'!A:AG,COLUMN('1.2 Ohjaus-laskentataulu'!AG:AG),FALSE),0)</f>
        <v>2213986</v>
      </c>
      <c r="O150" s="142">
        <f>IFERROR(Vertailu[[#This Row],[Simuloitu rahoitus sis. hark. kor. + alv, €]]-Vertailu[[#This Row],[2019 rahoitus sis. hark. kor. + alv, €]],0)</f>
        <v>-70591</v>
      </c>
      <c r="P150" s="37">
        <f>IFERROR(Vertailu[[#This Row],[Muutos, € 3]]/Vertailu[[#This Row],[2019 rahoitus sis. hark. kor. + alv, €]],0)</f>
        <v>-3.0898936652167995E-2</v>
      </c>
    </row>
    <row r="151" spans="1:16" x14ac:dyDescent="0.25">
      <c r="A151" s="24" t="s">
        <v>249</v>
      </c>
      <c r="B151" s="143" t="s">
        <v>147</v>
      </c>
      <c r="C151" s="143" t="s">
        <v>236</v>
      </c>
      <c r="D151" s="144" t="s">
        <v>413</v>
      </c>
      <c r="E151" s="20">
        <f>IFERROR(VLOOKUP(Vertailu[[#This Row],[Y-tunnus]],'3.2 Suoritepäätös 2019'!$A:$S,COLUMN('3.2 Suoritepäätös 2019'!Q:Q),FALSE)-VLOOKUP(Vertailu[[#This Row],[Y-tunnus]],'3.2 Suoritepäätös 2019'!$A:$S,COLUMN('3.2 Suoritepäätös 2019'!L:L),FALSE),0)</f>
        <v>31497726</v>
      </c>
      <c r="F151" s="20">
        <f>IFERROR(VLOOKUP(Vertailu[[#This Row],[Y-tunnus]],'1.2 Ohjaus-laskentataulu'!A:AG,COLUMN('1.2 Ohjaus-laskentataulu'!Z:Z),FALSE),0)</f>
        <v>28587448</v>
      </c>
      <c r="G151" s="20">
        <f>IFERROR(Vertailu[[#This Row],[Simuloitu rahoitus pl. hark. kor. ilman alv, €]]-Vertailu[[#This Row],[2019 rahoitus pl. hark. kor. ilman alv, €]],0)</f>
        <v>-2910278</v>
      </c>
      <c r="H151" s="37">
        <f>IFERROR(Vertailu[[#This Row],[Muutos, € 1]]/Vertailu[[#This Row],[2019 rahoitus pl. hark. kor. ilman alv, €]],0)</f>
        <v>-9.2396447921351529E-2</v>
      </c>
      <c r="I151" s="132">
        <f>IFERROR(VLOOKUP(Vertailu[[#This Row],[Y-tunnus]],'3.2 Suoritepäätös 2019'!$A:$S,COLUMN('3.2 Suoritepäätös 2019'!Q:Q),FALSE),0)</f>
        <v>31497726</v>
      </c>
      <c r="J151" s="134">
        <f>IFERROR(VLOOKUP(Vertailu[[#This Row],[Y-tunnus]],'1.2 Ohjaus-laskentataulu'!A:AG,COLUMN('1.2 Ohjaus-laskentataulu'!AE:AE),FALSE),0)</f>
        <v>28587448</v>
      </c>
      <c r="K151" s="20">
        <f>IFERROR(Vertailu[[#This Row],[Simuloitu rahoitus sis. hark. kor. ilman alv, €]]-Vertailu[[#This Row],[2019 rahoitus sis. hark. kor. ilman alv, €]],0)</f>
        <v>-2910278</v>
      </c>
      <c r="L151" s="18">
        <f>IFERROR(Vertailu[[#This Row],[Muutos, € 2]]/Vertailu[[#This Row],[2019 rahoitus sis. hark. kor. ilman alv, €]],0)</f>
        <v>-9.2396447921351529E-2</v>
      </c>
      <c r="M151" s="134">
        <f>IFERROR(VLOOKUP(Vertailu[[#This Row],[Y-tunnus]],'3.2 Suoritepäätös 2019'!$A:$S,COLUMN('3.2 Suoritepäätös 2019'!Q:Q),FALSE)+VLOOKUP(Vertailu[[#This Row],[Y-tunnus]],'3.2 Suoritepäätös 2019'!$A:$S,COLUMN('3.2 Suoritepäätös 2019'!R:R),FALSE),0)</f>
        <v>31497726</v>
      </c>
      <c r="N151" s="132">
        <f>IFERROR(VLOOKUP(Vertailu[[#This Row],[Y-tunnus]],'1.2 Ohjaus-laskentataulu'!A:AG,COLUMN('1.2 Ohjaus-laskentataulu'!AG:AG),FALSE),0)</f>
        <v>28587448</v>
      </c>
      <c r="O151" s="142">
        <f>IFERROR(Vertailu[[#This Row],[Simuloitu rahoitus sis. hark. kor. + alv, €]]-Vertailu[[#This Row],[2019 rahoitus sis. hark. kor. + alv, €]],0)</f>
        <v>-2910278</v>
      </c>
      <c r="P151" s="37">
        <f>IFERROR(Vertailu[[#This Row],[Muutos, € 3]]/Vertailu[[#This Row],[2019 rahoitus sis. hark. kor. + alv, €]],0)</f>
        <v>-9.2396447921351529E-2</v>
      </c>
    </row>
    <row r="152" spans="1:16" x14ac:dyDescent="0.25">
      <c r="A152" s="24" t="s">
        <v>248</v>
      </c>
      <c r="B152" s="143" t="s">
        <v>148</v>
      </c>
      <c r="C152" s="143" t="s">
        <v>247</v>
      </c>
      <c r="D152" s="144" t="s">
        <v>412</v>
      </c>
      <c r="E152" s="20">
        <f>IFERROR(VLOOKUP(Vertailu[[#This Row],[Y-tunnus]],'3.2 Suoritepäätös 2019'!$A:$S,COLUMN('3.2 Suoritepäätös 2019'!Q:Q),FALSE)-VLOOKUP(Vertailu[[#This Row],[Y-tunnus]],'3.2 Suoritepäätös 2019'!$A:$S,COLUMN('3.2 Suoritepäätös 2019'!L:L),FALSE),0)</f>
        <v>1817851</v>
      </c>
      <c r="F152" s="20">
        <f>IFERROR(VLOOKUP(Vertailu[[#This Row],[Y-tunnus]],'1.2 Ohjaus-laskentataulu'!A:AG,COLUMN('1.2 Ohjaus-laskentataulu'!Z:Z),FALSE),0)</f>
        <v>1589529</v>
      </c>
      <c r="G152" s="20">
        <f>IFERROR(Vertailu[[#This Row],[Simuloitu rahoitus pl. hark. kor. ilman alv, €]]-Vertailu[[#This Row],[2019 rahoitus pl. hark. kor. ilman alv, €]],0)</f>
        <v>-228322</v>
      </c>
      <c r="H152" s="37">
        <f>IFERROR(Vertailu[[#This Row],[Muutos, € 1]]/Vertailu[[#This Row],[2019 rahoitus pl. hark. kor. ilman alv, €]],0)</f>
        <v>-0.12559995291143222</v>
      </c>
      <c r="I152" s="132">
        <f>IFERROR(VLOOKUP(Vertailu[[#This Row],[Y-tunnus]],'3.2 Suoritepäätös 2019'!$A:$S,COLUMN('3.2 Suoritepäätös 2019'!Q:Q),FALSE),0)</f>
        <v>1817851</v>
      </c>
      <c r="J152" s="134">
        <f>IFERROR(VLOOKUP(Vertailu[[#This Row],[Y-tunnus]],'1.2 Ohjaus-laskentataulu'!A:AG,COLUMN('1.2 Ohjaus-laskentataulu'!AE:AE),FALSE),0)</f>
        <v>1589529</v>
      </c>
      <c r="K152" s="20">
        <f>IFERROR(Vertailu[[#This Row],[Simuloitu rahoitus sis. hark. kor. ilman alv, €]]-Vertailu[[#This Row],[2019 rahoitus sis. hark. kor. ilman alv, €]],0)</f>
        <v>-228322</v>
      </c>
      <c r="L152" s="18">
        <f>IFERROR(Vertailu[[#This Row],[Muutos, € 2]]/Vertailu[[#This Row],[2019 rahoitus sis. hark. kor. ilman alv, €]],0)</f>
        <v>-0.12559995291143222</v>
      </c>
      <c r="M152" s="134">
        <f>IFERROR(VLOOKUP(Vertailu[[#This Row],[Y-tunnus]],'3.2 Suoritepäätös 2019'!$A:$S,COLUMN('3.2 Suoritepäätös 2019'!Q:Q),FALSE)+VLOOKUP(Vertailu[[#This Row],[Y-tunnus]],'3.2 Suoritepäätös 2019'!$A:$S,COLUMN('3.2 Suoritepäätös 2019'!R:R),FALSE),0)</f>
        <v>1912723</v>
      </c>
      <c r="N152" s="132">
        <f>IFERROR(VLOOKUP(Vertailu[[#This Row],[Y-tunnus]],'1.2 Ohjaus-laskentataulu'!A:AG,COLUMN('1.2 Ohjaus-laskentataulu'!AG:AG),FALSE),0)</f>
        <v>1749500.47</v>
      </c>
      <c r="O152" s="142">
        <f>IFERROR(Vertailu[[#This Row],[Simuloitu rahoitus sis. hark. kor. + alv, €]]-Vertailu[[#This Row],[2019 rahoitus sis. hark. kor. + alv, €]],0)</f>
        <v>-163222.53000000003</v>
      </c>
      <c r="P152" s="37">
        <f>IFERROR(Vertailu[[#This Row],[Muutos, € 3]]/Vertailu[[#This Row],[2019 rahoitus sis. hark. kor. + alv, €]],0)</f>
        <v>-8.5335163533872924E-2</v>
      </c>
    </row>
    <row r="153" spans="1:16" x14ac:dyDescent="0.25">
      <c r="A153" s="24" t="s">
        <v>243</v>
      </c>
      <c r="B153" s="143" t="s">
        <v>188</v>
      </c>
      <c r="C153" s="143" t="s">
        <v>236</v>
      </c>
      <c r="D153" s="144" t="s">
        <v>412</v>
      </c>
      <c r="E153" s="20">
        <f>IFERROR(VLOOKUP(Vertailu[[#This Row],[Y-tunnus]],'3.2 Suoritepäätös 2019'!$A:$S,COLUMN('3.2 Suoritepäätös 2019'!Q:Q),FALSE)-VLOOKUP(Vertailu[[#This Row],[Y-tunnus]],'3.2 Suoritepäätös 2019'!$A:$S,COLUMN('3.2 Suoritepäätös 2019'!L:L),FALSE),0)</f>
        <v>89930</v>
      </c>
      <c r="F153" s="20">
        <f>IFERROR(VLOOKUP(Vertailu[[#This Row],[Y-tunnus]],'1.2 Ohjaus-laskentataulu'!A:AG,COLUMN('1.2 Ohjaus-laskentataulu'!Z:Z),FALSE),0)</f>
        <v>0</v>
      </c>
      <c r="G153" s="20">
        <f>IFERROR(Vertailu[[#This Row],[Simuloitu rahoitus pl. hark. kor. ilman alv, €]]-Vertailu[[#This Row],[2019 rahoitus pl. hark. kor. ilman alv, €]],0)</f>
        <v>-89930</v>
      </c>
      <c r="H153" s="37">
        <f>IFERROR(Vertailu[[#This Row],[Muutos, € 1]]/Vertailu[[#This Row],[2019 rahoitus pl. hark. kor. ilman alv, €]],0)</f>
        <v>-1</v>
      </c>
      <c r="I153" s="132">
        <f>IFERROR(VLOOKUP(Vertailu[[#This Row],[Y-tunnus]],'3.2 Suoritepäätös 2019'!$A:$S,COLUMN('3.2 Suoritepäätös 2019'!Q:Q),FALSE),0)</f>
        <v>333680</v>
      </c>
      <c r="J153" s="134">
        <f>IFERROR(VLOOKUP(Vertailu[[#This Row],[Y-tunnus]],'1.2 Ohjaus-laskentataulu'!A:AG,COLUMN('1.2 Ohjaus-laskentataulu'!AE:AE),FALSE),0)</f>
        <v>0</v>
      </c>
      <c r="K153" s="20">
        <f>IFERROR(Vertailu[[#This Row],[Simuloitu rahoitus sis. hark. kor. ilman alv, €]]-Vertailu[[#This Row],[2019 rahoitus sis. hark. kor. ilman alv, €]],0)</f>
        <v>-333680</v>
      </c>
      <c r="L153" s="18">
        <f>IFERROR(Vertailu[[#This Row],[Muutos, € 2]]/Vertailu[[#This Row],[2019 rahoitus sis. hark. kor. ilman alv, €]],0)</f>
        <v>-1</v>
      </c>
      <c r="M153" s="134">
        <f>IFERROR(VLOOKUP(Vertailu[[#This Row],[Y-tunnus]],'3.2 Suoritepäätös 2019'!$A:$S,COLUMN('3.2 Suoritepäätös 2019'!Q:Q),FALSE)+VLOOKUP(Vertailu[[#This Row],[Y-tunnus]],'3.2 Suoritepäätös 2019'!$A:$S,COLUMN('3.2 Suoritepäätös 2019'!R:R),FALSE),0)</f>
        <v>352350</v>
      </c>
      <c r="N153" s="132">
        <f>IFERROR(VLOOKUP(Vertailu[[#This Row],[Y-tunnus]],'1.2 Ohjaus-laskentataulu'!A:AG,COLUMN('1.2 Ohjaus-laskentataulu'!AG:AG),FALSE),0)</f>
        <v>0</v>
      </c>
      <c r="O153" s="142">
        <f>IFERROR(Vertailu[[#This Row],[Simuloitu rahoitus sis. hark. kor. + alv, €]]-Vertailu[[#This Row],[2019 rahoitus sis. hark. kor. + alv, €]],0)</f>
        <v>-352350</v>
      </c>
      <c r="P153" s="37">
        <f>IFERROR(Vertailu[[#This Row],[Muutos, € 3]]/Vertailu[[#This Row],[2019 rahoitus sis. hark. kor. + alv, €]],0)</f>
        <v>-1</v>
      </c>
    </row>
    <row r="154" spans="1:16" x14ac:dyDescent="0.25">
      <c r="A154" s="24" t="s">
        <v>241</v>
      </c>
      <c r="B154" s="143" t="s">
        <v>149</v>
      </c>
      <c r="C154" s="143" t="s">
        <v>240</v>
      </c>
      <c r="D154" s="144" t="s">
        <v>411</v>
      </c>
      <c r="E154" s="20">
        <f>IFERROR(VLOOKUP(Vertailu[[#This Row],[Y-tunnus]],'3.2 Suoritepäätös 2019'!$A:$S,COLUMN('3.2 Suoritepäätös 2019'!Q:Q),FALSE)-VLOOKUP(Vertailu[[#This Row],[Y-tunnus]],'3.2 Suoritepäätös 2019'!$A:$S,COLUMN('3.2 Suoritepäätös 2019'!L:L),FALSE),0)</f>
        <v>15914595</v>
      </c>
      <c r="F154" s="20">
        <f>IFERROR(VLOOKUP(Vertailu[[#This Row],[Y-tunnus]],'1.2 Ohjaus-laskentataulu'!A:AG,COLUMN('1.2 Ohjaus-laskentataulu'!Z:Z),FALSE),0)</f>
        <v>14701374</v>
      </c>
      <c r="G154" s="20">
        <f>IFERROR(Vertailu[[#This Row],[Simuloitu rahoitus pl. hark. kor. ilman alv, €]]-Vertailu[[#This Row],[2019 rahoitus pl. hark. kor. ilman alv, €]],0)</f>
        <v>-1213221</v>
      </c>
      <c r="H154" s="37">
        <f>IFERROR(Vertailu[[#This Row],[Muutos, € 1]]/Vertailu[[#This Row],[2019 rahoitus pl. hark. kor. ilman alv, €]],0)</f>
        <v>-7.6233231194384771E-2</v>
      </c>
      <c r="I154" s="132">
        <f>IFERROR(VLOOKUP(Vertailu[[#This Row],[Y-tunnus]],'3.2 Suoritepäätös 2019'!$A:$S,COLUMN('3.2 Suoritepäätös 2019'!Q:Q),FALSE),0)</f>
        <v>15914595</v>
      </c>
      <c r="J154" s="134">
        <f>IFERROR(VLOOKUP(Vertailu[[#This Row],[Y-tunnus]],'1.2 Ohjaus-laskentataulu'!A:AG,COLUMN('1.2 Ohjaus-laskentataulu'!AE:AE),FALSE),0)</f>
        <v>14701374</v>
      </c>
      <c r="K154" s="20">
        <f>IFERROR(Vertailu[[#This Row],[Simuloitu rahoitus sis. hark. kor. ilman alv, €]]-Vertailu[[#This Row],[2019 rahoitus sis. hark. kor. ilman alv, €]],0)</f>
        <v>-1213221</v>
      </c>
      <c r="L154" s="18">
        <f>IFERROR(Vertailu[[#This Row],[Muutos, € 2]]/Vertailu[[#This Row],[2019 rahoitus sis. hark. kor. ilman alv, €]],0)</f>
        <v>-7.6233231194384771E-2</v>
      </c>
      <c r="M154" s="134">
        <f>IFERROR(VLOOKUP(Vertailu[[#This Row],[Y-tunnus]],'3.2 Suoritepäätös 2019'!$A:$S,COLUMN('3.2 Suoritepäätös 2019'!Q:Q),FALSE)+VLOOKUP(Vertailu[[#This Row],[Y-tunnus]],'3.2 Suoritepäätös 2019'!$A:$S,COLUMN('3.2 Suoritepäätös 2019'!R:R),FALSE),0)</f>
        <v>15914595</v>
      </c>
      <c r="N154" s="132">
        <f>IFERROR(VLOOKUP(Vertailu[[#This Row],[Y-tunnus]],'1.2 Ohjaus-laskentataulu'!A:AG,COLUMN('1.2 Ohjaus-laskentataulu'!AG:AG),FALSE),0)</f>
        <v>14701374</v>
      </c>
      <c r="O154" s="142">
        <f>IFERROR(Vertailu[[#This Row],[Simuloitu rahoitus sis. hark. kor. + alv, €]]-Vertailu[[#This Row],[2019 rahoitus sis. hark. kor. + alv, €]],0)</f>
        <v>-1213221</v>
      </c>
      <c r="P154" s="37">
        <f>IFERROR(Vertailu[[#This Row],[Muutos, € 3]]/Vertailu[[#This Row],[2019 rahoitus sis. hark. kor. + alv, €]],0)</f>
        <v>-7.6233231194384771E-2</v>
      </c>
    </row>
    <row r="155" spans="1:16" x14ac:dyDescent="0.25">
      <c r="A155" s="24" t="s">
        <v>239</v>
      </c>
      <c r="B155" s="143" t="s">
        <v>150</v>
      </c>
      <c r="C155" s="143" t="s">
        <v>238</v>
      </c>
      <c r="D155" s="144" t="s">
        <v>411</v>
      </c>
      <c r="E155" s="20">
        <f>IFERROR(VLOOKUP(Vertailu[[#This Row],[Y-tunnus]],'3.2 Suoritepäätös 2019'!$A:$S,COLUMN('3.2 Suoritepäätös 2019'!Q:Q),FALSE)-VLOOKUP(Vertailu[[#This Row],[Y-tunnus]],'3.2 Suoritepäätös 2019'!$A:$S,COLUMN('3.2 Suoritepäätös 2019'!L:L),FALSE),0)</f>
        <v>14766315</v>
      </c>
      <c r="F155" s="20">
        <f>IFERROR(VLOOKUP(Vertailu[[#This Row],[Y-tunnus]],'1.2 Ohjaus-laskentataulu'!A:AG,COLUMN('1.2 Ohjaus-laskentataulu'!Z:Z),FALSE),0)</f>
        <v>14910835</v>
      </c>
      <c r="G155" s="20">
        <f>IFERROR(Vertailu[[#This Row],[Simuloitu rahoitus pl. hark. kor. ilman alv, €]]-Vertailu[[#This Row],[2019 rahoitus pl. hark. kor. ilman alv, €]],0)</f>
        <v>144520</v>
      </c>
      <c r="H155" s="37">
        <f>IFERROR(Vertailu[[#This Row],[Muutos, € 1]]/Vertailu[[#This Row],[2019 rahoitus pl. hark. kor. ilman alv, €]],0)</f>
        <v>9.7871405289674512E-3</v>
      </c>
      <c r="I155" s="132">
        <f>IFERROR(VLOOKUP(Vertailu[[#This Row],[Y-tunnus]],'3.2 Suoritepäätös 2019'!$A:$S,COLUMN('3.2 Suoritepäätös 2019'!Q:Q),FALSE),0)</f>
        <v>14766315</v>
      </c>
      <c r="J155" s="134">
        <f>IFERROR(VLOOKUP(Vertailu[[#This Row],[Y-tunnus]],'1.2 Ohjaus-laskentataulu'!A:AG,COLUMN('1.2 Ohjaus-laskentataulu'!AE:AE),FALSE),0)</f>
        <v>14910835</v>
      </c>
      <c r="K155" s="20">
        <f>IFERROR(Vertailu[[#This Row],[Simuloitu rahoitus sis. hark. kor. ilman alv, €]]-Vertailu[[#This Row],[2019 rahoitus sis. hark. kor. ilman alv, €]],0)</f>
        <v>144520</v>
      </c>
      <c r="L155" s="18">
        <f>IFERROR(Vertailu[[#This Row],[Muutos, € 2]]/Vertailu[[#This Row],[2019 rahoitus sis. hark. kor. ilman alv, €]],0)</f>
        <v>9.7871405289674512E-3</v>
      </c>
      <c r="M155" s="134">
        <f>IFERROR(VLOOKUP(Vertailu[[#This Row],[Y-tunnus]],'3.2 Suoritepäätös 2019'!$A:$S,COLUMN('3.2 Suoritepäätös 2019'!Q:Q),FALSE)+VLOOKUP(Vertailu[[#This Row],[Y-tunnus]],'3.2 Suoritepäätös 2019'!$A:$S,COLUMN('3.2 Suoritepäätös 2019'!R:R),FALSE),0)</f>
        <v>14766315</v>
      </c>
      <c r="N155" s="132">
        <f>IFERROR(VLOOKUP(Vertailu[[#This Row],[Y-tunnus]],'1.2 Ohjaus-laskentataulu'!A:AG,COLUMN('1.2 Ohjaus-laskentataulu'!AG:AG),FALSE),0)</f>
        <v>14910835</v>
      </c>
      <c r="O155" s="142">
        <f>IFERROR(Vertailu[[#This Row],[Simuloitu rahoitus sis. hark. kor. + alv, €]]-Vertailu[[#This Row],[2019 rahoitus sis. hark. kor. + alv, €]],0)</f>
        <v>144520</v>
      </c>
      <c r="P155" s="37">
        <f>IFERROR(Vertailu[[#This Row],[Muutos, € 3]]/Vertailu[[#This Row],[2019 rahoitus sis. hark. kor. + alv, €]],0)</f>
        <v>9.7871405289674512E-3</v>
      </c>
    </row>
    <row r="156" spans="1:16" x14ac:dyDescent="0.25">
      <c r="A156" s="24" t="s">
        <v>657</v>
      </c>
      <c r="B156" s="143" t="s">
        <v>636</v>
      </c>
      <c r="C156" s="143"/>
      <c r="D156" s="144"/>
      <c r="E156" s="20">
        <f>IFERROR(VLOOKUP(Vertailu[[#This Row],[Y-tunnus]],'3.2 Suoritepäätös 2019'!$A:$S,COLUMN('3.2 Suoritepäätös 2019'!Q:Q),FALSE)-VLOOKUP(Vertailu[[#This Row],[Y-tunnus]],'3.2 Suoritepäätös 2019'!$A:$S,COLUMN('3.2 Suoritepäätös 2019'!L:L),FALSE),0)</f>
        <v>0</v>
      </c>
      <c r="F156" s="20">
        <f>IFERROR(VLOOKUP(Vertailu[[#This Row],[Y-tunnus]],'1.2 Ohjaus-laskentataulu'!A:AG,COLUMN('1.2 Ohjaus-laskentataulu'!Z:Z),FALSE),0)</f>
        <v>105094433</v>
      </c>
      <c r="G156" s="20">
        <f>IFERROR(Vertailu[[#This Row],[Simuloitu rahoitus pl. hark. kor. ilman alv, €]]-Vertailu[[#This Row],[2019 rahoitus pl. hark. kor. ilman alv, €]],0)</f>
        <v>105094433</v>
      </c>
      <c r="H156" s="37"/>
      <c r="I156" s="132">
        <f>IFERROR(VLOOKUP(Vertailu[[#This Row],[Y-tunnus]],'3.2 Suoritepäätös 2019'!$A:$S,COLUMN('3.2 Suoritepäätös 2019'!Q:Q),FALSE),0)</f>
        <v>0</v>
      </c>
      <c r="J156" s="134">
        <f>IFERROR(VLOOKUP(Vertailu[[#This Row],[Y-tunnus]],'1.2 Ohjaus-laskentataulu'!A:AG,COLUMN('1.2 Ohjaus-laskentataulu'!AE:AE),FALSE),0)</f>
        <v>125094433</v>
      </c>
      <c r="K156" s="19">
        <f>IFERROR(Vertailu[[#This Row],[Simuloitu rahoitus sis. hark. kor. ilman alv, €]]-Vertailu[[#This Row],[2019 rahoitus sis. hark. kor. ilman alv, €]],0)</f>
        <v>125094433</v>
      </c>
      <c r="L156" s="18"/>
      <c r="M156" s="134">
        <f>IFERROR(VLOOKUP(Vertailu[[#This Row],[Y-tunnus]],'3.2 Suoritepäätös 2019'!$A:$S,COLUMN('3.2 Suoritepäätös 2019'!Q:Q),FALSE)+VLOOKUP(Vertailu[[#This Row],[Y-tunnus]],'3.2 Suoritepäätös 2019'!$A:$S,COLUMN('3.2 Suoritepäätös 2019'!R:R),FALSE),0)</f>
        <v>0</v>
      </c>
      <c r="N156" s="132">
        <f>IFERROR(VLOOKUP(Vertailu[[#This Row],[Y-tunnus]],'1.2 Ohjaus-laskentataulu'!A:AG,COLUMN('1.2 Ohjaus-laskentataulu'!AG:AG),FALSE),0)</f>
        <v>125094433</v>
      </c>
      <c r="O156" s="142">
        <f>IFERROR(Vertailu[[#This Row],[Simuloitu rahoitus sis. hark. kor. + alv, €]]-Vertailu[[#This Row],[2019 rahoitus sis. hark. kor. + alv, €]],0)</f>
        <v>125094433</v>
      </c>
      <c r="P156" s="37"/>
    </row>
    <row r="157" spans="1:16" s="126" customFormat="1" x14ac:dyDescent="0.25">
      <c r="A157" s="158" t="s">
        <v>21</v>
      </c>
      <c r="B157" s="158">
        <f>COUNTIF(Vertailu[Nimi],"?*")-1</f>
        <v>150</v>
      </c>
      <c r="C157" s="158"/>
      <c r="D157" s="159"/>
      <c r="E157" s="100">
        <f>SUBTOTAL(109,Vertailu[2019 rahoitus pl. hark. kor. ilman alv, €])</f>
        <v>1672125512</v>
      </c>
      <c r="F157" s="100">
        <f>SUBTOTAL(109,Vertailu[Simuloitu rahoitus pl. hark. kor. ilman alv, €])</f>
        <v>1721384994</v>
      </c>
      <c r="G157" s="100">
        <f>SUBTOTAL(109,Vertailu[Muutos, € 1])</f>
        <v>49259482</v>
      </c>
      <c r="H157" s="124">
        <f>IFERROR(Vertailu[[#Totals],[Muutos, € 1]]/Vertailu[[#Totals],[2019 rahoitus pl. hark. kor. ilman alv, €]],0)</f>
        <v>2.9459201265987264E-2</v>
      </c>
      <c r="I157" s="102">
        <f>SUBTOTAL(109,Vertailu[2019 rahoitus sis. hark. kor. ilman alv, €])</f>
        <v>1686626762</v>
      </c>
      <c r="J157" s="105">
        <f>SUBTOTAL(109,Vertailu[Simuloitu rahoitus sis. hark. kor. ilman alv, €])</f>
        <v>1741384994</v>
      </c>
      <c r="K157" s="102">
        <f>SUBTOTAL(109,Vertailu[Muutos, € 2])</f>
        <v>54758232</v>
      </c>
      <c r="L157" s="124">
        <f>IFERROR(Vertailu[[#Totals],[Muutos, € 2]]/Vertailu[[#Totals],[2019 rahoitus sis. hark. kor. ilman alv, €]],0)</f>
        <v>3.2466123053252013E-2</v>
      </c>
      <c r="M157" s="105">
        <f>SUBTOTAL(109,Vertailu[2019 rahoitus sis. hark. kor. + alv, €])</f>
        <v>1713611307</v>
      </c>
      <c r="N157" s="105">
        <f>SUBTOTAL(109,Vertailu[Simuloitu rahoitus sis. hark. kor. + alv, €])</f>
        <v>1771825910.2300007</v>
      </c>
      <c r="O157" s="102">
        <f>SUBTOTAL(109,Vertailu[Muutos, € 3])</f>
        <v>58214603.230000019</v>
      </c>
      <c r="P157" s="124">
        <f>IFERROR(Vertailu[[#Totals],[Muutos, € 3]]/Vertailu[[#Totals],[2019 rahoitus sis. hark. kor. + alv, €]],0)</f>
        <v>3.3971883234078133E-2</v>
      </c>
    </row>
    <row r="158" spans="1:16" x14ac:dyDescent="0.25">
      <c r="A158"/>
      <c r="B158"/>
      <c r="C158"/>
      <c r="D158"/>
      <c r="E158"/>
      <c r="F158"/>
    </row>
    <row r="159" spans="1:16" x14ac:dyDescent="0.25">
      <c r="A159"/>
      <c r="B159"/>
      <c r="C159"/>
      <c r="D159"/>
      <c r="E159"/>
      <c r="F159"/>
    </row>
    <row r="160" spans="1:16" x14ac:dyDescent="0.25">
      <c r="A160"/>
      <c r="B160"/>
      <c r="C160"/>
      <c r="D160"/>
      <c r="E160"/>
      <c r="F160"/>
    </row>
    <row r="161" spans="1:6" x14ac:dyDescent="0.25">
      <c r="A161"/>
      <c r="B161"/>
      <c r="C161"/>
      <c r="D161"/>
      <c r="E161"/>
      <c r="F161"/>
    </row>
    <row r="162" spans="1:6" x14ac:dyDescent="0.25">
      <c r="A162"/>
      <c r="B162"/>
      <c r="C162"/>
      <c r="D162"/>
      <c r="E162"/>
      <c r="F162"/>
    </row>
    <row r="163" spans="1:6" x14ac:dyDescent="0.25">
      <c r="A163"/>
      <c r="B163"/>
      <c r="C163"/>
      <c r="D163"/>
      <c r="E163"/>
      <c r="F163"/>
    </row>
    <row r="164" spans="1:6" x14ac:dyDescent="0.25">
      <c r="A164"/>
      <c r="B164"/>
      <c r="C164"/>
      <c r="D164"/>
      <c r="E164"/>
      <c r="F164"/>
    </row>
    <row r="165" spans="1:6" x14ac:dyDescent="0.25">
      <c r="A165"/>
      <c r="B165"/>
      <c r="C165"/>
      <c r="D165"/>
      <c r="E165"/>
      <c r="F165"/>
    </row>
    <row r="166" spans="1:6" x14ac:dyDescent="0.25">
      <c r="A166"/>
      <c r="B166"/>
      <c r="C166"/>
      <c r="D166"/>
      <c r="E166"/>
      <c r="F166"/>
    </row>
    <row r="167" spans="1:6" x14ac:dyDescent="0.25">
      <c r="A167"/>
      <c r="B167"/>
      <c r="C167"/>
      <c r="D167"/>
      <c r="E167"/>
      <c r="F167"/>
    </row>
    <row r="168" spans="1:6" x14ac:dyDescent="0.25">
      <c r="A168"/>
      <c r="B168"/>
      <c r="C168"/>
      <c r="D168"/>
      <c r="E168"/>
      <c r="F168"/>
    </row>
    <row r="169" spans="1:6" x14ac:dyDescent="0.25">
      <c r="A169"/>
      <c r="B169"/>
      <c r="C169"/>
      <c r="D169"/>
      <c r="E169"/>
      <c r="F169"/>
    </row>
    <row r="170" spans="1:6" x14ac:dyDescent="0.25">
      <c r="A170"/>
      <c r="B170"/>
      <c r="C170"/>
      <c r="D170"/>
      <c r="E170"/>
      <c r="F170"/>
    </row>
    <row r="171" spans="1:6" x14ac:dyDescent="0.25">
      <c r="A171"/>
      <c r="B171"/>
      <c r="C171"/>
      <c r="D171"/>
      <c r="E171"/>
      <c r="F171"/>
    </row>
    <row r="172" spans="1:6" x14ac:dyDescent="0.25">
      <c r="A172"/>
      <c r="B172"/>
      <c r="C172"/>
      <c r="D172"/>
      <c r="E172"/>
      <c r="F172"/>
    </row>
    <row r="173" spans="1:6" x14ac:dyDescent="0.25">
      <c r="A173"/>
      <c r="B173"/>
      <c r="C173"/>
      <c r="D173"/>
      <c r="E173"/>
      <c r="F173"/>
    </row>
    <row r="174" spans="1:6" x14ac:dyDescent="0.25">
      <c r="A174"/>
      <c r="B174"/>
      <c r="C174"/>
      <c r="D174"/>
      <c r="E174"/>
      <c r="F174"/>
    </row>
    <row r="175" spans="1:6" x14ac:dyDescent="0.25">
      <c r="A175"/>
      <c r="B175"/>
      <c r="C175"/>
      <c r="D175"/>
      <c r="E175"/>
      <c r="F175"/>
    </row>
    <row r="176" spans="1:6" x14ac:dyDescent="0.25">
      <c r="A176"/>
      <c r="B176"/>
      <c r="C176"/>
      <c r="D176"/>
      <c r="E176"/>
      <c r="F176"/>
    </row>
    <row r="177" spans="1:6" x14ac:dyDescent="0.25">
      <c r="A177"/>
      <c r="B177"/>
      <c r="C177"/>
      <c r="D177"/>
      <c r="E177"/>
      <c r="F177"/>
    </row>
    <row r="178" spans="1:6" x14ac:dyDescent="0.25">
      <c r="A178"/>
      <c r="B178"/>
      <c r="C178"/>
      <c r="D178"/>
      <c r="E178"/>
      <c r="F178"/>
    </row>
    <row r="179" spans="1:6" x14ac:dyDescent="0.25">
      <c r="A179"/>
      <c r="B179"/>
      <c r="C179"/>
      <c r="D179"/>
      <c r="E179"/>
      <c r="F179"/>
    </row>
    <row r="180" spans="1:6" x14ac:dyDescent="0.25">
      <c r="A180"/>
      <c r="B180"/>
      <c r="C180"/>
      <c r="D180"/>
      <c r="E180"/>
      <c r="F180"/>
    </row>
    <row r="181" spans="1:6" x14ac:dyDescent="0.25">
      <c r="A181"/>
      <c r="B181"/>
      <c r="C181"/>
      <c r="D181"/>
      <c r="E181"/>
      <c r="F181"/>
    </row>
    <row r="182" spans="1:6" x14ac:dyDescent="0.25">
      <c r="A182"/>
      <c r="B182"/>
      <c r="C182"/>
      <c r="D182"/>
      <c r="E182"/>
      <c r="F182"/>
    </row>
    <row r="183" spans="1:6" x14ac:dyDescent="0.25">
      <c r="A183"/>
      <c r="B183"/>
      <c r="C183"/>
      <c r="D183"/>
      <c r="E183"/>
      <c r="F183"/>
    </row>
    <row r="184" spans="1:6" x14ac:dyDescent="0.25">
      <c r="A184"/>
      <c r="B184"/>
      <c r="C184"/>
      <c r="D184"/>
      <c r="E184"/>
      <c r="F184"/>
    </row>
    <row r="185" spans="1:6" x14ac:dyDescent="0.25">
      <c r="A185"/>
      <c r="B185"/>
      <c r="C185"/>
      <c r="D185"/>
      <c r="E185"/>
      <c r="F185"/>
    </row>
    <row r="186" spans="1:6" x14ac:dyDescent="0.25">
      <c r="A186"/>
      <c r="B186"/>
      <c r="C186"/>
      <c r="D186"/>
      <c r="E186"/>
      <c r="F186"/>
    </row>
    <row r="187" spans="1:6" x14ac:dyDescent="0.25">
      <c r="A187"/>
      <c r="B187"/>
      <c r="C187"/>
      <c r="D187"/>
      <c r="E187"/>
      <c r="F187"/>
    </row>
    <row r="188" spans="1:6" x14ac:dyDescent="0.25">
      <c r="A188"/>
      <c r="B188"/>
      <c r="C188"/>
      <c r="D188"/>
      <c r="E188"/>
      <c r="F188"/>
    </row>
    <row r="189" spans="1:6" x14ac:dyDescent="0.25">
      <c r="A189"/>
      <c r="B189"/>
      <c r="C189"/>
      <c r="D189"/>
      <c r="E189"/>
      <c r="F189"/>
    </row>
    <row r="190" spans="1:6" x14ac:dyDescent="0.25">
      <c r="A190"/>
      <c r="B190"/>
      <c r="C190"/>
      <c r="D190"/>
      <c r="E190"/>
      <c r="F190"/>
    </row>
    <row r="191" spans="1:6" x14ac:dyDescent="0.25">
      <c r="A191"/>
      <c r="B191"/>
      <c r="C191"/>
      <c r="D191"/>
      <c r="E191"/>
      <c r="F191"/>
    </row>
    <row r="192" spans="1:6" x14ac:dyDescent="0.25">
      <c r="A192"/>
      <c r="B192"/>
      <c r="C192"/>
      <c r="D192"/>
      <c r="E192"/>
      <c r="F192"/>
    </row>
    <row r="193" spans="1:6" x14ac:dyDescent="0.25">
      <c r="A193"/>
      <c r="B193"/>
      <c r="C193"/>
      <c r="D193"/>
      <c r="E193"/>
      <c r="F193"/>
    </row>
    <row r="194" spans="1:6" x14ac:dyDescent="0.25">
      <c r="A194"/>
      <c r="B194"/>
      <c r="C194"/>
      <c r="D194"/>
      <c r="E194"/>
      <c r="F194"/>
    </row>
    <row r="195" spans="1:6" x14ac:dyDescent="0.25">
      <c r="A195"/>
      <c r="B195"/>
      <c r="C195"/>
      <c r="D195"/>
      <c r="E195"/>
      <c r="F195"/>
    </row>
    <row r="196" spans="1:6" x14ac:dyDescent="0.25">
      <c r="A196"/>
      <c r="B196"/>
      <c r="C196"/>
      <c r="D196"/>
      <c r="E196"/>
      <c r="F196"/>
    </row>
    <row r="197" spans="1:6" x14ac:dyDescent="0.25">
      <c r="A197"/>
      <c r="B197"/>
      <c r="C197"/>
      <c r="D197"/>
      <c r="E197"/>
      <c r="F197"/>
    </row>
    <row r="198" spans="1:6" x14ac:dyDescent="0.25">
      <c r="A198"/>
      <c r="B198"/>
      <c r="C198"/>
      <c r="D198"/>
      <c r="E198"/>
      <c r="F198"/>
    </row>
    <row r="199" spans="1:6" x14ac:dyDescent="0.25">
      <c r="A199"/>
      <c r="B199"/>
      <c r="C199"/>
      <c r="D199"/>
      <c r="E199"/>
      <c r="F199"/>
    </row>
    <row r="200" spans="1:6" x14ac:dyDescent="0.25">
      <c r="A200"/>
      <c r="B200"/>
      <c r="C200"/>
      <c r="D200"/>
      <c r="E200"/>
      <c r="F200"/>
    </row>
    <row r="201" spans="1:6" x14ac:dyDescent="0.25">
      <c r="A201"/>
      <c r="B201"/>
      <c r="C201"/>
      <c r="D201"/>
      <c r="E201"/>
      <c r="F201"/>
    </row>
    <row r="202" spans="1:6" x14ac:dyDescent="0.25">
      <c r="A202"/>
      <c r="B202"/>
      <c r="C202"/>
      <c r="D202"/>
      <c r="E202"/>
      <c r="F202"/>
    </row>
    <row r="203" spans="1:6" x14ac:dyDescent="0.25">
      <c r="A203"/>
      <c r="B203"/>
      <c r="C203"/>
      <c r="D203"/>
      <c r="E203"/>
      <c r="F203"/>
    </row>
    <row r="204" spans="1:6" x14ac:dyDescent="0.25">
      <c r="A204"/>
      <c r="B204"/>
      <c r="C204"/>
      <c r="D204"/>
      <c r="E204"/>
      <c r="F204"/>
    </row>
    <row r="205" spans="1:6" x14ac:dyDescent="0.25">
      <c r="A205"/>
      <c r="B205"/>
      <c r="C205"/>
      <c r="D205"/>
      <c r="E205"/>
      <c r="F205"/>
    </row>
    <row r="206" spans="1:6" x14ac:dyDescent="0.25">
      <c r="A206"/>
      <c r="B206"/>
      <c r="C206"/>
      <c r="D206"/>
      <c r="E206"/>
      <c r="F206"/>
    </row>
    <row r="207" spans="1:6" x14ac:dyDescent="0.25">
      <c r="A207"/>
      <c r="B207"/>
      <c r="C207"/>
      <c r="D207"/>
      <c r="E207"/>
      <c r="F207"/>
    </row>
    <row r="208" spans="1:6" x14ac:dyDescent="0.25">
      <c r="A208"/>
      <c r="B208"/>
      <c r="C208"/>
      <c r="D208"/>
      <c r="E208"/>
      <c r="F208"/>
    </row>
    <row r="209" spans="1:6" x14ac:dyDescent="0.25">
      <c r="A209"/>
      <c r="B209"/>
      <c r="C209"/>
      <c r="D209"/>
      <c r="E209"/>
      <c r="F209"/>
    </row>
    <row r="210" spans="1:6" x14ac:dyDescent="0.25">
      <c r="A210"/>
      <c r="B210"/>
      <c r="C210"/>
      <c r="D210"/>
      <c r="E210"/>
      <c r="F210"/>
    </row>
    <row r="211" spans="1:6" x14ac:dyDescent="0.25">
      <c r="A211"/>
      <c r="B211"/>
      <c r="C211"/>
      <c r="D211"/>
      <c r="E211"/>
      <c r="F211"/>
    </row>
    <row r="212" spans="1:6" x14ac:dyDescent="0.25">
      <c r="A212"/>
      <c r="B212"/>
      <c r="C212"/>
      <c r="D212"/>
      <c r="E212"/>
      <c r="F212"/>
    </row>
    <row r="213" spans="1:6" x14ac:dyDescent="0.25">
      <c r="A213"/>
      <c r="B213"/>
      <c r="C213"/>
      <c r="D213"/>
      <c r="E213"/>
      <c r="F213"/>
    </row>
  </sheetData>
  <mergeCells count="4">
    <mergeCell ref="E3:H4"/>
    <mergeCell ref="I3:L4"/>
    <mergeCell ref="M3:P4"/>
    <mergeCell ref="E2:H2"/>
  </mergeCells>
  <pageMargins left="0.7" right="0.7" top="0.75" bottom="0.75" header="0.3" footer="0.3"/>
  <pageSetup paperSize="9" orientation="portrait" r:id="rId1"/>
  <legacy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5"/>
  <sheetViews>
    <sheetView zoomScale="90" zoomScaleNormal="90" workbookViewId="0">
      <pane xSplit="2" ySplit="4" topLeftCell="E5" activePane="bottomRight" state="frozen"/>
      <selection pane="topRight" activeCell="C1" sqref="C1"/>
      <selection pane="bottomLeft" activeCell="A5" sqref="A5"/>
      <selection pane="bottomRight"/>
    </sheetView>
  </sheetViews>
  <sheetFormatPr defaultRowHeight="15" x14ac:dyDescent="0.25"/>
  <cols>
    <col min="1" max="1" width="11.7109375" customWidth="1"/>
    <col min="2" max="2" width="45.7109375" customWidth="1"/>
    <col min="3" max="16" width="16.85546875" customWidth="1"/>
    <col min="17" max="17" width="13.42578125" customWidth="1"/>
  </cols>
  <sheetData>
    <row r="1" spans="1:17" ht="19.5" x14ac:dyDescent="0.3">
      <c r="A1" s="7" t="s">
        <v>697</v>
      </c>
      <c r="B1" s="7"/>
      <c r="C1" s="3"/>
      <c r="D1" s="3"/>
      <c r="E1" s="3"/>
      <c r="F1" s="3"/>
      <c r="G1" s="3"/>
      <c r="H1" s="3"/>
      <c r="I1" s="3"/>
      <c r="J1" s="3"/>
      <c r="K1" s="3"/>
      <c r="L1" s="3"/>
      <c r="M1" s="3"/>
      <c r="N1" s="3"/>
      <c r="O1" s="3"/>
      <c r="P1" s="3"/>
    </row>
    <row r="2" spans="1:17" ht="15.75" x14ac:dyDescent="0.25">
      <c r="A2" s="4" t="s">
        <v>436</v>
      </c>
      <c r="B2" s="4"/>
      <c r="C2" s="3"/>
      <c r="D2" s="3"/>
      <c r="E2" s="3"/>
      <c r="F2" s="3"/>
      <c r="G2" s="3"/>
      <c r="H2" s="3"/>
      <c r="I2" s="3"/>
      <c r="J2" s="3"/>
      <c r="K2" s="3"/>
      <c r="L2" s="3"/>
      <c r="M2" s="3"/>
      <c r="N2" s="3"/>
      <c r="O2" s="3"/>
      <c r="P2" s="3"/>
    </row>
    <row r="3" spans="1:17" x14ac:dyDescent="0.25">
      <c r="A3" s="14" t="s">
        <v>696</v>
      </c>
      <c r="B3" s="89"/>
      <c r="C3" s="3"/>
      <c r="D3" s="3"/>
      <c r="E3" s="3"/>
      <c r="F3" s="3"/>
      <c r="G3" s="3"/>
      <c r="H3" s="3"/>
      <c r="I3" s="3"/>
      <c r="J3" s="3"/>
      <c r="K3" s="3"/>
      <c r="L3" s="3"/>
      <c r="M3" s="3"/>
      <c r="N3" s="3"/>
      <c r="O3" s="3"/>
      <c r="P3" s="3"/>
    </row>
    <row r="4" spans="1:17" ht="96" customHeight="1" x14ac:dyDescent="0.25">
      <c r="A4" s="38" t="s">
        <v>12</v>
      </c>
      <c r="B4" s="38"/>
      <c r="C4" s="38" t="s">
        <v>430</v>
      </c>
      <c r="D4" s="38" t="s">
        <v>431</v>
      </c>
      <c r="E4" s="38" t="s">
        <v>432</v>
      </c>
      <c r="F4" s="38" t="s">
        <v>157</v>
      </c>
      <c r="G4" s="38" t="s">
        <v>158</v>
      </c>
      <c r="H4" s="38" t="s">
        <v>159</v>
      </c>
      <c r="I4" s="38" t="s">
        <v>160</v>
      </c>
      <c r="J4" s="38" t="s">
        <v>161</v>
      </c>
      <c r="K4" s="38" t="s">
        <v>162</v>
      </c>
      <c r="L4" s="38" t="s">
        <v>163</v>
      </c>
      <c r="M4" s="38" t="s">
        <v>164</v>
      </c>
      <c r="N4" s="38" t="s">
        <v>165</v>
      </c>
      <c r="O4" s="38" t="s">
        <v>166</v>
      </c>
      <c r="P4" s="38" t="s">
        <v>167</v>
      </c>
      <c r="Q4" s="38" t="s">
        <v>168</v>
      </c>
    </row>
    <row r="5" spans="1:17" x14ac:dyDescent="0.25">
      <c r="A5" s="88" t="s">
        <v>360</v>
      </c>
      <c r="B5" s="117" t="str">
        <f>VLOOKUP(A5,'0 Järjestäjätiedot'!A:H,2,FALSE)</f>
        <v>Kellosepäntaidon Edistämissäätiö sr</v>
      </c>
      <c r="C5" s="213">
        <v>93.941095890410594</v>
      </c>
      <c r="D5" s="213">
        <v>77.8410958904106</v>
      </c>
      <c r="E5" s="213">
        <v>16.100000000000001</v>
      </c>
      <c r="F5" s="213">
        <v>80.110356164383305</v>
      </c>
      <c r="G5" s="213"/>
      <c r="H5" s="213"/>
      <c r="I5" s="213"/>
      <c r="J5" s="213">
        <v>13.846</v>
      </c>
      <c r="K5" s="213"/>
      <c r="L5" s="213"/>
      <c r="M5" s="213"/>
      <c r="N5" s="213"/>
      <c r="O5" s="213"/>
      <c r="P5" s="213">
        <v>93.956356164383308</v>
      </c>
      <c r="Q5" s="214">
        <v>1.0001624451346673</v>
      </c>
    </row>
    <row r="6" spans="1:17" x14ac:dyDescent="0.25">
      <c r="A6" s="88" t="s">
        <v>393</v>
      </c>
      <c r="B6" s="117" t="str">
        <f>VLOOKUP(A6,'0 Järjestäjätiedot'!A:H,2,FALSE)</f>
        <v>Finnair Oyj</v>
      </c>
      <c r="C6" s="213">
        <v>243</v>
      </c>
      <c r="D6" s="213"/>
      <c r="E6" s="213">
        <v>243</v>
      </c>
      <c r="F6" s="213"/>
      <c r="G6" s="213"/>
      <c r="H6" s="213"/>
      <c r="I6" s="213"/>
      <c r="J6" s="213">
        <v>208.98</v>
      </c>
      <c r="K6" s="213"/>
      <c r="L6" s="213"/>
      <c r="M6" s="213">
        <v>-104.49</v>
      </c>
      <c r="N6" s="213"/>
      <c r="O6" s="213"/>
      <c r="P6" s="213">
        <v>104.49</v>
      </c>
      <c r="Q6" s="214">
        <v>0.43</v>
      </c>
    </row>
    <row r="7" spans="1:17" x14ac:dyDescent="0.25">
      <c r="A7" s="88" t="s">
        <v>321</v>
      </c>
      <c r="B7" s="117" t="str">
        <f>VLOOKUP(A7,'0 Järjestäjätiedot'!A:H,2,FALSE)</f>
        <v>Nokia Oyj</v>
      </c>
      <c r="C7" s="213">
        <v>92</v>
      </c>
      <c r="D7" s="213"/>
      <c r="E7" s="213">
        <v>92</v>
      </c>
      <c r="F7" s="213"/>
      <c r="G7" s="213"/>
      <c r="H7" s="213"/>
      <c r="I7" s="213"/>
      <c r="J7" s="213">
        <v>79.12</v>
      </c>
      <c r="K7" s="213"/>
      <c r="L7" s="213"/>
      <c r="M7" s="213">
        <v>-39.56</v>
      </c>
      <c r="N7" s="213"/>
      <c r="O7" s="213"/>
      <c r="P7" s="213">
        <v>39.56</v>
      </c>
      <c r="Q7" s="214">
        <v>0.43000000000000005</v>
      </c>
    </row>
    <row r="8" spans="1:17" x14ac:dyDescent="0.25">
      <c r="A8" s="88" t="s">
        <v>284</v>
      </c>
      <c r="B8" s="117" t="str">
        <f>VLOOKUP(A8,'0 Järjestäjätiedot'!A:H,2,FALSE)</f>
        <v>Suomen kansallisooppera ja -baletti sr</v>
      </c>
      <c r="C8" s="213">
        <v>24.12328767123276</v>
      </c>
      <c r="D8" s="213">
        <v>24.12328767123276</v>
      </c>
      <c r="E8" s="213"/>
      <c r="F8" s="213">
        <v>29.671643835616269</v>
      </c>
      <c r="G8" s="213"/>
      <c r="H8" s="213"/>
      <c r="I8" s="213"/>
      <c r="J8" s="213"/>
      <c r="K8" s="213"/>
      <c r="L8" s="213"/>
      <c r="M8" s="213"/>
      <c r="N8" s="213"/>
      <c r="O8" s="213"/>
      <c r="P8" s="213">
        <v>29.671643835616269</v>
      </c>
      <c r="Q8" s="214">
        <v>1.2299999999999989</v>
      </c>
    </row>
    <row r="9" spans="1:17" x14ac:dyDescent="0.25">
      <c r="A9" s="88" t="s">
        <v>249</v>
      </c>
      <c r="B9" s="117" t="str">
        <f>VLOOKUP(A9,'0 Järjestäjätiedot'!A:H,2,FALSE)</f>
        <v>Vantaan kaupunki</v>
      </c>
      <c r="C9" s="213">
        <v>3466.0164383561651</v>
      </c>
      <c r="D9" s="213">
        <v>3466.0164383561651</v>
      </c>
      <c r="E9" s="213"/>
      <c r="F9" s="213">
        <v>3158.6870410958827</v>
      </c>
      <c r="G9" s="213">
        <v>317.78990657533421</v>
      </c>
      <c r="H9" s="213">
        <v>79.388794520547435</v>
      </c>
      <c r="I9" s="213">
        <v>1.5297534246575286</v>
      </c>
      <c r="J9" s="213"/>
      <c r="K9" s="213">
        <v>80.357424657533784</v>
      </c>
      <c r="L9" s="213"/>
      <c r="M9" s="213"/>
      <c r="N9" s="213">
        <v>3.6422845890410716</v>
      </c>
      <c r="O9" s="213"/>
      <c r="P9" s="213">
        <v>3641.3952048630435</v>
      </c>
      <c r="Q9" s="214">
        <v>1.0505995195423898</v>
      </c>
    </row>
    <row r="10" spans="1:17" x14ac:dyDescent="0.25">
      <c r="A10" s="88" t="s">
        <v>355</v>
      </c>
      <c r="B10" s="117" t="str">
        <f>VLOOKUP(A10,'0 Järjestäjätiedot'!A:H,2,FALSE)</f>
        <v>Kisakalliosäätiö sr</v>
      </c>
      <c r="C10" s="213">
        <v>117.92273972602651</v>
      </c>
      <c r="D10" s="213">
        <v>117.92273972602651</v>
      </c>
      <c r="E10" s="213"/>
      <c r="F10" s="213">
        <v>154.3549972602726</v>
      </c>
      <c r="G10" s="213">
        <v>15.837461260273868</v>
      </c>
      <c r="H10" s="213"/>
      <c r="I10" s="213"/>
      <c r="J10" s="213"/>
      <c r="K10" s="213">
        <v>1.9493150684931362</v>
      </c>
      <c r="L10" s="213">
        <v>35.643041095890212</v>
      </c>
      <c r="M10" s="213"/>
      <c r="N10" s="213"/>
      <c r="O10" s="213"/>
      <c r="P10" s="213">
        <v>207.78481468493015</v>
      </c>
      <c r="Q10" s="214">
        <v>1.7620419536357699</v>
      </c>
    </row>
    <row r="11" spans="1:17" x14ac:dyDescent="0.25">
      <c r="A11" s="88" t="s">
        <v>293</v>
      </c>
      <c r="B11" s="117" t="str">
        <f>VLOOKUP(A11,'0 Järjestäjätiedot'!A:H,2,FALSE)</f>
        <v>Salon Seudun Koulutuskuntayhtymä</v>
      </c>
      <c r="C11" s="213">
        <v>1987.3099999999542</v>
      </c>
      <c r="D11" s="213">
        <v>1959.5699999999542</v>
      </c>
      <c r="E11" s="213">
        <v>27.74</v>
      </c>
      <c r="F11" s="213">
        <v>1684.4737589040722</v>
      </c>
      <c r="G11" s="213">
        <v>209.87138775342197</v>
      </c>
      <c r="H11" s="213">
        <v>41.813260273972332</v>
      </c>
      <c r="I11" s="213">
        <v>6.0958356164383058</v>
      </c>
      <c r="J11" s="213">
        <v>23.856400000000001</v>
      </c>
      <c r="K11" s="213">
        <v>158.30646575342413</v>
      </c>
      <c r="L11" s="213"/>
      <c r="M11" s="213"/>
      <c r="N11" s="213">
        <v>0.66193753424657231</v>
      </c>
      <c r="O11" s="213"/>
      <c r="P11" s="213">
        <v>2125.0790458355668</v>
      </c>
      <c r="Q11" s="214">
        <v>1.06932438614792</v>
      </c>
    </row>
    <row r="12" spans="1:17" x14ac:dyDescent="0.25">
      <c r="A12" s="88" t="s">
        <v>264</v>
      </c>
      <c r="B12" s="117" t="str">
        <f>VLOOKUP(A12,'0 Järjestäjätiedot'!A:H,2,FALSE)</f>
        <v>Turun Aikuiskoulutussäätiö sr</v>
      </c>
      <c r="C12" s="213">
        <v>916.88684931507828</v>
      </c>
      <c r="D12" s="213">
        <v>909.18684931507823</v>
      </c>
      <c r="E12" s="213">
        <v>7.7</v>
      </c>
      <c r="F12" s="213">
        <v>409.82148493150333</v>
      </c>
      <c r="G12" s="213">
        <v>308.99438010958067</v>
      </c>
      <c r="H12" s="213">
        <v>50.705917808218913</v>
      </c>
      <c r="I12" s="213"/>
      <c r="J12" s="213">
        <v>6.6219999999999999</v>
      </c>
      <c r="K12" s="213">
        <v>0.46301369863013447</v>
      </c>
      <c r="L12" s="213"/>
      <c r="M12" s="213"/>
      <c r="N12" s="213">
        <v>12.996868698630104</v>
      </c>
      <c r="O12" s="213"/>
      <c r="P12" s="213">
        <v>789.60366524658104</v>
      </c>
      <c r="Q12" s="214">
        <v>0.86117896208940192</v>
      </c>
    </row>
    <row r="13" spans="1:17" x14ac:dyDescent="0.25">
      <c r="A13" s="88" t="s">
        <v>357</v>
      </c>
      <c r="B13" s="117" t="str">
        <f>VLOOKUP(A13,'0 Järjestäjätiedot'!A:H,2,FALSE)</f>
        <v>Kiipulasäätiö sr</v>
      </c>
      <c r="C13" s="213">
        <v>618.77753424659602</v>
      </c>
      <c r="D13" s="213">
        <v>618.77753424659602</v>
      </c>
      <c r="E13" s="213"/>
      <c r="F13" s="213">
        <v>423.83063013698234</v>
      </c>
      <c r="G13" s="213">
        <v>24.622751999999846</v>
      </c>
      <c r="H13" s="213">
        <v>220.83304109589147</v>
      </c>
      <c r="I13" s="213">
        <v>8.5256712328766664</v>
      </c>
      <c r="J13" s="213"/>
      <c r="K13" s="213">
        <v>1927.4267671232778</v>
      </c>
      <c r="L13" s="213">
        <v>366.03534246574196</v>
      </c>
      <c r="M13" s="213"/>
      <c r="N13" s="213"/>
      <c r="O13" s="213"/>
      <c r="P13" s="213">
        <v>2971.2742040548255</v>
      </c>
      <c r="Q13" s="214">
        <v>4.8018456385501338</v>
      </c>
    </row>
    <row r="14" spans="1:17" x14ac:dyDescent="0.25">
      <c r="A14" s="88" t="s">
        <v>335</v>
      </c>
      <c r="B14" s="117" t="str">
        <f>VLOOKUP(A14,'0 Järjestäjätiedot'!A:H,2,FALSE)</f>
        <v>Lahden Konservatorio Oy</v>
      </c>
      <c r="C14" s="213">
        <v>44.032876712328573</v>
      </c>
      <c r="D14" s="213">
        <v>36.232876712328576</v>
      </c>
      <c r="E14" s="213">
        <v>7.8</v>
      </c>
      <c r="F14" s="213">
        <v>57.380136986301039</v>
      </c>
      <c r="G14" s="213"/>
      <c r="H14" s="213"/>
      <c r="I14" s="213"/>
      <c r="J14" s="213">
        <v>6.7080000000000002</v>
      </c>
      <c r="K14" s="213"/>
      <c r="L14" s="213"/>
      <c r="M14" s="213"/>
      <c r="N14" s="213"/>
      <c r="O14" s="213"/>
      <c r="P14" s="213">
        <v>64.088136986301038</v>
      </c>
      <c r="Q14" s="214">
        <v>1.4554610502737675</v>
      </c>
    </row>
    <row r="15" spans="1:17" x14ac:dyDescent="0.25">
      <c r="A15" s="88" t="s">
        <v>336</v>
      </c>
      <c r="B15" s="117" t="str">
        <f>VLOOKUP(A15,'0 Järjestäjätiedot'!A:H,2,FALSE)</f>
        <v>Lahden kansanopiston säätiö sr</v>
      </c>
      <c r="C15" s="213">
        <v>21.654794520547828</v>
      </c>
      <c r="D15" s="213">
        <v>21.654794520547828</v>
      </c>
      <c r="E15" s="213"/>
      <c r="F15" s="213"/>
      <c r="G15" s="213">
        <v>16.507449863013615</v>
      </c>
      <c r="H15" s="213"/>
      <c r="I15" s="213"/>
      <c r="J15" s="213"/>
      <c r="K15" s="213"/>
      <c r="L15" s="213"/>
      <c r="M15" s="213"/>
      <c r="N15" s="213"/>
      <c r="O15" s="213"/>
      <c r="P15" s="213">
        <v>16.507449863013615</v>
      </c>
      <c r="Q15" s="214">
        <v>0.76230000000000031</v>
      </c>
    </row>
    <row r="16" spans="1:17" ht="22.5" customHeight="1" x14ac:dyDescent="0.25">
      <c r="A16" s="88" t="s">
        <v>405</v>
      </c>
      <c r="B16" s="117" t="str">
        <f>VLOOKUP(A16,'0 Järjestäjätiedot'!A:H,2,FALSE)</f>
        <v>Aitoon Emäntäkoulu Oy</v>
      </c>
      <c r="C16" s="213">
        <v>84.693698630136552</v>
      </c>
      <c r="D16" s="213">
        <v>84.693698630136552</v>
      </c>
      <c r="E16" s="213"/>
      <c r="F16" s="213">
        <v>45.250438356164096</v>
      </c>
      <c r="G16" s="213"/>
      <c r="H16" s="213">
        <v>56.702087671232562</v>
      </c>
      <c r="I16" s="213"/>
      <c r="J16" s="213"/>
      <c r="K16" s="213">
        <v>269.02672876712131</v>
      </c>
      <c r="L16" s="213">
        <v>91.037589041095941</v>
      </c>
      <c r="M16" s="213"/>
      <c r="N16" s="213"/>
      <c r="O16" s="213"/>
      <c r="P16" s="213">
        <v>462.016843835614</v>
      </c>
      <c r="Q16" s="214">
        <v>5.4551501623901757</v>
      </c>
    </row>
    <row r="17" spans="1:17" x14ac:dyDescent="0.25">
      <c r="A17" s="88" t="s">
        <v>312</v>
      </c>
      <c r="B17" s="117" t="str">
        <f>VLOOKUP(A17,'0 Järjestäjätiedot'!A:H,2,FALSE)</f>
        <v>Palloilu Säätiö sr</v>
      </c>
      <c r="C17" s="213">
        <v>53.01260273972585</v>
      </c>
      <c r="D17" s="213">
        <v>53.01260273972585</v>
      </c>
      <c r="E17" s="213"/>
      <c r="F17" s="213"/>
      <c r="G17" s="213">
        <v>43.792081315068266</v>
      </c>
      <c r="H17" s="213"/>
      <c r="I17" s="213"/>
      <c r="J17" s="213"/>
      <c r="K17" s="213"/>
      <c r="L17" s="213"/>
      <c r="M17" s="213"/>
      <c r="N17" s="213"/>
      <c r="O17" s="213"/>
      <c r="P17" s="213">
        <v>43.792081315068266</v>
      </c>
      <c r="Q17" s="214">
        <v>0.82606925621201321</v>
      </c>
    </row>
    <row r="18" spans="1:17" x14ac:dyDescent="0.25">
      <c r="A18" s="88" t="s">
        <v>406</v>
      </c>
      <c r="B18" s="117" t="str">
        <f>VLOOKUP(A18,'0 Järjestäjätiedot'!A:H,2,FALSE)</f>
        <v>Ahlmanin koulun Säätiö sr</v>
      </c>
      <c r="C18" s="213">
        <v>330.09890410958741</v>
      </c>
      <c r="D18" s="213">
        <v>330.09890410958741</v>
      </c>
      <c r="E18" s="213"/>
      <c r="F18" s="213">
        <v>325.03238630136639</v>
      </c>
      <c r="G18" s="213">
        <v>62.477416054794048</v>
      </c>
      <c r="H18" s="213"/>
      <c r="I18" s="213"/>
      <c r="J18" s="213"/>
      <c r="K18" s="213">
        <v>11.727945205479394</v>
      </c>
      <c r="L18" s="213"/>
      <c r="M18" s="213"/>
      <c r="N18" s="213"/>
      <c r="O18" s="213"/>
      <c r="P18" s="213">
        <v>399.23774756164215</v>
      </c>
      <c r="Q18" s="214">
        <v>1.2094488730235278</v>
      </c>
    </row>
    <row r="19" spans="1:17" x14ac:dyDescent="0.25">
      <c r="A19" s="88" t="s">
        <v>275</v>
      </c>
      <c r="B19" s="117" t="str">
        <f>VLOOKUP(A19,'0 Järjestäjätiedot'!A:H,2,FALSE)</f>
        <v>Tampereen Aikuiskoulutussäätiö sr</v>
      </c>
      <c r="C19" s="213">
        <v>1536.5651780821813</v>
      </c>
      <c r="D19" s="213">
        <v>1503.4191780821814</v>
      </c>
      <c r="E19" s="213">
        <v>33.146000000000001</v>
      </c>
      <c r="F19" s="213">
        <v>614.29406027396135</v>
      </c>
      <c r="G19" s="213">
        <v>590.18349906848175</v>
      </c>
      <c r="H19" s="213">
        <v>43.061013698629885</v>
      </c>
      <c r="I19" s="213"/>
      <c r="J19" s="213">
        <v>28.505559999999999</v>
      </c>
      <c r="K19" s="213">
        <v>0.13287671232876599</v>
      </c>
      <c r="L19" s="213"/>
      <c r="M19" s="213"/>
      <c r="N19" s="213">
        <v>8.9874034931506657</v>
      </c>
      <c r="O19" s="213"/>
      <c r="P19" s="213">
        <v>1285.1644132465799</v>
      </c>
      <c r="Q19" s="214">
        <v>0.83638782889159302</v>
      </c>
    </row>
    <row r="20" spans="1:17" x14ac:dyDescent="0.25">
      <c r="A20" s="88" t="s">
        <v>248</v>
      </c>
      <c r="B20" s="117" t="str">
        <f>VLOOKUP(A20,'0 Järjestäjätiedot'!A:H,2,FALSE)</f>
        <v>Varalan Säätiö sr</v>
      </c>
      <c r="C20" s="213">
        <v>171.11780821917688</v>
      </c>
      <c r="D20" s="213">
        <v>171.11780821917688</v>
      </c>
      <c r="E20" s="213"/>
      <c r="F20" s="213">
        <v>158.22634520547859</v>
      </c>
      <c r="G20" s="213">
        <v>54.581515397259778</v>
      </c>
      <c r="H20" s="213"/>
      <c r="I20" s="213">
        <v>4.6356164383551599E-3</v>
      </c>
      <c r="J20" s="213"/>
      <c r="K20" s="213">
        <v>1.7572602739725873</v>
      </c>
      <c r="L20" s="213">
        <v>23.005830136986173</v>
      </c>
      <c r="M20" s="213"/>
      <c r="N20" s="213"/>
      <c r="O20" s="213"/>
      <c r="P20" s="213">
        <v>237.57558663013532</v>
      </c>
      <c r="Q20" s="214">
        <v>1.3883744135258893</v>
      </c>
    </row>
    <row r="21" spans="1:17" x14ac:dyDescent="0.25">
      <c r="A21" s="88" t="s">
        <v>347</v>
      </c>
      <c r="B21" s="117" t="str">
        <f>VLOOKUP(A21,'0 Järjestäjätiedot'!A:H,2,FALSE)</f>
        <v>Kouvolan Aikuiskoulutussäätiö sr</v>
      </c>
      <c r="C21" s="213">
        <v>361.79547945205172</v>
      </c>
      <c r="D21" s="213">
        <v>288.12547945205171</v>
      </c>
      <c r="E21" s="213">
        <v>73.67</v>
      </c>
      <c r="F21" s="213">
        <v>157.77414246575242</v>
      </c>
      <c r="G21" s="213">
        <v>92.130753150684086</v>
      </c>
      <c r="H21" s="213"/>
      <c r="I21" s="213"/>
      <c r="J21" s="213">
        <v>63.356200000000001</v>
      </c>
      <c r="K21" s="213">
        <v>0.40136986301369448</v>
      </c>
      <c r="L21" s="213"/>
      <c r="M21" s="213"/>
      <c r="N21" s="213">
        <v>17.005779315068484</v>
      </c>
      <c r="O21" s="213"/>
      <c r="P21" s="213">
        <v>330.66824479451884</v>
      </c>
      <c r="Q21" s="214">
        <v>0.9139645561501325</v>
      </c>
    </row>
    <row r="22" spans="1:17" x14ac:dyDescent="0.25">
      <c r="A22" s="88" t="s">
        <v>346</v>
      </c>
      <c r="B22" s="117" t="str">
        <f>VLOOKUP(A22,'0 Järjestäjätiedot'!A:H,2,FALSE)</f>
        <v>Kouvolan kaupunki</v>
      </c>
      <c r="C22" s="213">
        <v>2406.1101369863231</v>
      </c>
      <c r="D22" s="213">
        <v>2401.0101369863232</v>
      </c>
      <c r="E22" s="213">
        <v>5.0999999999999996</v>
      </c>
      <c r="F22" s="213">
        <v>1866.0614328766801</v>
      </c>
      <c r="G22" s="213">
        <v>364.8731957260203</v>
      </c>
      <c r="H22" s="213">
        <v>61.394876712328518</v>
      </c>
      <c r="I22" s="213"/>
      <c r="J22" s="213">
        <v>4.3860000000000001</v>
      </c>
      <c r="K22" s="213">
        <v>118.68087671232752</v>
      </c>
      <c r="L22" s="213">
        <v>12.602306849314994</v>
      </c>
      <c r="M22" s="213"/>
      <c r="N22" s="213">
        <v>1.7536169863013578</v>
      </c>
      <c r="O22" s="213"/>
      <c r="P22" s="213">
        <v>2429.7523058629986</v>
      </c>
      <c r="Q22" s="214">
        <v>1.0098258880644133</v>
      </c>
    </row>
    <row r="23" spans="1:17" x14ac:dyDescent="0.25">
      <c r="A23" s="88" t="s">
        <v>255</v>
      </c>
      <c r="B23" s="117" t="str">
        <f>VLOOKUP(A23,'0 Järjestäjätiedot'!A:H,2,FALSE)</f>
        <v>Valkealan Kristillisen Kansanopiston kannatusyhdistys r.y.</v>
      </c>
      <c r="C23" s="213">
        <v>18.994178082191766</v>
      </c>
      <c r="D23" s="213">
        <v>3.4191780821917668</v>
      </c>
      <c r="E23" s="213">
        <v>15.574999999999999</v>
      </c>
      <c r="F23" s="213"/>
      <c r="G23" s="213">
        <v>2.6064394520547838</v>
      </c>
      <c r="H23" s="213"/>
      <c r="I23" s="213"/>
      <c r="J23" s="213">
        <v>13.394499999999999</v>
      </c>
      <c r="K23" s="213"/>
      <c r="L23" s="213"/>
      <c r="M23" s="213"/>
      <c r="N23" s="213"/>
      <c r="O23" s="213"/>
      <c r="P23" s="213">
        <v>16.000939452054784</v>
      </c>
      <c r="Q23" s="214">
        <v>0.84241283738708694</v>
      </c>
    </row>
    <row r="24" spans="1:17" x14ac:dyDescent="0.25">
      <c r="A24" s="88" t="s">
        <v>271</v>
      </c>
      <c r="B24" s="117" t="str">
        <f>VLOOKUP(A24,'0 Järjestäjätiedot'!A:H,2,FALSE)</f>
        <v>Tanhuvaaran Säätiö sr</v>
      </c>
      <c r="C24" s="213">
        <v>81.029452054794177</v>
      </c>
      <c r="D24" s="213">
        <v>81.029452054794177</v>
      </c>
      <c r="E24" s="213"/>
      <c r="F24" s="213">
        <v>84.675123287671198</v>
      </c>
      <c r="G24" s="213">
        <v>21.172621438356035</v>
      </c>
      <c r="H24" s="213"/>
      <c r="I24" s="213"/>
      <c r="J24" s="213"/>
      <c r="K24" s="213">
        <v>1.4013698630136922</v>
      </c>
      <c r="L24" s="213">
        <v>21.561506849314977</v>
      </c>
      <c r="M24" s="213"/>
      <c r="N24" s="213"/>
      <c r="O24" s="213"/>
      <c r="P24" s="213">
        <v>128.81062143835535</v>
      </c>
      <c r="Q24" s="214">
        <v>1.5896765703321101</v>
      </c>
    </row>
    <row r="25" spans="1:17" x14ac:dyDescent="0.25">
      <c r="A25" s="88" t="s">
        <v>375</v>
      </c>
      <c r="B25" s="117" t="str">
        <f>VLOOKUP(A25,'0 Järjestäjätiedot'!A:H,2,FALSE)</f>
        <v>Itä-Suomen Liikuntaopisto Oy</v>
      </c>
      <c r="C25" s="213">
        <v>70.595506849314802</v>
      </c>
      <c r="D25" s="213">
        <v>51.115506849314798</v>
      </c>
      <c r="E25" s="213">
        <v>19.48</v>
      </c>
      <c r="F25" s="213"/>
      <c r="G25" s="213">
        <v>38.965350871232658</v>
      </c>
      <c r="H25" s="213"/>
      <c r="I25" s="213"/>
      <c r="J25" s="213">
        <v>16.752800000000001</v>
      </c>
      <c r="K25" s="213"/>
      <c r="L25" s="213"/>
      <c r="M25" s="213"/>
      <c r="N25" s="213"/>
      <c r="O25" s="213"/>
      <c r="P25" s="213">
        <v>55.718150871232694</v>
      </c>
      <c r="Q25" s="214">
        <v>0.78925916616991454</v>
      </c>
    </row>
    <row r="26" spans="1:17" x14ac:dyDescent="0.25">
      <c r="A26" s="88" t="s">
        <v>266</v>
      </c>
      <c r="B26" s="117" t="str">
        <f>VLOOKUP(A26,'0 Järjestäjätiedot'!A:H,2,FALSE)</f>
        <v>Tohtori Matthias Ingmanin säätiö sr</v>
      </c>
      <c r="C26" s="213">
        <v>186.38630136986117</v>
      </c>
      <c r="D26" s="213">
        <v>186.38630136986117</v>
      </c>
      <c r="E26" s="213"/>
      <c r="F26" s="213">
        <v>225.51904109588995</v>
      </c>
      <c r="G26" s="213"/>
      <c r="H26" s="213"/>
      <c r="I26" s="213"/>
      <c r="J26" s="213"/>
      <c r="K26" s="213">
        <v>37.847945205479263</v>
      </c>
      <c r="L26" s="213"/>
      <c r="M26" s="213"/>
      <c r="N26" s="213"/>
      <c r="O26" s="213"/>
      <c r="P26" s="213">
        <v>263.3669863013684</v>
      </c>
      <c r="Q26" s="214">
        <v>1.4130168599609065</v>
      </c>
    </row>
    <row r="27" spans="1:17" x14ac:dyDescent="0.25">
      <c r="A27" s="88" t="s">
        <v>361</v>
      </c>
      <c r="B27" s="117" t="str">
        <f>VLOOKUP(A27,'0 Järjestäjätiedot'!A:H,2,FALSE)</f>
        <v>Kaustisen Evankelisen Opiston Kannatusyhdistys ry</v>
      </c>
      <c r="C27" s="213">
        <v>54.754794520547684</v>
      </c>
      <c r="D27" s="213">
        <v>54.754794520547684</v>
      </c>
      <c r="E27" s="213"/>
      <c r="F27" s="213">
        <v>39.731005479451873</v>
      </c>
      <c r="G27" s="213">
        <v>11.146705643835563</v>
      </c>
      <c r="H27" s="213"/>
      <c r="I27" s="213"/>
      <c r="J27" s="213"/>
      <c r="K27" s="213">
        <v>2.5973972602739566</v>
      </c>
      <c r="L27" s="213">
        <v>3.4918630136986102</v>
      </c>
      <c r="M27" s="213"/>
      <c r="N27" s="213"/>
      <c r="O27" s="213"/>
      <c r="P27" s="213">
        <v>56.966971397260068</v>
      </c>
      <c r="Q27" s="214">
        <v>1.0404015191013496</v>
      </c>
    </row>
    <row r="28" spans="1:17" x14ac:dyDescent="0.25">
      <c r="A28" s="88" t="s">
        <v>339</v>
      </c>
      <c r="B28" s="117" t="str">
        <f>VLOOKUP(A28,'0 Järjestäjätiedot'!A:H,2,FALSE)</f>
        <v>Kuortaneen Urheiluopistosäätiö sr</v>
      </c>
      <c r="C28" s="213">
        <v>151.19643835616361</v>
      </c>
      <c r="D28" s="213">
        <v>134.69643835616361</v>
      </c>
      <c r="E28" s="213">
        <v>16.5</v>
      </c>
      <c r="F28" s="213">
        <v>107.39687671232859</v>
      </c>
      <c r="G28" s="213">
        <v>49.389525643835356</v>
      </c>
      <c r="H28" s="213"/>
      <c r="I28" s="213"/>
      <c r="J28" s="213">
        <v>14.19</v>
      </c>
      <c r="K28" s="213"/>
      <c r="L28" s="213">
        <v>27.693534246575222</v>
      </c>
      <c r="M28" s="213"/>
      <c r="N28" s="213"/>
      <c r="O28" s="213"/>
      <c r="P28" s="213">
        <v>198.66993660273911</v>
      </c>
      <c r="Q28" s="214">
        <v>1.3139855592017669</v>
      </c>
    </row>
    <row r="29" spans="1:17" x14ac:dyDescent="0.25">
      <c r="A29" s="88" t="s">
        <v>318</v>
      </c>
      <c r="B29" s="117" t="str">
        <f>VLOOKUP(A29,'0 Järjestäjätiedot'!A:H,2,FALSE)</f>
        <v>Oulun kaupunki</v>
      </c>
      <c r="C29" s="213">
        <v>45.799726027397064</v>
      </c>
      <c r="D29" s="213">
        <v>39.539726027397066</v>
      </c>
      <c r="E29" s="213">
        <v>6.26</v>
      </c>
      <c r="F29" s="213">
        <v>62.824602739725691</v>
      </c>
      <c r="G29" s="213"/>
      <c r="H29" s="213"/>
      <c r="I29" s="213">
        <v>3.8630136986297699E-2</v>
      </c>
      <c r="J29" s="213">
        <v>5.3836000000000004</v>
      </c>
      <c r="K29" s="213"/>
      <c r="L29" s="213"/>
      <c r="M29" s="213"/>
      <c r="N29" s="213"/>
      <c r="O29" s="213"/>
      <c r="P29" s="213">
        <v>68.246832876711977</v>
      </c>
      <c r="Q29" s="214">
        <v>1.4901144350926299</v>
      </c>
    </row>
    <row r="30" spans="1:17" x14ac:dyDescent="0.25">
      <c r="A30" s="88" t="s">
        <v>325</v>
      </c>
      <c r="B30" s="117" t="str">
        <f>VLOOKUP(A30,'0 Järjestäjätiedot'!A:H,2,FALSE)</f>
        <v>Marttayhdistysten liitto ry</v>
      </c>
      <c r="C30" s="213">
        <v>160.46136986301289</v>
      </c>
      <c r="D30" s="213">
        <v>160.46136986301289</v>
      </c>
      <c r="E30" s="213"/>
      <c r="F30" s="213">
        <v>113.01948493150641</v>
      </c>
      <c r="G30" s="213">
        <v>33.837559287671183</v>
      </c>
      <c r="H30" s="213"/>
      <c r="I30" s="213"/>
      <c r="J30" s="213"/>
      <c r="K30" s="213">
        <v>10.535616438356119</v>
      </c>
      <c r="L30" s="213"/>
      <c r="M30" s="213"/>
      <c r="N30" s="213">
        <v>2.2111921232876575</v>
      </c>
      <c r="O30" s="213"/>
      <c r="P30" s="213">
        <v>159.60385278082092</v>
      </c>
      <c r="Q30" s="214">
        <v>0.99465592819677384</v>
      </c>
    </row>
    <row r="31" spans="1:17" x14ac:dyDescent="0.25">
      <c r="A31" s="88" t="s">
        <v>302</v>
      </c>
      <c r="B31" s="117" t="str">
        <f>VLOOKUP(A31,'0 Järjestäjätiedot'!A:H,2,FALSE)</f>
        <v>Raahen Porvari- ja Kauppakoulurahasto sr</v>
      </c>
      <c r="C31" s="213">
        <v>142.93657534246469</v>
      </c>
      <c r="D31" s="213">
        <v>141.13657534246468</v>
      </c>
      <c r="E31" s="213">
        <v>1.8</v>
      </c>
      <c r="F31" s="213">
        <v>98.729205479451622</v>
      </c>
      <c r="G31" s="213">
        <v>5.5427764383561273</v>
      </c>
      <c r="H31" s="213"/>
      <c r="I31" s="213"/>
      <c r="J31" s="213">
        <v>1.548</v>
      </c>
      <c r="K31" s="213">
        <v>14.482191780821841</v>
      </c>
      <c r="L31" s="213"/>
      <c r="M31" s="213"/>
      <c r="N31" s="213"/>
      <c r="O31" s="213"/>
      <c r="P31" s="213">
        <v>120.30217369862984</v>
      </c>
      <c r="Q31" s="214">
        <v>0.84164723696783261</v>
      </c>
    </row>
    <row r="32" spans="1:17" x14ac:dyDescent="0.25">
      <c r="A32" s="88" t="s">
        <v>309</v>
      </c>
      <c r="B32" s="117" t="str">
        <f>VLOOKUP(A32,'0 Järjestäjätiedot'!A:H,2,FALSE)</f>
        <v>Peräpohjolan Kansanopiston kannatusyhdistys ry</v>
      </c>
      <c r="C32" s="213">
        <v>76.552054794520217</v>
      </c>
      <c r="D32" s="213">
        <v>65.652054794520211</v>
      </c>
      <c r="E32" s="213">
        <v>10.9</v>
      </c>
      <c r="F32" s="213">
        <v>47.981095890410813</v>
      </c>
      <c r="G32" s="213">
        <v>13.101117534246519</v>
      </c>
      <c r="H32" s="213"/>
      <c r="I32" s="213"/>
      <c r="J32" s="213">
        <v>9.3740000000000006</v>
      </c>
      <c r="K32" s="213">
        <v>2.9753424657534082</v>
      </c>
      <c r="L32" s="213">
        <v>5.5434246575342128</v>
      </c>
      <c r="M32" s="213"/>
      <c r="N32" s="213"/>
      <c r="O32" s="213"/>
      <c r="P32" s="213">
        <v>78.974980547945009</v>
      </c>
      <c r="Q32" s="214">
        <v>1.0316506952024784</v>
      </c>
    </row>
    <row r="33" spans="1:17" x14ac:dyDescent="0.25">
      <c r="A33" s="88" t="s">
        <v>299</v>
      </c>
      <c r="B33" s="117" t="str">
        <f>VLOOKUP(A33,'0 Järjestäjätiedot'!A:H,2,FALSE)</f>
        <v>Raudaskylän Kristillinen Opisto r.y.</v>
      </c>
      <c r="C33" s="213">
        <v>41.829315068492861</v>
      </c>
      <c r="D33" s="213">
        <v>41.829315068492861</v>
      </c>
      <c r="E33" s="213"/>
      <c r="F33" s="213"/>
      <c r="G33" s="213">
        <v>31.600363315068304</v>
      </c>
      <c r="H33" s="213"/>
      <c r="I33" s="213">
        <v>0.529232876712325</v>
      </c>
      <c r="J33" s="213"/>
      <c r="K33" s="213">
        <v>2.0191780821917682</v>
      </c>
      <c r="L33" s="213"/>
      <c r="M33" s="213"/>
      <c r="N33" s="213"/>
      <c r="O33" s="213"/>
      <c r="P33" s="213">
        <v>34.148774273972307</v>
      </c>
      <c r="Q33" s="214">
        <v>0.81638377817221841</v>
      </c>
    </row>
    <row r="34" spans="1:17" x14ac:dyDescent="0.25">
      <c r="A34" s="88" t="s">
        <v>381</v>
      </c>
      <c r="B34" s="117" t="str">
        <f>VLOOKUP(A34,'0 Järjestäjätiedot'!A:H,2,FALSE)</f>
        <v>Laajasalon opiston säätiö sr</v>
      </c>
      <c r="C34" s="213">
        <v>31.56164383561628</v>
      </c>
      <c r="D34" s="213">
        <v>31.56164383561628</v>
      </c>
      <c r="E34" s="213"/>
      <c r="F34" s="213"/>
      <c r="G34" s="213">
        <v>24.059441095890296</v>
      </c>
      <c r="H34" s="213"/>
      <c r="I34" s="213"/>
      <c r="J34" s="213"/>
      <c r="K34" s="213"/>
      <c r="L34" s="213"/>
      <c r="M34" s="213"/>
      <c r="N34" s="213"/>
      <c r="O34" s="213"/>
      <c r="P34" s="213">
        <v>24.059441095890296</v>
      </c>
      <c r="Q34" s="214">
        <v>0.7623000000000002</v>
      </c>
    </row>
    <row r="35" spans="1:17" x14ac:dyDescent="0.25">
      <c r="A35" s="88" t="s">
        <v>382</v>
      </c>
      <c r="B35" s="117" t="str">
        <f>VLOOKUP(A35,'0 Järjestäjätiedot'!A:H,2,FALSE)</f>
        <v>Helsingin Konservatorion Säätiö sr</v>
      </c>
      <c r="C35" s="213">
        <v>59.087671232876382</v>
      </c>
      <c r="D35" s="213">
        <v>59.087671232876382</v>
      </c>
      <c r="E35" s="213"/>
      <c r="F35" s="213">
        <v>93.459534246574918</v>
      </c>
      <c r="G35" s="213"/>
      <c r="H35" s="213"/>
      <c r="I35" s="213"/>
      <c r="J35" s="213"/>
      <c r="K35" s="213">
        <v>0.63287671232876308</v>
      </c>
      <c r="L35" s="213"/>
      <c r="M35" s="213"/>
      <c r="N35" s="213"/>
      <c r="O35" s="213"/>
      <c r="P35" s="213">
        <v>94.092410958903642</v>
      </c>
      <c r="Q35" s="214">
        <v>1.5924203644456822</v>
      </c>
    </row>
    <row r="36" spans="1:17" x14ac:dyDescent="0.25">
      <c r="A36" s="88" t="s">
        <v>386</v>
      </c>
      <c r="B36" s="117" t="str">
        <f>VLOOKUP(A36,'0 Järjestäjätiedot'!A:H,2,FALSE)</f>
        <v>Helsingin kaupunki</v>
      </c>
      <c r="C36" s="213">
        <v>10393.163013697871</v>
      </c>
      <c r="D36" s="213">
        <v>10366.583013697871</v>
      </c>
      <c r="E36" s="213">
        <v>26.58</v>
      </c>
      <c r="F36" s="213">
        <v>8509.9757863011455</v>
      </c>
      <c r="G36" s="213">
        <v>1056.7240814794202</v>
      </c>
      <c r="H36" s="213">
        <v>621.40438356164009</v>
      </c>
      <c r="I36" s="213">
        <v>63.685643835615956</v>
      </c>
      <c r="J36" s="213">
        <v>22.858800000000002</v>
      </c>
      <c r="K36" s="213">
        <v>522.45057534245927</v>
      </c>
      <c r="L36" s="213"/>
      <c r="M36" s="213"/>
      <c r="N36" s="213"/>
      <c r="O36" s="213"/>
      <c r="P36" s="213">
        <v>10797.099270521108</v>
      </c>
      <c r="Q36" s="214">
        <v>1.0388655750218561</v>
      </c>
    </row>
    <row r="37" spans="1:17" x14ac:dyDescent="0.25">
      <c r="A37" s="88" t="s">
        <v>378</v>
      </c>
      <c r="B37" s="117" t="str">
        <f>VLOOKUP(A37,'0 Järjestäjätiedot'!A:H,2,FALSE)</f>
        <v>Invalidisäätiö sr</v>
      </c>
      <c r="C37" s="213">
        <v>849.07890410963648</v>
      </c>
      <c r="D37" s="213">
        <v>849.07890410963648</v>
      </c>
      <c r="E37" s="213"/>
      <c r="F37" s="213">
        <v>458.22882191779956</v>
      </c>
      <c r="G37" s="213">
        <v>55.95942723287677</v>
      </c>
      <c r="H37" s="213">
        <v>453.30534246574695</v>
      </c>
      <c r="I37" s="213"/>
      <c r="J37" s="213"/>
      <c r="K37" s="213">
        <v>2789.0060876712478</v>
      </c>
      <c r="L37" s="213">
        <v>78.13112328767123</v>
      </c>
      <c r="M37" s="213"/>
      <c r="N37" s="213"/>
      <c r="O37" s="213"/>
      <c r="P37" s="213">
        <v>3834.6308025754579</v>
      </c>
      <c r="Q37" s="214">
        <v>4.5162243273450953</v>
      </c>
    </row>
    <row r="38" spans="1:17" x14ac:dyDescent="0.25">
      <c r="A38" s="88" t="s">
        <v>384</v>
      </c>
      <c r="B38" s="117" t="str">
        <f>VLOOKUP(A38,'0 Järjestäjätiedot'!A:H,2,FALSE)</f>
        <v>Hengitysliitto ry</v>
      </c>
      <c r="C38" s="213">
        <v>1482.4468493150375</v>
      </c>
      <c r="D38" s="213">
        <v>1478.3068493150374</v>
      </c>
      <c r="E38" s="213">
        <v>4.1399999999999997</v>
      </c>
      <c r="F38" s="213">
        <v>958.89287671231011</v>
      </c>
      <c r="G38" s="213">
        <v>69.293312602739022</v>
      </c>
      <c r="H38" s="213">
        <v>626.37994520547386</v>
      </c>
      <c r="I38" s="213"/>
      <c r="J38" s="213">
        <v>3.5604</v>
      </c>
      <c r="K38" s="213">
        <v>4932.8075068492426</v>
      </c>
      <c r="L38" s="213">
        <v>413.79397260273009</v>
      </c>
      <c r="M38" s="213"/>
      <c r="N38" s="213"/>
      <c r="O38" s="213"/>
      <c r="P38" s="213">
        <v>7004.7280139726163</v>
      </c>
      <c r="Q38" s="214">
        <v>4.7251124161443894</v>
      </c>
    </row>
    <row r="39" spans="1:17" x14ac:dyDescent="0.25">
      <c r="A39" s="88" t="s">
        <v>326</v>
      </c>
      <c r="B39" s="117" t="str">
        <f>VLOOKUP(A39,'0 Järjestäjätiedot'!A:H,2,FALSE)</f>
        <v>Markkinointi-instituutin Kannatusyhdistys ry</v>
      </c>
      <c r="C39" s="213">
        <v>1415.2865753424778</v>
      </c>
      <c r="D39" s="213">
        <v>1415.2865753424778</v>
      </c>
      <c r="E39" s="213"/>
      <c r="F39" s="213">
        <v>374.64435616437936</v>
      </c>
      <c r="G39" s="213">
        <v>529.49965139724441</v>
      </c>
      <c r="H39" s="213"/>
      <c r="I39" s="213">
        <v>0.70499999999999441</v>
      </c>
      <c r="J39" s="213"/>
      <c r="K39" s="213">
        <v>1.6254794520547855</v>
      </c>
      <c r="L39" s="213"/>
      <c r="M39" s="213">
        <v>-7.8704130246574699</v>
      </c>
      <c r="N39" s="213"/>
      <c r="O39" s="213"/>
      <c r="P39" s="213">
        <v>898.60407398910115</v>
      </c>
      <c r="Q39" s="214">
        <v>0.63492729292062466</v>
      </c>
    </row>
    <row r="40" spans="1:17" x14ac:dyDescent="0.25">
      <c r="A40" s="88" t="s">
        <v>320</v>
      </c>
      <c r="B40" s="117" t="str">
        <f>VLOOKUP(A40,'0 Järjestäjätiedot'!A:H,2,FALSE)</f>
        <v>Opintotoiminnan keskusliitto ry</v>
      </c>
      <c r="C40" s="213">
        <v>23</v>
      </c>
      <c r="D40" s="213"/>
      <c r="E40" s="213">
        <v>23</v>
      </c>
      <c r="F40" s="213"/>
      <c r="G40" s="213"/>
      <c r="H40" s="213"/>
      <c r="I40" s="213"/>
      <c r="J40" s="213">
        <v>19.78</v>
      </c>
      <c r="K40" s="213"/>
      <c r="L40" s="213"/>
      <c r="M40" s="213">
        <v>-3.01</v>
      </c>
      <c r="N40" s="213"/>
      <c r="O40" s="213"/>
      <c r="P40" s="213">
        <v>16.77</v>
      </c>
      <c r="Q40" s="214">
        <v>0.72913043478260864</v>
      </c>
    </row>
    <row r="41" spans="1:17" x14ac:dyDescent="0.25">
      <c r="A41" s="88" t="s">
        <v>260</v>
      </c>
      <c r="B41" s="117" t="str">
        <f>VLOOKUP(A41,'0 Järjestäjätiedot'!A:H,2,FALSE)</f>
        <v>Työtehoseura ry</v>
      </c>
      <c r="C41" s="213">
        <v>1143.1785479452178</v>
      </c>
      <c r="D41" s="213">
        <v>1140.2005479452177</v>
      </c>
      <c r="E41" s="213">
        <v>2.9780000000000002</v>
      </c>
      <c r="F41" s="213">
        <v>1071.8110030136825</v>
      </c>
      <c r="G41" s="213">
        <v>286.30210418082163</v>
      </c>
      <c r="H41" s="213"/>
      <c r="I41" s="213">
        <v>12.757602739725916</v>
      </c>
      <c r="J41" s="213">
        <v>2.5610799999999996</v>
      </c>
      <c r="K41" s="213">
        <v>5.642465753424637</v>
      </c>
      <c r="L41" s="213"/>
      <c r="M41" s="213">
        <v>-16.95571096931495</v>
      </c>
      <c r="N41" s="213">
        <v>4.2983173287671024</v>
      </c>
      <c r="O41" s="213"/>
      <c r="P41" s="213">
        <v>1366.4168620471085</v>
      </c>
      <c r="Q41" s="214">
        <v>1.1952786067435588</v>
      </c>
    </row>
    <row r="42" spans="1:17" x14ac:dyDescent="0.25">
      <c r="A42" s="88" t="s">
        <v>281</v>
      </c>
      <c r="B42" s="117" t="str">
        <f>VLOOKUP(A42,'0 Järjestäjätiedot'!A:H,2,FALSE)</f>
        <v>Suomen Urheiluopiston Kannatusosakeyhtiö</v>
      </c>
      <c r="C42" s="213">
        <v>286.71095890410425</v>
      </c>
      <c r="D42" s="213">
        <v>286.61095890410422</v>
      </c>
      <c r="E42" s="213">
        <v>0.1</v>
      </c>
      <c r="F42" s="213">
        <v>201.97878904109405</v>
      </c>
      <c r="G42" s="213">
        <v>120.2482883287658</v>
      </c>
      <c r="H42" s="213"/>
      <c r="I42" s="213"/>
      <c r="J42" s="213">
        <v>8.5999999999999993E-2</v>
      </c>
      <c r="K42" s="213">
        <v>1.0287671232876647</v>
      </c>
      <c r="L42" s="213">
        <v>30.041430136986175</v>
      </c>
      <c r="M42" s="213"/>
      <c r="N42" s="213"/>
      <c r="O42" s="213"/>
      <c r="P42" s="213">
        <v>353.38327463012905</v>
      </c>
      <c r="Q42" s="214">
        <v>1.2325419160148832</v>
      </c>
    </row>
    <row r="43" spans="1:17" x14ac:dyDescent="0.25">
      <c r="A43" s="88" t="s">
        <v>330</v>
      </c>
      <c r="B43" s="117" t="str">
        <f>VLOOKUP(A43,'0 Järjestäjätiedot'!A:H,2,FALSE)</f>
        <v>Luksia, Länsi-Uudenmaan koulutuskuntayhtymä</v>
      </c>
      <c r="C43" s="213">
        <v>2864.7424657533925</v>
      </c>
      <c r="D43" s="213">
        <v>2864.7424657533925</v>
      </c>
      <c r="E43" s="213"/>
      <c r="F43" s="213">
        <v>2261.9000821917712</v>
      </c>
      <c r="G43" s="213">
        <v>374.62900712327786</v>
      </c>
      <c r="H43" s="213">
        <v>108.15279452054739</v>
      </c>
      <c r="I43" s="213">
        <v>1.413863013698621</v>
      </c>
      <c r="J43" s="213"/>
      <c r="K43" s="213">
        <v>289.57964383561176</v>
      </c>
      <c r="L43" s="213">
        <v>8.3606575342465295</v>
      </c>
      <c r="M43" s="213"/>
      <c r="N43" s="213">
        <v>1.8104545890410875</v>
      </c>
      <c r="O43" s="213"/>
      <c r="P43" s="213">
        <v>3045.8465028082196</v>
      </c>
      <c r="Q43" s="214">
        <v>1.0632182610548193</v>
      </c>
    </row>
    <row r="44" spans="1:17" x14ac:dyDescent="0.25">
      <c r="A44" s="88" t="s">
        <v>394</v>
      </c>
      <c r="B44" s="117" t="str">
        <f>VLOOKUP(A44,'0 Järjestäjätiedot'!A:H,2,FALSE)</f>
        <v>Eurajoen kristillisen opiston kannatusyhdistys r.y.</v>
      </c>
      <c r="C44" s="213">
        <v>32.424657534246506</v>
      </c>
      <c r="D44" s="213">
        <v>10.424657534246506</v>
      </c>
      <c r="E44" s="213">
        <v>22</v>
      </c>
      <c r="F44" s="213"/>
      <c r="G44" s="213">
        <v>7.9467164383561117</v>
      </c>
      <c r="H44" s="213"/>
      <c r="I44" s="213"/>
      <c r="J44" s="213">
        <v>18.920000000000002</v>
      </c>
      <c r="K44" s="213"/>
      <c r="L44" s="213">
        <v>0.26923287671232643</v>
      </c>
      <c r="M44" s="213"/>
      <c r="N44" s="213"/>
      <c r="O44" s="213"/>
      <c r="P44" s="213">
        <v>27.135949315068434</v>
      </c>
      <c r="Q44" s="214">
        <v>0.83689239543726235</v>
      </c>
    </row>
    <row r="45" spans="1:17" x14ac:dyDescent="0.25">
      <c r="A45" s="88" t="s">
        <v>290</v>
      </c>
      <c r="B45" s="117" t="str">
        <f>VLOOKUP(A45,'0 Järjestäjätiedot'!A:H,2,FALSE)</f>
        <v>Satakunnan koulutuskuntayhtymä</v>
      </c>
      <c r="C45" s="213">
        <v>1958.0683561644175</v>
      </c>
      <c r="D45" s="213">
        <v>1949.5983561644175</v>
      </c>
      <c r="E45" s="213">
        <v>8.4700000000000006</v>
      </c>
      <c r="F45" s="213">
        <v>1635.0922246575328</v>
      </c>
      <c r="G45" s="213">
        <v>248.91999060273838</v>
      </c>
      <c r="H45" s="213">
        <v>38.309506849314879</v>
      </c>
      <c r="I45" s="213"/>
      <c r="J45" s="213">
        <v>7.2842000000000002</v>
      </c>
      <c r="K45" s="213">
        <v>168.14219178082087</v>
      </c>
      <c r="L45" s="213">
        <v>5.7821369863013423</v>
      </c>
      <c r="M45" s="213">
        <v>-2.3343438356164246</v>
      </c>
      <c r="N45" s="213">
        <v>1.9838258904109476</v>
      </c>
      <c r="O45" s="213">
        <v>5.8020821917807828</v>
      </c>
      <c r="P45" s="213">
        <v>2108.9818151232971</v>
      </c>
      <c r="Q45" s="214">
        <v>1.0770726203116316</v>
      </c>
    </row>
    <row r="46" spans="1:17" x14ac:dyDescent="0.25">
      <c r="A46" s="88" t="s">
        <v>331</v>
      </c>
      <c r="B46" s="117" t="str">
        <f>VLOOKUP(A46,'0 Järjestäjätiedot'!A:H,2,FALSE)</f>
        <v>Lounais-Suomen koulutuskuntayhtymä</v>
      </c>
      <c r="C46" s="213">
        <v>1617.6682191780783</v>
      </c>
      <c r="D46" s="213">
        <v>1617.6682191780783</v>
      </c>
      <c r="E46" s="213"/>
      <c r="F46" s="213">
        <v>1451.1003287671113</v>
      </c>
      <c r="G46" s="213">
        <v>170.34162983561572</v>
      </c>
      <c r="H46" s="213">
        <v>0.93484931506848612</v>
      </c>
      <c r="I46" s="213">
        <v>0.33994520547945073</v>
      </c>
      <c r="J46" s="213"/>
      <c r="K46" s="213">
        <v>147.45616438355984</v>
      </c>
      <c r="L46" s="213">
        <v>2.3780821917808086</v>
      </c>
      <c r="M46" s="213"/>
      <c r="N46" s="213"/>
      <c r="O46" s="213"/>
      <c r="P46" s="213">
        <v>1772.5509996986125</v>
      </c>
      <c r="Q46" s="214">
        <v>1.095744466439003</v>
      </c>
    </row>
    <row r="47" spans="1:17" x14ac:dyDescent="0.25">
      <c r="A47" s="88" t="s">
        <v>301</v>
      </c>
      <c r="B47" s="117" t="str">
        <f>VLOOKUP(A47,'0 Järjestäjätiedot'!A:H,2,FALSE)</f>
        <v>Raision Seudun Koulutuskuntayhtymä</v>
      </c>
      <c r="C47" s="213">
        <v>1767.842191780828</v>
      </c>
      <c r="D47" s="213">
        <v>1766.1621917808279</v>
      </c>
      <c r="E47" s="213">
        <v>1.68</v>
      </c>
      <c r="F47" s="213">
        <v>1275.7649808218889</v>
      </c>
      <c r="G47" s="213">
        <v>240.1502422602718</v>
      </c>
      <c r="H47" s="213">
        <v>42.763561643835359</v>
      </c>
      <c r="I47" s="213">
        <v>7.131123287671155</v>
      </c>
      <c r="J47" s="213">
        <v>1.4448000000000001</v>
      </c>
      <c r="K47" s="213">
        <v>46.643972602739481</v>
      </c>
      <c r="L47" s="213"/>
      <c r="M47" s="213">
        <v>-0.53891139726027171</v>
      </c>
      <c r="N47" s="213">
        <v>1.6988784246575244</v>
      </c>
      <c r="O47" s="213"/>
      <c r="P47" s="213">
        <v>1615.0586476438189</v>
      </c>
      <c r="Q47" s="214">
        <v>0.91357625423392397</v>
      </c>
    </row>
    <row r="48" spans="1:17" x14ac:dyDescent="0.25">
      <c r="A48" s="88" t="s">
        <v>262</v>
      </c>
      <c r="B48" s="117" t="str">
        <f>VLOOKUP(A48,'0 Järjestäjätiedot'!A:H,2,FALSE)</f>
        <v>Turun kaupunki</v>
      </c>
      <c r="C48" s="213">
        <v>4671.371547945083</v>
      </c>
      <c r="D48" s="213">
        <v>4664.3605479450825</v>
      </c>
      <c r="E48" s="213">
        <v>7.0110000000000001</v>
      </c>
      <c r="F48" s="213">
        <v>3602.2977369864711</v>
      </c>
      <c r="G48" s="213">
        <v>615.94139878081228</v>
      </c>
      <c r="H48" s="213">
        <v>169.9409260273963</v>
      </c>
      <c r="I48" s="213">
        <v>0.27041095890410927</v>
      </c>
      <c r="J48" s="213">
        <v>6.0294600000000003</v>
      </c>
      <c r="K48" s="213">
        <v>194.34197260273874</v>
      </c>
      <c r="L48" s="213"/>
      <c r="M48" s="213"/>
      <c r="N48" s="213">
        <v>0.45111452054794315</v>
      </c>
      <c r="O48" s="213">
        <v>1.4041424657534161</v>
      </c>
      <c r="P48" s="213">
        <v>4590.6771623426175</v>
      </c>
      <c r="Q48" s="214">
        <v>0.98272576163675673</v>
      </c>
    </row>
    <row r="49" spans="1:17" x14ac:dyDescent="0.25">
      <c r="A49" s="88" t="s">
        <v>291</v>
      </c>
      <c r="B49" s="117" t="str">
        <f>VLOOKUP(A49,'0 Järjestäjätiedot'!A:H,2,FALSE)</f>
        <v>SASKY koulutuskuntayhtymä</v>
      </c>
      <c r="C49" s="213">
        <v>3568.8562876712172</v>
      </c>
      <c r="D49" s="213">
        <v>3541.1832876712169</v>
      </c>
      <c r="E49" s="213">
        <v>27.673000000000002</v>
      </c>
      <c r="F49" s="213">
        <v>2923.8847616439157</v>
      </c>
      <c r="G49" s="213">
        <v>442.01287794519857</v>
      </c>
      <c r="H49" s="213">
        <v>147.10742465753353</v>
      </c>
      <c r="I49" s="213">
        <v>3.5810136986301071</v>
      </c>
      <c r="J49" s="213">
        <v>23.798780000000001</v>
      </c>
      <c r="K49" s="213">
        <v>176.83413698630159</v>
      </c>
      <c r="L49" s="213">
        <v>58.784493150685172</v>
      </c>
      <c r="M49" s="213">
        <v>-0.35877369863013453</v>
      </c>
      <c r="N49" s="213">
        <v>0.4384908219178057</v>
      </c>
      <c r="O49" s="213">
        <v>19.931178082191607</v>
      </c>
      <c r="P49" s="213">
        <v>3796.0143832877288</v>
      </c>
      <c r="Q49" s="214">
        <v>1.0636501100930371</v>
      </c>
    </row>
    <row r="50" spans="1:17" x14ac:dyDescent="0.25">
      <c r="A50" s="88" t="s">
        <v>348</v>
      </c>
      <c r="B50" s="117" t="str">
        <f>VLOOKUP(A50,'0 Järjestäjätiedot'!A:H,2,FALSE)</f>
        <v>Koulutuskuntayhtymä Tavastia</v>
      </c>
      <c r="C50" s="213">
        <v>2069.4427123287219</v>
      </c>
      <c r="D50" s="213">
        <v>2069.4427123287219</v>
      </c>
      <c r="E50" s="213"/>
      <c r="F50" s="213">
        <v>1790.9504602739164</v>
      </c>
      <c r="G50" s="213">
        <v>160.57421295616308</v>
      </c>
      <c r="H50" s="213">
        <v>55.171561643835318</v>
      </c>
      <c r="I50" s="213">
        <v>9.9781643835615785</v>
      </c>
      <c r="J50" s="213"/>
      <c r="K50" s="213">
        <v>133.73402739725901</v>
      </c>
      <c r="L50" s="213">
        <v>24.241150684931323</v>
      </c>
      <c r="M50" s="213"/>
      <c r="N50" s="213">
        <v>1.3972019178082113</v>
      </c>
      <c r="O50" s="213">
        <v>5.4531506849314653</v>
      </c>
      <c r="P50" s="213">
        <v>2181.4999299424449</v>
      </c>
      <c r="Q50" s="214">
        <v>1.0541484994709653</v>
      </c>
    </row>
    <row r="51" spans="1:17" x14ac:dyDescent="0.25">
      <c r="A51" s="88" t="s">
        <v>273</v>
      </c>
      <c r="B51" s="117" t="str">
        <f>VLOOKUP(A51,'0 Järjestäjätiedot'!A:H,2,FALSE)</f>
        <v>Tampereen Musiikkiopiston Säätiö sr</v>
      </c>
      <c r="C51" s="213">
        <v>61.223561643835396</v>
      </c>
      <c r="D51" s="213">
        <v>61.223561643835396</v>
      </c>
      <c r="E51" s="213"/>
      <c r="F51" s="213">
        <v>90.201682191780648</v>
      </c>
      <c r="G51" s="213"/>
      <c r="H51" s="213"/>
      <c r="I51" s="213"/>
      <c r="J51" s="213"/>
      <c r="K51" s="213">
        <v>1.2835616438356114</v>
      </c>
      <c r="L51" s="213"/>
      <c r="M51" s="213"/>
      <c r="N51" s="213"/>
      <c r="O51" s="213"/>
      <c r="P51" s="213">
        <v>91.485243835616174</v>
      </c>
      <c r="Q51" s="214">
        <v>1.4942816356850723</v>
      </c>
    </row>
    <row r="52" spans="1:17" x14ac:dyDescent="0.25">
      <c r="A52" s="88" t="s">
        <v>256</v>
      </c>
      <c r="B52" s="117" t="str">
        <f>VLOOKUP(A52,'0 Järjestäjätiedot'!A:H,2,FALSE)</f>
        <v>Valkeakosken seudun koulutuskuntayhtymä</v>
      </c>
      <c r="C52" s="213">
        <v>975.5758904109548</v>
      </c>
      <c r="D52" s="213">
        <v>975.5758904109548</v>
      </c>
      <c r="E52" s="213"/>
      <c r="F52" s="213">
        <v>814.46920547944615</v>
      </c>
      <c r="G52" s="213">
        <v>59.805241808218945</v>
      </c>
      <c r="H52" s="213">
        <v>22.034630136986159</v>
      </c>
      <c r="I52" s="213"/>
      <c r="J52" s="213"/>
      <c r="K52" s="213">
        <v>65.484602739725716</v>
      </c>
      <c r="L52" s="213"/>
      <c r="M52" s="213"/>
      <c r="N52" s="213">
        <v>0.83148080821917125</v>
      </c>
      <c r="O52" s="213"/>
      <c r="P52" s="213">
        <v>962.62516097259652</v>
      </c>
      <c r="Q52" s="214">
        <v>0.98672504152095963</v>
      </c>
    </row>
    <row r="53" spans="1:17" x14ac:dyDescent="0.25">
      <c r="A53" s="88" t="s">
        <v>282</v>
      </c>
      <c r="B53" s="117" t="str">
        <f>VLOOKUP(A53,'0 Järjestäjätiedot'!A:H,2,FALSE)</f>
        <v>Suomen Nuoriso-Opiston kannatusyhdistys ry</v>
      </c>
      <c r="C53" s="213">
        <v>103.85479452054757</v>
      </c>
      <c r="D53" s="213">
        <v>103.85479452054757</v>
      </c>
      <c r="E53" s="213"/>
      <c r="F53" s="213">
        <v>102.81624657534201</v>
      </c>
      <c r="G53" s="213"/>
      <c r="H53" s="213"/>
      <c r="I53" s="213"/>
      <c r="J53" s="213"/>
      <c r="K53" s="213">
        <v>11.979452054794484</v>
      </c>
      <c r="L53" s="213">
        <v>24.602246575342377</v>
      </c>
      <c r="M53" s="213"/>
      <c r="N53" s="213"/>
      <c r="O53" s="213"/>
      <c r="P53" s="213">
        <v>139.39794520547898</v>
      </c>
      <c r="Q53" s="214">
        <v>1.3422389004669324</v>
      </c>
    </row>
    <row r="54" spans="1:17" x14ac:dyDescent="0.25">
      <c r="A54" s="88" t="s">
        <v>377</v>
      </c>
      <c r="B54" s="117" t="str">
        <f>VLOOKUP(A54,'0 Järjestäjätiedot'!A:H,2,FALSE)</f>
        <v>Itä-Karjalan Kansanopistoseura ry</v>
      </c>
      <c r="C54" s="213">
        <v>48.112328767122925</v>
      </c>
      <c r="D54" s="213">
        <v>48.112328767122925</v>
      </c>
      <c r="E54" s="213"/>
      <c r="F54" s="213">
        <v>36.10652054794496</v>
      </c>
      <c r="G54" s="213">
        <v>8.8740073972602218</v>
      </c>
      <c r="H54" s="213"/>
      <c r="I54" s="213"/>
      <c r="J54" s="213"/>
      <c r="K54" s="213">
        <v>4.4191780821917437</v>
      </c>
      <c r="L54" s="213">
        <v>11.092465753424618</v>
      </c>
      <c r="M54" s="213"/>
      <c r="N54" s="213"/>
      <c r="O54" s="213"/>
      <c r="P54" s="213">
        <v>60.492171780821778</v>
      </c>
      <c r="Q54" s="214">
        <v>1.2573112408177276</v>
      </c>
    </row>
    <row r="55" spans="1:17" x14ac:dyDescent="0.25">
      <c r="A55" s="88" t="s">
        <v>376</v>
      </c>
      <c r="B55" s="117" t="str">
        <f>VLOOKUP(A55,'0 Järjestäjätiedot'!A:H,2,FALSE)</f>
        <v>Itä-Savon koulutuskuntayhtymä</v>
      </c>
      <c r="C55" s="213">
        <v>1287.0729178082115</v>
      </c>
      <c r="D55" s="213">
        <v>1286.6499178082115</v>
      </c>
      <c r="E55" s="213">
        <v>0.42299999999999999</v>
      </c>
      <c r="F55" s="213">
        <v>953.23480164382386</v>
      </c>
      <c r="G55" s="213">
        <v>258.01679591780612</v>
      </c>
      <c r="H55" s="213">
        <v>38.568328767123063</v>
      </c>
      <c r="I55" s="213">
        <v>0.95416438356163769</v>
      </c>
      <c r="J55" s="213">
        <v>0.36377999999999999</v>
      </c>
      <c r="K55" s="213">
        <v>67.972794520547723</v>
      </c>
      <c r="L55" s="213">
        <v>4.3196164383561442</v>
      </c>
      <c r="M55" s="213"/>
      <c r="N55" s="213">
        <v>0.49962452054794276</v>
      </c>
      <c r="O55" s="213">
        <v>0.88372602739725514</v>
      </c>
      <c r="P55" s="213">
        <v>1324.8136322191583</v>
      </c>
      <c r="Q55" s="214">
        <v>1.0293229030684732</v>
      </c>
    </row>
    <row r="56" spans="1:17" x14ac:dyDescent="0.25">
      <c r="A56" s="88" t="s">
        <v>354</v>
      </c>
      <c r="B56" s="117" t="str">
        <f>VLOOKUP(A56,'0 Järjestäjätiedot'!A:H,2,FALSE)</f>
        <v>Kiteen Evankelisen Kansanopiston kannatusyhdistys ry</v>
      </c>
      <c r="C56" s="213">
        <v>14.695890410958826</v>
      </c>
      <c r="D56" s="213">
        <v>14.695890410958826</v>
      </c>
      <c r="E56" s="213"/>
      <c r="F56" s="213"/>
      <c r="G56" s="213">
        <v>11.202677260273905</v>
      </c>
      <c r="H56" s="213"/>
      <c r="I56" s="213"/>
      <c r="J56" s="213"/>
      <c r="K56" s="213"/>
      <c r="L56" s="213"/>
      <c r="M56" s="213"/>
      <c r="N56" s="213"/>
      <c r="O56" s="213"/>
      <c r="P56" s="213">
        <v>11.202677260273905</v>
      </c>
      <c r="Q56" s="214">
        <v>0.76229999999999942</v>
      </c>
    </row>
    <row r="57" spans="1:17" x14ac:dyDescent="0.25">
      <c r="A57" s="88" t="s">
        <v>341</v>
      </c>
      <c r="B57" s="117" t="str">
        <f>VLOOKUP(A57,'0 Järjestäjätiedot'!A:H,2,FALSE)</f>
        <v>Kuopion Konservatorion kannatusyhdistys r.y.</v>
      </c>
      <c r="C57" s="213">
        <v>43.432876712328508</v>
      </c>
      <c r="D57" s="213">
        <v>43.432876712328508</v>
      </c>
      <c r="E57" s="213"/>
      <c r="F57" s="213">
        <v>69.058273972602422</v>
      </c>
      <c r="G57" s="213"/>
      <c r="H57" s="213"/>
      <c r="I57" s="213"/>
      <c r="J57" s="213"/>
      <c r="K57" s="213"/>
      <c r="L57" s="213"/>
      <c r="M57" s="213"/>
      <c r="N57" s="213"/>
      <c r="O57" s="213"/>
      <c r="P57" s="213">
        <v>69.058273972602422</v>
      </c>
      <c r="Q57" s="214">
        <v>1.5900000000000025</v>
      </c>
    </row>
    <row r="58" spans="1:17" x14ac:dyDescent="0.25">
      <c r="A58" s="88" t="s">
        <v>340</v>
      </c>
      <c r="B58" s="117" t="str">
        <f>VLOOKUP(A58,'0 Järjestäjätiedot'!A:H,2,FALSE)</f>
        <v>Kuopion Talouskoulun Kannatusyhdistys ry</v>
      </c>
      <c r="C58" s="213">
        <v>91.873972602739357</v>
      </c>
      <c r="D58" s="213">
        <v>91.873972602739357</v>
      </c>
      <c r="E58" s="213"/>
      <c r="F58" s="213">
        <v>89.311561643835304</v>
      </c>
      <c r="G58" s="213">
        <v>1.1612021917808137</v>
      </c>
      <c r="H58" s="213"/>
      <c r="I58" s="213">
        <v>0.193150684931504</v>
      </c>
      <c r="J58" s="213"/>
      <c r="K58" s="213">
        <v>8.527397260273931</v>
      </c>
      <c r="L58" s="213"/>
      <c r="M58" s="213"/>
      <c r="N58" s="213"/>
      <c r="O58" s="213"/>
      <c r="P58" s="213">
        <v>99.193311780821404</v>
      </c>
      <c r="Q58" s="214">
        <v>1.079667167650741</v>
      </c>
    </row>
    <row r="59" spans="1:17" x14ac:dyDescent="0.25">
      <c r="A59" s="88" t="s">
        <v>307</v>
      </c>
      <c r="B59" s="117" t="str">
        <f>VLOOKUP(A59,'0 Järjestäjätiedot'!A:H,2,FALSE)</f>
        <v>Portaanpää ry</v>
      </c>
      <c r="C59" s="213">
        <v>71.335890410958484</v>
      </c>
      <c r="D59" s="213">
        <v>71.335890410958484</v>
      </c>
      <c r="E59" s="213"/>
      <c r="F59" s="213">
        <v>60.955791780821649</v>
      </c>
      <c r="G59" s="213">
        <v>7.4433895890410584</v>
      </c>
      <c r="H59" s="213"/>
      <c r="I59" s="213"/>
      <c r="J59" s="213"/>
      <c r="K59" s="213"/>
      <c r="L59" s="213">
        <v>8.6066301369862614</v>
      </c>
      <c r="M59" s="213"/>
      <c r="N59" s="213"/>
      <c r="O59" s="213"/>
      <c r="P59" s="213">
        <v>77.0058115068489</v>
      </c>
      <c r="Q59" s="214">
        <v>1.0794820259931797</v>
      </c>
    </row>
    <row r="60" spans="1:17" x14ac:dyDescent="0.25">
      <c r="A60" s="88" t="s">
        <v>369</v>
      </c>
      <c r="B60" s="117" t="str">
        <f>VLOOKUP(A60,'0 Järjestäjätiedot'!A:H,2,FALSE)</f>
        <v>Jyväskylän Koulutuskuntayhtymä</v>
      </c>
      <c r="C60" s="213">
        <v>6378.5379178076646</v>
      </c>
      <c r="D60" s="213">
        <v>6378.5379178076646</v>
      </c>
      <c r="E60" s="213"/>
      <c r="F60" s="213">
        <v>5507.8319810957883</v>
      </c>
      <c r="G60" s="213">
        <v>748.11182283560311</v>
      </c>
      <c r="H60" s="213">
        <v>126.48240821917733</v>
      </c>
      <c r="I60" s="213">
        <v>2.335964383561604</v>
      </c>
      <c r="J60" s="213"/>
      <c r="K60" s="213">
        <v>292.33282191780626</v>
      </c>
      <c r="L60" s="213">
        <v>73.526904109589111</v>
      </c>
      <c r="M60" s="213"/>
      <c r="N60" s="213">
        <v>6.4462047808219038</v>
      </c>
      <c r="O60" s="213">
        <v>2.9089315068493007</v>
      </c>
      <c r="P60" s="213">
        <v>6759.9770388495572</v>
      </c>
      <c r="Q60" s="214">
        <v>1.059800400335791</v>
      </c>
    </row>
    <row r="61" spans="1:17" x14ac:dyDescent="0.25">
      <c r="A61" s="88" t="s">
        <v>363</v>
      </c>
      <c r="B61" s="117" t="str">
        <f>VLOOKUP(A61,'0 Järjestäjätiedot'!A:H,2,FALSE)</f>
        <v>Karstulan Evankelisen Kansanopiston kannatusyhdistys ry</v>
      </c>
      <c r="C61" s="213">
        <v>33.221945205479393</v>
      </c>
      <c r="D61" s="213">
        <v>14.551945205479392</v>
      </c>
      <c r="E61" s="213">
        <v>18.670000000000002</v>
      </c>
      <c r="F61" s="213"/>
      <c r="G61" s="213">
        <v>11.09294783013693</v>
      </c>
      <c r="H61" s="213"/>
      <c r="I61" s="213"/>
      <c r="J61" s="213">
        <v>16.0562</v>
      </c>
      <c r="K61" s="213"/>
      <c r="L61" s="213"/>
      <c r="M61" s="213"/>
      <c r="N61" s="213"/>
      <c r="O61" s="213"/>
      <c r="P61" s="213">
        <v>27.149147830136936</v>
      </c>
      <c r="Q61" s="214">
        <v>0.81720524376938497</v>
      </c>
    </row>
    <row r="62" spans="1:17" x14ac:dyDescent="0.25">
      <c r="A62" s="88" t="s">
        <v>239</v>
      </c>
      <c r="B62" s="117" t="str">
        <f>VLOOKUP(A62,'0 Järjestäjätiedot'!A:H,2,FALSE)</f>
        <v>Äänekosken Ammatillisen Koulutuksen kuntayhtymä</v>
      </c>
      <c r="C62" s="213">
        <v>1566.6737945205618</v>
      </c>
      <c r="D62" s="213">
        <v>1562.774794520562</v>
      </c>
      <c r="E62" s="213">
        <v>3.899</v>
      </c>
      <c r="F62" s="213">
        <v>1406.3463835616244</v>
      </c>
      <c r="G62" s="213">
        <v>201.57986531506646</v>
      </c>
      <c r="H62" s="213">
        <v>20.184246575342364</v>
      </c>
      <c r="I62" s="213">
        <v>0.1081643835616392</v>
      </c>
      <c r="J62" s="213">
        <v>3.3531399999999998</v>
      </c>
      <c r="K62" s="213">
        <v>61.446575342465522</v>
      </c>
      <c r="L62" s="213">
        <v>24.537260273972485</v>
      </c>
      <c r="M62" s="213"/>
      <c r="N62" s="213">
        <v>2.3475084931506713</v>
      </c>
      <c r="O62" s="213"/>
      <c r="P62" s="213">
        <v>1719.9031439451835</v>
      </c>
      <c r="Q62" s="214">
        <v>1.0978055227326482</v>
      </c>
    </row>
    <row r="63" spans="1:17" x14ac:dyDescent="0.25">
      <c r="A63" s="88" t="s">
        <v>279</v>
      </c>
      <c r="B63" s="117" t="str">
        <f>VLOOKUP(A63,'0 Järjestäjätiedot'!A:H,2,FALSE)</f>
        <v>Suomen yrittäjäopiston kannatus Oy</v>
      </c>
      <c r="C63" s="213">
        <v>614.69068493148586</v>
      </c>
      <c r="D63" s="213">
        <v>609.95068493148585</v>
      </c>
      <c r="E63" s="213">
        <v>4.74</v>
      </c>
      <c r="F63" s="213">
        <v>137.73847123287757</v>
      </c>
      <c r="G63" s="213">
        <v>280.74695331505109</v>
      </c>
      <c r="H63" s="213"/>
      <c r="I63" s="213"/>
      <c r="J63" s="213">
        <v>4.0763999999999996</v>
      </c>
      <c r="K63" s="213"/>
      <c r="L63" s="213">
        <v>8.8328767123287022E-2</v>
      </c>
      <c r="M63" s="213"/>
      <c r="N63" s="213">
        <v>6.7823973287670816</v>
      </c>
      <c r="O63" s="213"/>
      <c r="P63" s="213">
        <v>429.43255064384408</v>
      </c>
      <c r="Q63" s="214">
        <v>0.69861567967588301</v>
      </c>
    </row>
    <row r="64" spans="1:17" x14ac:dyDescent="0.25">
      <c r="A64" s="88" t="s">
        <v>344</v>
      </c>
      <c r="B64" s="117" t="str">
        <f>VLOOKUP(A64,'0 Järjestäjätiedot'!A:H,2,FALSE)</f>
        <v>Keski-Pohjanmaan Koulutusyhtymä</v>
      </c>
      <c r="C64" s="213">
        <v>2527.548602739741</v>
      </c>
      <c r="D64" s="213">
        <v>2525.6886027397409</v>
      </c>
      <c r="E64" s="213">
        <v>1.86</v>
      </c>
      <c r="F64" s="213">
        <v>2308.4832619177942</v>
      </c>
      <c r="G64" s="213">
        <v>282.72840591780329</v>
      </c>
      <c r="H64" s="213">
        <v>61.056476712328511</v>
      </c>
      <c r="I64" s="213">
        <v>7.8508027397259719</v>
      </c>
      <c r="J64" s="213">
        <v>1.5995999999999999</v>
      </c>
      <c r="K64" s="213">
        <v>216.43008219178014</v>
      </c>
      <c r="L64" s="213">
        <v>70.261782191780682</v>
      </c>
      <c r="M64" s="213">
        <v>-0.63524443068492575</v>
      </c>
      <c r="N64" s="213">
        <v>1.8126174657534135</v>
      </c>
      <c r="O64" s="213"/>
      <c r="P64" s="213">
        <v>2949.587784706313</v>
      </c>
      <c r="Q64" s="214">
        <v>1.1669756939625588</v>
      </c>
    </row>
    <row r="65" spans="1:17" x14ac:dyDescent="0.25">
      <c r="A65" s="88" t="s">
        <v>337</v>
      </c>
      <c r="B65" s="117" t="str">
        <f>VLOOKUP(A65,'0 Järjestäjätiedot'!A:H,2,FALSE)</f>
        <v>Kvarnen samkommun</v>
      </c>
      <c r="C65" s="213">
        <v>22.824657534246459</v>
      </c>
      <c r="D65" s="213">
        <v>22.824657534246459</v>
      </c>
      <c r="E65" s="213"/>
      <c r="F65" s="213"/>
      <c r="G65" s="213">
        <v>21.617233150684843</v>
      </c>
      <c r="H65" s="213"/>
      <c r="I65" s="213"/>
      <c r="J65" s="213"/>
      <c r="K65" s="213"/>
      <c r="L65" s="213"/>
      <c r="M65" s="213"/>
      <c r="N65" s="213"/>
      <c r="O65" s="213"/>
      <c r="P65" s="213">
        <v>21.617233150684843</v>
      </c>
      <c r="Q65" s="214">
        <v>0.94710000000000094</v>
      </c>
    </row>
    <row r="66" spans="1:17" x14ac:dyDescent="0.25">
      <c r="A66" s="88" t="s">
        <v>391</v>
      </c>
      <c r="B66" s="117" t="str">
        <f>VLOOKUP(A66,'0 Järjestäjätiedot'!A:H,2,FALSE)</f>
        <v>Fria kristliga Folkhögskolan i Vasa</v>
      </c>
      <c r="C66" s="213">
        <v>18.909589041095789</v>
      </c>
      <c r="D66" s="213">
        <v>18.909589041095789</v>
      </c>
      <c r="E66" s="213"/>
      <c r="F66" s="213">
        <v>18.720493150684831</v>
      </c>
      <c r="G66" s="213"/>
      <c r="H66" s="213"/>
      <c r="I66" s="213"/>
      <c r="J66" s="213"/>
      <c r="K66" s="213"/>
      <c r="L66" s="213">
        <v>7.5170410958903764</v>
      </c>
      <c r="M66" s="213"/>
      <c r="N66" s="213"/>
      <c r="O66" s="213"/>
      <c r="P66" s="213">
        <v>26.237534246575184</v>
      </c>
      <c r="Q66" s="214">
        <v>1.3875253549695732</v>
      </c>
    </row>
    <row r="67" spans="1:17" x14ac:dyDescent="0.25">
      <c r="A67" s="88" t="s">
        <v>257</v>
      </c>
      <c r="B67" s="117" t="str">
        <f>VLOOKUP(A67,'0 Järjestäjätiedot'!A:H,2,FALSE)</f>
        <v>Vaasan kaupunki</v>
      </c>
      <c r="C67" s="213">
        <v>2549.6630136985186</v>
      </c>
      <c r="D67" s="213">
        <v>2549.6630136985186</v>
      </c>
      <c r="E67" s="213"/>
      <c r="F67" s="213">
        <v>1935.9087287671214</v>
      </c>
      <c r="G67" s="213">
        <v>322.29031819177163</v>
      </c>
      <c r="H67" s="213">
        <v>116.44668493150618</v>
      </c>
      <c r="I67" s="213">
        <v>14.779890410958744</v>
      </c>
      <c r="J67" s="213"/>
      <c r="K67" s="213">
        <v>162.65232876712219</v>
      </c>
      <c r="L67" s="213">
        <v>0.95123287671232404</v>
      </c>
      <c r="M67" s="213"/>
      <c r="N67" s="213">
        <v>1.9929445890410791</v>
      </c>
      <c r="O67" s="213">
        <v>4.8924054794520124</v>
      </c>
      <c r="P67" s="213">
        <v>2559.9145340136956</v>
      </c>
      <c r="Q67" s="214">
        <v>1.004020735391344</v>
      </c>
    </row>
    <row r="68" spans="1:17" x14ac:dyDescent="0.25">
      <c r="A68" s="88" t="s">
        <v>389</v>
      </c>
      <c r="B68" s="117" t="str">
        <f>VLOOKUP(A68,'0 Järjestäjätiedot'!A:H,2,FALSE)</f>
        <v>Haapaveden Opiston kannatusyhdistys ry</v>
      </c>
      <c r="C68" s="213">
        <v>114.64109589041034</v>
      </c>
      <c r="D68" s="213">
        <v>114.64109589041034</v>
      </c>
      <c r="E68" s="213"/>
      <c r="F68" s="213">
        <v>78.045698630136428</v>
      </c>
      <c r="G68" s="213">
        <v>23.0193715068492</v>
      </c>
      <c r="H68" s="213"/>
      <c r="I68" s="213"/>
      <c r="J68" s="213"/>
      <c r="K68" s="213">
        <v>5.164383561643807</v>
      </c>
      <c r="L68" s="213">
        <v>8.7290684931506419</v>
      </c>
      <c r="M68" s="213"/>
      <c r="N68" s="213"/>
      <c r="O68" s="213"/>
      <c r="P68" s="213">
        <v>114.95852219178033</v>
      </c>
      <c r="Q68" s="214">
        <v>1.0027688700889028</v>
      </c>
    </row>
    <row r="69" spans="1:17" x14ac:dyDescent="0.25">
      <c r="A69" s="88" t="s">
        <v>366</v>
      </c>
      <c r="B69" s="117" t="str">
        <f>VLOOKUP(A69,'0 Järjestäjätiedot'!A:H,2,FALSE)</f>
        <v>Kalajoen Kristillisen Opiston Kannatusyhdistys ry</v>
      </c>
      <c r="C69" s="213">
        <v>78.345205479451565</v>
      </c>
      <c r="D69" s="213">
        <v>78.345205479451565</v>
      </c>
      <c r="E69" s="213"/>
      <c r="F69" s="213">
        <v>55.092821917807811</v>
      </c>
      <c r="G69" s="213">
        <v>17.301077260273878</v>
      </c>
      <c r="H69" s="213"/>
      <c r="I69" s="213"/>
      <c r="J69" s="213"/>
      <c r="K69" s="213">
        <v>3.3342465753424442</v>
      </c>
      <c r="L69" s="213">
        <v>5.303041095890376</v>
      </c>
      <c r="M69" s="213"/>
      <c r="N69" s="213"/>
      <c r="O69" s="213"/>
      <c r="P69" s="213">
        <v>81.031186849314551</v>
      </c>
      <c r="Q69" s="214">
        <v>1.0342839278220728</v>
      </c>
    </row>
    <row r="70" spans="1:17" x14ac:dyDescent="0.25">
      <c r="A70" s="88" t="s">
        <v>371</v>
      </c>
      <c r="B70" s="117" t="str">
        <f>VLOOKUP(A70,'0 Järjestäjätiedot'!A:H,2,FALSE)</f>
        <v>Jokilaaksojen koulutuskuntayhtymä</v>
      </c>
      <c r="C70" s="213">
        <v>2765.3031506848711</v>
      </c>
      <c r="D70" s="213">
        <v>2753.4454794519943</v>
      </c>
      <c r="E70" s="213">
        <v>11.857671232876712</v>
      </c>
      <c r="F70" s="213">
        <v>2361.5946739726401</v>
      </c>
      <c r="G70" s="213">
        <v>308.75390805478946</v>
      </c>
      <c r="H70" s="213">
        <v>133.9527041095885</v>
      </c>
      <c r="I70" s="213">
        <v>3.7799589041095594</v>
      </c>
      <c r="J70" s="213">
        <v>10.190999999999999</v>
      </c>
      <c r="K70" s="213">
        <v>162.32156712328714</v>
      </c>
      <c r="L70" s="213">
        <v>53.360328767123413</v>
      </c>
      <c r="M70" s="213">
        <v>-2.1963297561643715</v>
      </c>
      <c r="N70" s="213">
        <v>5.0921849520547742</v>
      </c>
      <c r="O70" s="213">
        <v>54.591210958904007</v>
      </c>
      <c r="P70" s="213">
        <v>3091.4412070863468</v>
      </c>
      <c r="Q70" s="214">
        <v>1.1179393500928472</v>
      </c>
    </row>
    <row r="71" spans="1:17" x14ac:dyDescent="0.25">
      <c r="A71" s="88" t="s">
        <v>303</v>
      </c>
      <c r="B71" s="117" t="str">
        <f>VLOOKUP(A71,'0 Järjestäjätiedot'!A:H,2,FALSE)</f>
        <v>Raahen Koulutuskuntayhtymä</v>
      </c>
      <c r="C71" s="213">
        <v>981.12246575341999</v>
      </c>
      <c r="D71" s="213">
        <v>979.12246575341999</v>
      </c>
      <c r="E71" s="213">
        <v>2</v>
      </c>
      <c r="F71" s="213">
        <v>909.41015068492209</v>
      </c>
      <c r="G71" s="213">
        <v>129.88268021917676</v>
      </c>
      <c r="H71" s="213">
        <v>8.0775616438355513</v>
      </c>
      <c r="I71" s="213">
        <v>8.0582465753424</v>
      </c>
      <c r="J71" s="213">
        <v>1.72</v>
      </c>
      <c r="K71" s="213">
        <v>63.523561643835393</v>
      </c>
      <c r="L71" s="213">
        <v>19.586904109588946</v>
      </c>
      <c r="M71" s="213"/>
      <c r="N71" s="213">
        <v>3.8261194520547761</v>
      </c>
      <c r="O71" s="213"/>
      <c r="P71" s="213">
        <v>1144.0852243287593</v>
      </c>
      <c r="Q71" s="214">
        <v>1.1660982846317722</v>
      </c>
    </row>
    <row r="72" spans="1:17" x14ac:dyDescent="0.25">
      <c r="A72" s="88" t="s">
        <v>296</v>
      </c>
      <c r="B72" s="117" t="str">
        <f>VLOOKUP(A72,'0 Järjestäjätiedot'!A:H,2,FALSE)</f>
        <v>Rovalan Setlementti ry</v>
      </c>
      <c r="C72" s="213">
        <v>53.592931506849062</v>
      </c>
      <c r="D72" s="213">
        <v>53.39293150684906</v>
      </c>
      <c r="E72" s="213">
        <v>0.2</v>
      </c>
      <c r="F72" s="213">
        <v>20.77730630136972</v>
      </c>
      <c r="G72" s="213">
        <v>24.70290583561632</v>
      </c>
      <c r="H72" s="213"/>
      <c r="I72" s="213"/>
      <c r="J72" s="213">
        <v>0.17199999999999999</v>
      </c>
      <c r="K72" s="213">
        <v>1.9756164383561496</v>
      </c>
      <c r="L72" s="213">
        <v>2.0834739726027247</v>
      </c>
      <c r="M72" s="213"/>
      <c r="N72" s="213"/>
      <c r="O72" s="213"/>
      <c r="P72" s="213">
        <v>49.711302547944946</v>
      </c>
      <c r="Q72" s="214">
        <v>0.92757199784064714</v>
      </c>
    </row>
    <row r="73" spans="1:17" x14ac:dyDescent="0.25">
      <c r="A73" s="88" t="s">
        <v>402</v>
      </c>
      <c r="B73" s="117" t="str">
        <f>VLOOKUP(A73,'0 Järjestäjätiedot'!A:H,2,FALSE)</f>
        <v>Ava-instituutin kannatusyhdistys ry</v>
      </c>
      <c r="C73" s="213">
        <v>129.36301369862915</v>
      </c>
      <c r="D73" s="213">
        <v>129.36301369862915</v>
      </c>
      <c r="E73" s="213"/>
      <c r="F73" s="213"/>
      <c r="G73" s="213">
        <v>73.562298082191319</v>
      </c>
      <c r="H73" s="213"/>
      <c r="I73" s="213"/>
      <c r="J73" s="213"/>
      <c r="K73" s="213"/>
      <c r="L73" s="213"/>
      <c r="M73" s="213"/>
      <c r="N73" s="213"/>
      <c r="O73" s="213"/>
      <c r="P73" s="213">
        <v>73.562298082191319</v>
      </c>
      <c r="Q73" s="214">
        <v>0.56865015725101997</v>
      </c>
    </row>
    <row r="74" spans="1:17" x14ac:dyDescent="0.25">
      <c r="A74" s="88" t="s">
        <v>274</v>
      </c>
      <c r="B74" s="117" t="str">
        <f>VLOOKUP(A74,'0 Järjestäjätiedot'!A:H,2,FALSE)</f>
        <v>Tampereen kaupunki</v>
      </c>
      <c r="C74" s="213">
        <v>8209.0720547937872</v>
      </c>
      <c r="D74" s="213">
        <v>8146.3420547937876</v>
      </c>
      <c r="E74" s="213">
        <v>62.73</v>
      </c>
      <c r="F74" s="213">
        <v>7012.0275150681873</v>
      </c>
      <c r="G74" s="213">
        <v>739.0440739451949</v>
      </c>
      <c r="H74" s="213">
        <v>261.86983561643632</v>
      </c>
      <c r="I74" s="213">
        <v>3.2449315068492215</v>
      </c>
      <c r="J74" s="213">
        <v>53.947800000000008</v>
      </c>
      <c r="K74" s="213">
        <v>593.42813698629004</v>
      </c>
      <c r="L74" s="213">
        <v>20.208602739725901</v>
      </c>
      <c r="M74" s="213"/>
      <c r="N74" s="213">
        <v>3.4264360273972456</v>
      </c>
      <c r="O74" s="213"/>
      <c r="P74" s="213">
        <v>8687.1973318906112</v>
      </c>
      <c r="Q74" s="214">
        <v>1.0582435230079013</v>
      </c>
    </row>
    <row r="75" spans="1:17" x14ac:dyDescent="0.25">
      <c r="A75" s="88" t="s">
        <v>316</v>
      </c>
      <c r="B75" s="117" t="str">
        <f>VLOOKUP(A75,'0 Järjestäjätiedot'!A:H,2,FALSE)</f>
        <v>Pohjois-Karjalan Koulutuskuntayhtymä</v>
      </c>
      <c r="C75" s="213">
        <v>4864.284205479039</v>
      </c>
      <c r="D75" s="213">
        <v>4844.7812054790393</v>
      </c>
      <c r="E75" s="213">
        <v>19.503</v>
      </c>
      <c r="F75" s="213">
        <v>4469.2915893151758</v>
      </c>
      <c r="G75" s="213">
        <v>471.98653293149465</v>
      </c>
      <c r="H75" s="213">
        <v>51.202701369862694</v>
      </c>
      <c r="I75" s="213">
        <v>3.9286849315068144</v>
      </c>
      <c r="J75" s="213">
        <v>16.772580000000001</v>
      </c>
      <c r="K75" s="213">
        <v>314.53763013698324</v>
      </c>
      <c r="L75" s="213">
        <v>135.55317589041215</v>
      </c>
      <c r="M75" s="213"/>
      <c r="N75" s="213">
        <v>5.3686489726027204</v>
      </c>
      <c r="O75" s="213"/>
      <c r="P75" s="213">
        <v>5468.6415435483168</v>
      </c>
      <c r="Q75" s="214">
        <v>1.1242438378474162</v>
      </c>
    </row>
    <row r="76" spans="1:17" x14ac:dyDescent="0.25">
      <c r="A76" s="88" t="s">
        <v>364</v>
      </c>
      <c r="B76" s="117" t="str">
        <f>VLOOKUP(A76,'0 Järjestäjätiedot'!A:H,2,FALSE)</f>
        <v>Kansan Sivistystyön Liitto KSL ry</v>
      </c>
      <c r="C76" s="213">
        <v>63.750273972602571</v>
      </c>
      <c r="D76" s="213">
        <v>45.380273972602566</v>
      </c>
      <c r="E76" s="213">
        <v>18.37</v>
      </c>
      <c r="F76" s="213"/>
      <c r="G76" s="213">
        <v>42.979657479451895</v>
      </c>
      <c r="H76" s="213"/>
      <c r="I76" s="213"/>
      <c r="J76" s="213">
        <v>15.7982</v>
      </c>
      <c r="K76" s="213"/>
      <c r="L76" s="213"/>
      <c r="M76" s="213"/>
      <c r="N76" s="213"/>
      <c r="O76" s="213"/>
      <c r="P76" s="213">
        <v>58.77785747945186</v>
      </c>
      <c r="Q76" s="214">
        <v>0.92200164511782856</v>
      </c>
    </row>
    <row r="77" spans="1:17" x14ac:dyDescent="0.25">
      <c r="A77" s="88" t="s">
        <v>338</v>
      </c>
      <c r="B77" s="117" t="str">
        <f>VLOOKUP(A77,'0 Järjestäjätiedot'!A:H,2,FALSE)</f>
        <v>Keski-Uudenmaan koulutuskuntayhtymä</v>
      </c>
      <c r="C77" s="213">
        <v>5978.5435616432633</v>
      </c>
      <c r="D77" s="213">
        <v>5978.5435616432633</v>
      </c>
      <c r="E77" s="213"/>
      <c r="F77" s="213">
        <v>5116.4215863013033</v>
      </c>
      <c r="G77" s="213">
        <v>713.33631599999228</v>
      </c>
      <c r="H77" s="213">
        <v>75.332630136985927</v>
      </c>
      <c r="I77" s="213">
        <v>1.2651369863013615</v>
      </c>
      <c r="J77" s="213"/>
      <c r="K77" s="213">
        <v>184.95501369862924</v>
      </c>
      <c r="L77" s="213">
        <v>51.022602739726224</v>
      </c>
      <c r="M77" s="213"/>
      <c r="N77" s="213"/>
      <c r="O77" s="213">
        <v>21.795068493150595</v>
      </c>
      <c r="P77" s="213">
        <v>6164.1283543564168</v>
      </c>
      <c r="Q77" s="214">
        <v>1.0310418065536644</v>
      </c>
    </row>
    <row r="78" spans="1:17" x14ac:dyDescent="0.25">
      <c r="A78" s="88" t="s">
        <v>365</v>
      </c>
      <c r="B78" s="117" t="str">
        <f>VLOOKUP(A78,'0 Järjestäjätiedot'!A:H,2,FALSE)</f>
        <v>Kanneljärven Kansanopiston kannatusyhdistys r.y.</v>
      </c>
      <c r="C78" s="213">
        <v>84.46520547945164</v>
      </c>
      <c r="D78" s="213">
        <v>84.46520547945164</v>
      </c>
      <c r="E78" s="213"/>
      <c r="F78" s="213">
        <v>79.821123287670773</v>
      </c>
      <c r="G78" s="213">
        <v>2.4180573698629786</v>
      </c>
      <c r="H78" s="213"/>
      <c r="I78" s="213">
        <v>0.93871232876711863</v>
      </c>
      <c r="J78" s="213"/>
      <c r="K78" s="213">
        <v>5.6095890410958589</v>
      </c>
      <c r="L78" s="213">
        <v>11.460679452054718</v>
      </c>
      <c r="M78" s="213"/>
      <c r="N78" s="213"/>
      <c r="O78" s="213"/>
      <c r="P78" s="213">
        <v>100.24816147945154</v>
      </c>
      <c r="Q78" s="214">
        <v>1.186857486587652</v>
      </c>
    </row>
    <row r="79" spans="1:17" x14ac:dyDescent="0.25">
      <c r="A79" s="88" t="s">
        <v>241</v>
      </c>
      <c r="B79" s="117" t="str">
        <f>VLOOKUP(A79,'0 Järjestäjätiedot'!A:H,2,FALSE)</f>
        <v>Ylä-Savon koulutuskuntayhtymä</v>
      </c>
      <c r="C79" s="213">
        <v>1539.7189041095667</v>
      </c>
      <c r="D79" s="213">
        <v>1539.7189041095667</v>
      </c>
      <c r="E79" s="213"/>
      <c r="F79" s="213">
        <v>1340.6325369862927</v>
      </c>
      <c r="G79" s="213">
        <v>342.10826597259074</v>
      </c>
      <c r="H79" s="213">
        <v>41.990958904109355</v>
      </c>
      <c r="I79" s="213"/>
      <c r="J79" s="213"/>
      <c r="K79" s="213">
        <v>94.984657534245713</v>
      </c>
      <c r="L79" s="213">
        <v>44.272586301369699</v>
      </c>
      <c r="M79" s="213"/>
      <c r="N79" s="213">
        <v>0.91240253424656992</v>
      </c>
      <c r="O79" s="213">
        <v>2.2128219178082049</v>
      </c>
      <c r="P79" s="213">
        <v>1867.1142301506543</v>
      </c>
      <c r="Q79" s="214">
        <v>1.2126331794506511</v>
      </c>
    </row>
    <row r="80" spans="1:17" x14ac:dyDescent="0.25">
      <c r="A80" s="88" t="s">
        <v>305</v>
      </c>
      <c r="B80" s="117" t="str">
        <f>VLOOKUP(A80,'0 Järjestäjätiedot'!A:H,2,FALSE)</f>
        <v>Pohjois-Savon Kansanopistoseura r.y.</v>
      </c>
      <c r="C80" s="213">
        <v>44.723287671232633</v>
      </c>
      <c r="D80" s="213">
        <v>44.723287671232633</v>
      </c>
      <c r="E80" s="213"/>
      <c r="F80" s="213">
        <v>44.276054794520284</v>
      </c>
      <c r="G80" s="213"/>
      <c r="H80" s="213"/>
      <c r="I80" s="213"/>
      <c r="J80" s="213"/>
      <c r="K80" s="213">
        <v>3.3054794520547786</v>
      </c>
      <c r="L80" s="213"/>
      <c r="M80" s="213"/>
      <c r="N80" s="213"/>
      <c r="O80" s="213"/>
      <c r="P80" s="213">
        <v>47.581534246575075</v>
      </c>
      <c r="Q80" s="214">
        <v>1.0639095809850525</v>
      </c>
    </row>
    <row r="81" spans="1:17" x14ac:dyDescent="0.25">
      <c r="A81" s="88" t="s">
        <v>367</v>
      </c>
      <c r="B81" s="117" t="str">
        <f>VLOOKUP(A81,'0 Järjestäjätiedot'!A:H,2,FALSE)</f>
        <v>Kajaanin kaupunki</v>
      </c>
      <c r="C81" s="213">
        <v>2592.3301369862802</v>
      </c>
      <c r="D81" s="213">
        <v>2592.3301369862802</v>
      </c>
      <c r="E81" s="213"/>
      <c r="F81" s="213">
        <v>2209.85993150684</v>
      </c>
      <c r="G81" s="213">
        <v>388.31120673972089</v>
      </c>
      <c r="H81" s="213">
        <v>37.20854794520524</v>
      </c>
      <c r="I81" s="213">
        <v>10.681232876712253</v>
      </c>
      <c r="J81" s="213"/>
      <c r="K81" s="213">
        <v>112.10663013698502</v>
      </c>
      <c r="L81" s="213">
        <v>82.295506849315146</v>
      </c>
      <c r="M81" s="213">
        <v>-11.154518709369805</v>
      </c>
      <c r="N81" s="213">
        <v>0.62954883561643338</v>
      </c>
      <c r="O81" s="213"/>
      <c r="P81" s="213">
        <v>2829.938086181071</v>
      </c>
      <c r="Q81" s="214">
        <v>1.0916580592127121</v>
      </c>
    </row>
    <row r="82" spans="1:17" x14ac:dyDescent="0.25">
      <c r="A82" s="88" t="s">
        <v>356</v>
      </c>
      <c r="B82" s="117" t="str">
        <f>VLOOKUP(A82,'0 Järjestäjätiedot'!A:H,2,FALSE)</f>
        <v>Kirkkopalvelut ry</v>
      </c>
      <c r="C82" s="213">
        <v>1477.323150684944</v>
      </c>
      <c r="D82" s="213">
        <v>1476.623150684944</v>
      </c>
      <c r="E82" s="213">
        <v>0.7</v>
      </c>
      <c r="F82" s="213">
        <v>1160.8947764383424</v>
      </c>
      <c r="G82" s="213">
        <v>178.91207158904024</v>
      </c>
      <c r="H82" s="213">
        <v>39.228904109588797</v>
      </c>
      <c r="I82" s="213"/>
      <c r="J82" s="213">
        <v>0.60199999999999998</v>
      </c>
      <c r="K82" s="213">
        <v>87.526068493150305</v>
      </c>
      <c r="L82" s="213">
        <v>44.510356164383225</v>
      </c>
      <c r="M82" s="213"/>
      <c r="N82" s="213"/>
      <c r="O82" s="213"/>
      <c r="P82" s="213">
        <v>1511.6741767945284</v>
      </c>
      <c r="Q82" s="214">
        <v>1.0232522086272446</v>
      </c>
    </row>
    <row r="83" spans="1:17" x14ac:dyDescent="0.25">
      <c r="A83" s="88" t="s">
        <v>300</v>
      </c>
      <c r="B83" s="117" t="str">
        <f>VLOOKUP(A83,'0 Järjestäjätiedot'!A:H,2,FALSE)</f>
        <v>Rakennusteollisuus RT ry</v>
      </c>
      <c r="C83" s="213">
        <v>201.43643835616382</v>
      </c>
      <c r="D83" s="213">
        <v>121.41643835616382</v>
      </c>
      <c r="E83" s="213">
        <v>80.02</v>
      </c>
      <c r="F83" s="213"/>
      <c r="G83" s="213">
        <v>90.382705479451673</v>
      </c>
      <c r="H83" s="213"/>
      <c r="I83" s="213"/>
      <c r="J83" s="213">
        <v>68.8172</v>
      </c>
      <c r="K83" s="213"/>
      <c r="L83" s="213"/>
      <c r="M83" s="213"/>
      <c r="N83" s="213"/>
      <c r="O83" s="213"/>
      <c r="P83" s="213">
        <v>159.19990547945173</v>
      </c>
      <c r="Q83" s="214">
        <v>0.79032327407401426</v>
      </c>
    </row>
    <row r="84" spans="1:17" x14ac:dyDescent="0.25">
      <c r="A84" s="88" t="s">
        <v>259</v>
      </c>
      <c r="B84" s="117" t="str">
        <f>VLOOKUP(A84,'0 Järjestäjätiedot'!A:H,2,FALSE)</f>
        <v>Työväen Sivistysliitto TSL ry</v>
      </c>
      <c r="C84" s="213">
        <v>37.299999999999997</v>
      </c>
      <c r="D84" s="213"/>
      <c r="E84" s="213">
        <v>37.299999999999997</v>
      </c>
      <c r="F84" s="213"/>
      <c r="G84" s="213"/>
      <c r="H84" s="213"/>
      <c r="I84" s="213"/>
      <c r="J84" s="213">
        <v>32.078000000000003</v>
      </c>
      <c r="K84" s="213"/>
      <c r="L84" s="213"/>
      <c r="M84" s="213"/>
      <c r="N84" s="213"/>
      <c r="O84" s="213"/>
      <c r="P84" s="213">
        <v>32.078000000000003</v>
      </c>
      <c r="Q84" s="214">
        <v>0.8600000000000001</v>
      </c>
    </row>
    <row r="85" spans="1:17" x14ac:dyDescent="0.25">
      <c r="A85" s="88" t="s">
        <v>327</v>
      </c>
      <c r="B85" s="117" t="str">
        <f>VLOOKUP(A85,'0 Järjestäjätiedot'!A:H,2,FALSE)</f>
        <v>Maalariammattikoulun kannatusyhdistys r.y.</v>
      </c>
      <c r="C85" s="213">
        <v>195.78082191780732</v>
      </c>
      <c r="D85" s="213">
        <v>195.78082191780732</v>
      </c>
      <c r="E85" s="213"/>
      <c r="F85" s="213">
        <v>190.40169863013659</v>
      </c>
      <c r="G85" s="213">
        <v>3.9791490410958694</v>
      </c>
      <c r="H85" s="213"/>
      <c r="I85" s="213"/>
      <c r="J85" s="213"/>
      <c r="K85" s="213">
        <v>4.1589041095890238</v>
      </c>
      <c r="L85" s="213"/>
      <c r="M85" s="213"/>
      <c r="N85" s="213"/>
      <c r="O85" s="213"/>
      <c r="P85" s="213">
        <v>198.53975178082143</v>
      </c>
      <c r="Q85" s="214">
        <v>1.0140919311502961</v>
      </c>
    </row>
    <row r="86" spans="1:17" x14ac:dyDescent="0.25">
      <c r="A86" s="88" t="s">
        <v>283</v>
      </c>
      <c r="B86" s="117" t="str">
        <f>VLOOKUP(A86,'0 Järjestäjätiedot'!A:H,2,FALSE)</f>
        <v>Suomen Luterilainen Evankeliumiyhdistys ry</v>
      </c>
      <c r="C86" s="213">
        <v>20.763479452054611</v>
      </c>
      <c r="D86" s="213">
        <v>20.763479452054611</v>
      </c>
      <c r="E86" s="213"/>
      <c r="F86" s="213"/>
      <c r="G86" s="213">
        <v>19.665091389040917</v>
      </c>
      <c r="H86" s="213"/>
      <c r="I86" s="213"/>
      <c r="J86" s="213"/>
      <c r="K86" s="213"/>
      <c r="L86" s="213"/>
      <c r="M86" s="213"/>
      <c r="N86" s="213"/>
      <c r="O86" s="213"/>
      <c r="P86" s="213">
        <v>19.665091389040917</v>
      </c>
      <c r="Q86" s="214">
        <v>0.94709999999999972</v>
      </c>
    </row>
    <row r="87" spans="1:17" x14ac:dyDescent="0.25">
      <c r="A87" s="88" t="s">
        <v>372</v>
      </c>
      <c r="B87" s="117" t="str">
        <f>VLOOKUP(A87,'0 Järjestäjätiedot'!A:H,2,FALSE)</f>
        <v>Joensuun kaupunki</v>
      </c>
      <c r="C87" s="213">
        <v>50.490410958903858</v>
      </c>
      <c r="D87" s="213">
        <v>50.490410958903858</v>
      </c>
      <c r="E87" s="213"/>
      <c r="F87" s="213">
        <v>80.279753424657159</v>
      </c>
      <c r="G87" s="213"/>
      <c r="H87" s="213"/>
      <c r="I87" s="213"/>
      <c r="J87" s="213"/>
      <c r="K87" s="213"/>
      <c r="L87" s="213"/>
      <c r="M87" s="213"/>
      <c r="N87" s="213"/>
      <c r="O87" s="213"/>
      <c r="P87" s="213">
        <v>80.279753424657159</v>
      </c>
      <c r="Q87" s="214">
        <v>1.5900000000000012</v>
      </c>
    </row>
    <row r="88" spans="1:17" x14ac:dyDescent="0.25">
      <c r="A88" s="88" t="s">
        <v>263</v>
      </c>
      <c r="B88" s="117" t="str">
        <f>VLOOKUP(A88,'0 Järjestäjätiedot'!A:H,2,FALSE)</f>
        <v>Turun Ammattiopistosäätiö sr</v>
      </c>
      <c r="C88" s="213">
        <v>298.81342465753363</v>
      </c>
      <c r="D88" s="213">
        <v>298.81342465753363</v>
      </c>
      <c r="E88" s="213"/>
      <c r="F88" s="213">
        <v>281.91324657534159</v>
      </c>
      <c r="G88" s="213">
        <v>21.540996821917659</v>
      </c>
      <c r="H88" s="213"/>
      <c r="I88" s="213"/>
      <c r="J88" s="213"/>
      <c r="K88" s="213">
        <v>41.463013698629936</v>
      </c>
      <c r="L88" s="213"/>
      <c r="M88" s="213"/>
      <c r="N88" s="213"/>
      <c r="O88" s="213"/>
      <c r="P88" s="213">
        <v>344.91725709588582</v>
      </c>
      <c r="Q88" s="214">
        <v>1.1542896959572388</v>
      </c>
    </row>
    <row r="89" spans="1:17" x14ac:dyDescent="0.25">
      <c r="A89" s="88" t="s">
        <v>306</v>
      </c>
      <c r="B89" s="117" t="str">
        <f>VLOOKUP(A89,'0 Järjestäjätiedot'!A:H,2,FALSE)</f>
        <v>Pohjois-Satakunnan Kansanopiston kannatusyhdistys r.y.</v>
      </c>
      <c r="C89" s="213">
        <v>123.98273972602692</v>
      </c>
      <c r="D89" s="213">
        <v>116.20273972602692</v>
      </c>
      <c r="E89" s="213">
        <v>7.78</v>
      </c>
      <c r="F89" s="213">
        <v>66.70594520547921</v>
      </c>
      <c r="G89" s="213">
        <v>38.23132273972584</v>
      </c>
      <c r="H89" s="213"/>
      <c r="I89" s="213"/>
      <c r="J89" s="213">
        <v>6.6908000000000003</v>
      </c>
      <c r="K89" s="213">
        <v>1.4301369863013611</v>
      </c>
      <c r="L89" s="213">
        <v>2.976712328767102</v>
      </c>
      <c r="M89" s="213"/>
      <c r="N89" s="213"/>
      <c r="O89" s="213"/>
      <c r="P89" s="213">
        <v>116.03491726027349</v>
      </c>
      <c r="Q89" s="214">
        <v>0.93589573449242791</v>
      </c>
    </row>
    <row r="90" spans="1:17" x14ac:dyDescent="0.25">
      <c r="A90" s="88" t="s">
        <v>314</v>
      </c>
      <c r="B90" s="117" t="str">
        <f>VLOOKUP(A90,'0 Järjestäjätiedot'!A:H,2,FALSE)</f>
        <v>Paasikiviopistoyhdistys r.y.</v>
      </c>
      <c r="C90" s="213">
        <v>51.794520547944899</v>
      </c>
      <c r="D90" s="213">
        <v>44.3945205479449</v>
      </c>
      <c r="E90" s="213">
        <v>7.4</v>
      </c>
      <c r="F90" s="213">
        <v>54.605260273972206</v>
      </c>
      <c r="G90" s="213"/>
      <c r="H90" s="213"/>
      <c r="I90" s="213"/>
      <c r="J90" s="213">
        <v>6.3639999999999999</v>
      </c>
      <c r="K90" s="213">
        <v>3.4520547945205262</v>
      </c>
      <c r="L90" s="213">
        <v>9.2536438356163959</v>
      </c>
      <c r="M90" s="213"/>
      <c r="N90" s="213"/>
      <c r="O90" s="213"/>
      <c r="P90" s="213">
        <v>73.674958904108962</v>
      </c>
      <c r="Q90" s="214">
        <v>1.4224469717006045</v>
      </c>
    </row>
    <row r="91" spans="1:17" x14ac:dyDescent="0.25">
      <c r="A91" s="88" t="s">
        <v>398</v>
      </c>
      <c r="B91" s="117" t="str">
        <f>VLOOKUP(A91,'0 Järjestäjätiedot'!A:H,2,FALSE)</f>
        <v>Espoon seudun koulutuskuntayhtymä Omnia</v>
      </c>
      <c r="C91" s="213">
        <v>5996.0063561640527</v>
      </c>
      <c r="D91" s="213">
        <v>5996.0063561640527</v>
      </c>
      <c r="E91" s="213"/>
      <c r="F91" s="213">
        <v>4651.0747178083584</v>
      </c>
      <c r="G91" s="213">
        <v>642.84277380820652</v>
      </c>
      <c r="H91" s="213">
        <v>179.86191780821818</v>
      </c>
      <c r="I91" s="213">
        <v>19.635698630136812</v>
      </c>
      <c r="J91" s="213"/>
      <c r="K91" s="213">
        <v>424.61178082191486</v>
      </c>
      <c r="L91" s="213"/>
      <c r="M91" s="213"/>
      <c r="N91" s="213">
        <v>2.6602550684931341</v>
      </c>
      <c r="O91" s="213"/>
      <c r="P91" s="213">
        <v>5920.6871439453735</v>
      </c>
      <c r="Q91" s="214">
        <v>0.9874384368953758</v>
      </c>
    </row>
    <row r="92" spans="1:17" x14ac:dyDescent="0.25">
      <c r="A92" s="88" t="s">
        <v>362</v>
      </c>
      <c r="B92" s="117" t="str">
        <f>VLOOKUP(A92,'0 Järjestäjätiedot'!A:H,2,FALSE)</f>
        <v>Kauppiaitten Kauppaoppilaitos Oy</v>
      </c>
      <c r="C92" s="213">
        <v>715.09410958904448</v>
      </c>
      <c r="D92" s="213">
        <v>715.09410958904448</v>
      </c>
      <c r="E92" s="213"/>
      <c r="F92" s="213">
        <v>461.29908219177668</v>
      </c>
      <c r="G92" s="213">
        <v>29.586817534246439</v>
      </c>
      <c r="H92" s="213"/>
      <c r="I92" s="213">
        <v>1.7383561643835514</v>
      </c>
      <c r="J92" s="213"/>
      <c r="K92" s="213">
        <v>31.142465753424517</v>
      </c>
      <c r="L92" s="213"/>
      <c r="M92" s="213"/>
      <c r="N92" s="213"/>
      <c r="O92" s="213"/>
      <c r="P92" s="213">
        <v>523.76672164382978</v>
      </c>
      <c r="Q92" s="214">
        <v>0.73244446377111383</v>
      </c>
    </row>
    <row r="93" spans="1:17" x14ac:dyDescent="0.25">
      <c r="A93" s="88" t="s">
        <v>351</v>
      </c>
      <c r="B93" s="117" t="str">
        <f>VLOOKUP(A93,'0 Järjestäjätiedot'!A:H,2,FALSE)</f>
        <v>Korpisaaren Säätiö sr</v>
      </c>
      <c r="C93" s="213">
        <v>92.021369863013106</v>
      </c>
      <c r="D93" s="213">
        <v>92.021369863013106</v>
      </c>
      <c r="E93" s="213"/>
      <c r="F93" s="213">
        <v>69.827819178081697</v>
      </c>
      <c r="G93" s="213">
        <v>16.380469479451971</v>
      </c>
      <c r="H93" s="213"/>
      <c r="I93" s="213"/>
      <c r="J93" s="213"/>
      <c r="K93" s="213">
        <v>0.47397260273972397</v>
      </c>
      <c r="L93" s="213">
        <v>10.033205479451995</v>
      </c>
      <c r="M93" s="213">
        <v>-5.9313205479451833E-2</v>
      </c>
      <c r="N93" s="213"/>
      <c r="O93" s="213"/>
      <c r="P93" s="213">
        <v>96.656153534245888</v>
      </c>
      <c r="Q93" s="214">
        <v>1.0503663842228421</v>
      </c>
    </row>
    <row r="94" spans="1:17" x14ac:dyDescent="0.25">
      <c r="A94" s="88" t="s">
        <v>333</v>
      </c>
      <c r="B94" s="117" t="str">
        <f>VLOOKUP(A94,'0 Järjestäjätiedot'!A:H,2,FALSE)</f>
        <v>Lounais-Hämeen koulutuskuntayhtymä</v>
      </c>
      <c r="C94" s="213">
        <v>1192.2434246575344</v>
      </c>
      <c r="D94" s="213">
        <v>1189.3834246575345</v>
      </c>
      <c r="E94" s="213">
        <v>2.86</v>
      </c>
      <c r="F94" s="213">
        <v>896.51738904108777</v>
      </c>
      <c r="G94" s="213">
        <v>184.56557719177994</v>
      </c>
      <c r="H94" s="213">
        <v>13.675068493150606</v>
      </c>
      <c r="I94" s="213"/>
      <c r="J94" s="213">
        <v>2.4596</v>
      </c>
      <c r="K94" s="213">
        <v>49.530684931506599</v>
      </c>
      <c r="L94" s="213">
        <v>10.419397260273904</v>
      </c>
      <c r="M94" s="213">
        <v>-1.3525799945205452</v>
      </c>
      <c r="N94" s="213">
        <v>2.3689788356164185</v>
      </c>
      <c r="O94" s="213"/>
      <c r="P94" s="213">
        <v>1158.1841157588926</v>
      </c>
      <c r="Q94" s="214">
        <v>0.97143258818271572</v>
      </c>
    </row>
    <row r="95" spans="1:17" x14ac:dyDescent="0.25">
      <c r="A95" s="88" t="s">
        <v>280</v>
      </c>
      <c r="B95" s="117" t="str">
        <f>VLOOKUP(A95,'0 Järjestäjätiedot'!A:H,2,FALSE)</f>
        <v>Suomen ympäristöopisto SYKLI Oy</v>
      </c>
      <c r="C95" s="213">
        <v>286.03232876712235</v>
      </c>
      <c r="D95" s="213">
        <v>286.03232876712235</v>
      </c>
      <c r="E95" s="213"/>
      <c r="F95" s="213"/>
      <c r="G95" s="213">
        <v>218.04244421917718</v>
      </c>
      <c r="H95" s="213"/>
      <c r="I95" s="213"/>
      <c r="J95" s="213"/>
      <c r="K95" s="213">
        <v>0.29315068493150553</v>
      </c>
      <c r="L95" s="213"/>
      <c r="M95" s="213"/>
      <c r="N95" s="213">
        <v>2.3182273972602574</v>
      </c>
      <c r="O95" s="213"/>
      <c r="P95" s="213">
        <v>220.6538223013693</v>
      </c>
      <c r="Q95" s="214">
        <v>0.77142966059972207</v>
      </c>
    </row>
    <row r="96" spans="1:17" x14ac:dyDescent="0.25">
      <c r="A96" s="88" t="s">
        <v>390</v>
      </c>
      <c r="B96" s="117" t="str">
        <f>VLOOKUP(A96,'0 Järjestäjätiedot'!A:H,2,FALSE)</f>
        <v>Fysikaalinen hoitolaitos Arcus Lumio &amp; Pirttimaa</v>
      </c>
      <c r="C96" s="213">
        <v>29.227397260273847</v>
      </c>
      <c r="D96" s="213">
        <v>29.227397260273847</v>
      </c>
      <c r="E96" s="213"/>
      <c r="F96" s="213"/>
      <c r="G96" s="213">
        <v>22.280044931506701</v>
      </c>
      <c r="H96" s="213"/>
      <c r="I96" s="213"/>
      <c r="J96" s="213"/>
      <c r="K96" s="213"/>
      <c r="L96" s="213"/>
      <c r="M96" s="213"/>
      <c r="N96" s="213"/>
      <c r="O96" s="213"/>
      <c r="P96" s="213">
        <v>22.280044931506701</v>
      </c>
      <c r="Q96" s="214">
        <v>0.7622999999999982</v>
      </c>
    </row>
    <row r="97" spans="1:17" x14ac:dyDescent="0.25">
      <c r="A97" s="88" t="s">
        <v>407</v>
      </c>
      <c r="B97" s="117" t="str">
        <f>VLOOKUP(A97,'0 Järjestäjätiedot'!A:H,2,FALSE)</f>
        <v>ABB Oy</v>
      </c>
      <c r="C97" s="213">
        <v>37</v>
      </c>
      <c r="D97" s="213"/>
      <c r="E97" s="213">
        <v>37</v>
      </c>
      <c r="F97" s="213"/>
      <c r="G97" s="213"/>
      <c r="H97" s="213"/>
      <c r="I97" s="213"/>
      <c r="J97" s="213">
        <v>31.82</v>
      </c>
      <c r="K97" s="213"/>
      <c r="L97" s="213"/>
      <c r="M97" s="213">
        <v>-15.91</v>
      </c>
      <c r="N97" s="213"/>
      <c r="O97" s="213"/>
      <c r="P97" s="213">
        <v>15.91</v>
      </c>
      <c r="Q97" s="214">
        <v>0.43</v>
      </c>
    </row>
    <row r="98" spans="1:17" x14ac:dyDescent="0.25">
      <c r="A98" s="88" t="s">
        <v>324</v>
      </c>
      <c r="B98" s="117" t="str">
        <f>VLOOKUP(A98,'0 Järjestäjätiedot'!A:H,2,FALSE)</f>
        <v>Meyer Turku Oy</v>
      </c>
      <c r="C98" s="213">
        <v>6.0460273972602616</v>
      </c>
      <c r="D98" s="213">
        <v>0.24602739726026179</v>
      </c>
      <c r="E98" s="213">
        <v>5.8</v>
      </c>
      <c r="F98" s="213"/>
      <c r="G98" s="213">
        <v>0.18754668493149768</v>
      </c>
      <c r="H98" s="213"/>
      <c r="I98" s="213"/>
      <c r="J98" s="213">
        <v>4.9880000000000004</v>
      </c>
      <c r="K98" s="213"/>
      <c r="L98" s="213"/>
      <c r="M98" s="213">
        <v>-2.4940000000000002</v>
      </c>
      <c r="N98" s="213">
        <v>4.6886671232874419E-2</v>
      </c>
      <c r="O98" s="213"/>
      <c r="P98" s="213">
        <v>2.7284333561643725</v>
      </c>
      <c r="Q98" s="214">
        <v>0.45127704141743613</v>
      </c>
    </row>
    <row r="99" spans="1:17" x14ac:dyDescent="0.25">
      <c r="A99" s="88" t="s">
        <v>243</v>
      </c>
      <c r="B99" s="117" t="str">
        <f>VLOOKUP(A99,'0 Järjestäjätiedot'!A:H,2,FALSE)</f>
        <v>Wärtsilä Finland Oy</v>
      </c>
      <c r="C99" s="213">
        <v>35.54</v>
      </c>
      <c r="D99" s="213"/>
      <c r="E99" s="213">
        <v>35.54</v>
      </c>
      <c r="F99" s="213"/>
      <c r="G99" s="213"/>
      <c r="H99" s="213"/>
      <c r="I99" s="213"/>
      <c r="J99" s="213">
        <v>30.564399999999999</v>
      </c>
      <c r="K99" s="213"/>
      <c r="L99" s="213"/>
      <c r="M99" s="213">
        <v>-15.2822</v>
      </c>
      <c r="N99" s="213"/>
      <c r="O99" s="213"/>
      <c r="P99" s="213">
        <v>15.2822</v>
      </c>
      <c r="Q99" s="214">
        <v>0.43</v>
      </c>
    </row>
    <row r="100" spans="1:17" x14ac:dyDescent="0.25">
      <c r="A100" s="88" t="s">
        <v>358</v>
      </c>
      <c r="B100" s="117" t="str">
        <f>VLOOKUP(A100,'0 Järjestäjätiedot'!A:H,2,FALSE)</f>
        <v>Kiinteistöalan Koulutussäätiö sr</v>
      </c>
      <c r="C100" s="213">
        <v>341.9903835616571</v>
      </c>
      <c r="D100" s="213">
        <v>78.624383561657055</v>
      </c>
      <c r="E100" s="213">
        <v>263.36600000000004</v>
      </c>
      <c r="F100" s="213"/>
      <c r="G100" s="213">
        <v>42.378542739725397</v>
      </c>
      <c r="H100" s="213"/>
      <c r="I100" s="213"/>
      <c r="J100" s="213">
        <v>226.49476000000001</v>
      </c>
      <c r="K100" s="213"/>
      <c r="L100" s="213"/>
      <c r="M100" s="213">
        <v>-3.7757447397259836</v>
      </c>
      <c r="N100" s="213"/>
      <c r="O100" s="213"/>
      <c r="P100" s="213">
        <v>265.09755799999823</v>
      </c>
      <c r="Q100" s="214">
        <v>0.77516085463907225</v>
      </c>
    </row>
    <row r="101" spans="1:17" x14ac:dyDescent="0.25">
      <c r="A101" s="88" t="s">
        <v>319</v>
      </c>
      <c r="B101" s="117" t="str">
        <f>VLOOKUP(A101,'0 Järjestäjätiedot'!A:H,2,FALSE)</f>
        <v>Optima samkommun</v>
      </c>
      <c r="C101" s="213">
        <v>1220.2046575342245</v>
      </c>
      <c r="D101" s="213">
        <v>1220.2046575342245</v>
      </c>
      <c r="E101" s="213"/>
      <c r="F101" s="213">
        <v>991.30040547943179</v>
      </c>
      <c r="G101" s="213">
        <v>139.55178328767005</v>
      </c>
      <c r="H101" s="213">
        <v>86.61533424657442</v>
      </c>
      <c r="I101" s="213"/>
      <c r="J101" s="213"/>
      <c r="K101" s="213">
        <v>460.50106027396561</v>
      </c>
      <c r="L101" s="213">
        <v>66.586657534246683</v>
      </c>
      <c r="M101" s="213"/>
      <c r="N101" s="213"/>
      <c r="O101" s="213"/>
      <c r="P101" s="213">
        <v>1744.5552408219103</v>
      </c>
      <c r="Q101" s="214">
        <v>1.4297234730666259</v>
      </c>
    </row>
    <row r="102" spans="1:17" x14ac:dyDescent="0.25">
      <c r="A102" s="88" t="s">
        <v>311</v>
      </c>
      <c r="B102" s="117" t="str">
        <f>VLOOKUP(A102,'0 Järjestäjätiedot'!A:H,2,FALSE)</f>
        <v>Peimarin koulutuskuntayhtymä</v>
      </c>
      <c r="C102" s="213">
        <v>959.08342465754515</v>
      </c>
      <c r="D102" s="213">
        <v>958.92142465754512</v>
      </c>
      <c r="E102" s="213">
        <v>0.16200000000000001</v>
      </c>
      <c r="F102" s="213">
        <v>930.6880734246497</v>
      </c>
      <c r="G102" s="213">
        <v>178.62224991780798</v>
      </c>
      <c r="H102" s="213"/>
      <c r="I102" s="213">
        <v>1.6688219178082073</v>
      </c>
      <c r="J102" s="213">
        <v>0.13932</v>
      </c>
      <c r="K102" s="213">
        <v>48.212054794520256</v>
      </c>
      <c r="L102" s="213">
        <v>37.053493150684808</v>
      </c>
      <c r="M102" s="213"/>
      <c r="N102" s="213"/>
      <c r="O102" s="213">
        <v>1.9498082191780655</v>
      </c>
      <c r="P102" s="213">
        <v>1198.3338214246535</v>
      </c>
      <c r="Q102" s="214">
        <v>1.2494573366780208</v>
      </c>
    </row>
    <row r="103" spans="1:17" x14ac:dyDescent="0.25">
      <c r="A103" s="88" t="s">
        <v>304</v>
      </c>
      <c r="B103" s="117" t="str">
        <f>VLOOKUP(A103,'0 Järjestäjätiedot'!A:H,2,FALSE)</f>
        <v>Pohjois-Suomen Koulutuskeskussäätiö sr</v>
      </c>
      <c r="C103" s="213">
        <v>240.94383561643573</v>
      </c>
      <c r="D103" s="213">
        <v>235.44383561643573</v>
      </c>
      <c r="E103" s="213">
        <v>5.5</v>
      </c>
      <c r="F103" s="213">
        <v>98.136465753424162</v>
      </c>
      <c r="G103" s="213">
        <v>75.642816986299479</v>
      </c>
      <c r="H103" s="213"/>
      <c r="I103" s="213"/>
      <c r="J103" s="213">
        <v>4.7299999999999995</v>
      </c>
      <c r="K103" s="213"/>
      <c r="L103" s="213"/>
      <c r="M103" s="213">
        <v>-2.15</v>
      </c>
      <c r="N103" s="213">
        <v>4.976889726027391</v>
      </c>
      <c r="O103" s="213"/>
      <c r="P103" s="213">
        <v>181.33617246575307</v>
      </c>
      <c r="Q103" s="214">
        <v>0.75260764402550007</v>
      </c>
    </row>
    <row r="104" spans="1:17" x14ac:dyDescent="0.25">
      <c r="A104" s="88" t="s">
        <v>342</v>
      </c>
      <c r="B104" s="117" t="str">
        <f>VLOOKUP(A104,'0 Järjestäjätiedot'!A:H,2,FALSE)</f>
        <v>KSAK Oy</v>
      </c>
      <c r="C104" s="213">
        <v>111.19616438356115</v>
      </c>
      <c r="D104" s="213">
        <v>111.19616438356115</v>
      </c>
      <c r="E104" s="213"/>
      <c r="F104" s="213">
        <v>27.129698630136847</v>
      </c>
      <c r="G104" s="213">
        <v>55.747751068492974</v>
      </c>
      <c r="H104" s="213"/>
      <c r="I104" s="213"/>
      <c r="J104" s="213"/>
      <c r="K104" s="213"/>
      <c r="L104" s="213"/>
      <c r="M104" s="213">
        <v>-1.8924806849314966</v>
      </c>
      <c r="N104" s="213">
        <v>2.7062968493150543</v>
      </c>
      <c r="O104" s="213"/>
      <c r="P104" s="213">
        <v>83.691265863013456</v>
      </c>
      <c r="Q104" s="214">
        <v>0.75264525828721907</v>
      </c>
    </row>
    <row r="105" spans="1:17" x14ac:dyDescent="0.25">
      <c r="A105" s="88" t="s">
        <v>265</v>
      </c>
      <c r="B105" s="117" t="str">
        <f>VLOOKUP(A105,'0 Järjestäjätiedot'!A:H,2,FALSE)</f>
        <v>TUL:n Kisakeskussäätiö sr</v>
      </c>
      <c r="C105" s="213">
        <v>9.9232876712328295</v>
      </c>
      <c r="D105" s="213">
        <v>9.9232876712328295</v>
      </c>
      <c r="E105" s="213"/>
      <c r="F105" s="213"/>
      <c r="G105" s="213">
        <v>7.5645221917807861</v>
      </c>
      <c r="H105" s="213"/>
      <c r="I105" s="213"/>
      <c r="J105" s="213"/>
      <c r="K105" s="213"/>
      <c r="L105" s="213"/>
      <c r="M105" s="213"/>
      <c r="N105" s="213"/>
      <c r="O105" s="213"/>
      <c r="P105" s="213">
        <v>7.5645221917807861</v>
      </c>
      <c r="Q105" s="214">
        <v>0.76229999999999998</v>
      </c>
    </row>
    <row r="106" spans="1:17" x14ac:dyDescent="0.25">
      <c r="A106" s="88" t="s">
        <v>328</v>
      </c>
      <c r="B106" s="117" t="str">
        <f>VLOOKUP(A106,'0 Järjestäjätiedot'!A:H,2,FALSE)</f>
        <v>TYA-oppilaitos Oy</v>
      </c>
      <c r="C106" s="213">
        <v>40.928767123287479</v>
      </c>
      <c r="D106" s="213">
        <v>40.928767123287479</v>
      </c>
      <c r="E106" s="213"/>
      <c r="F106" s="213"/>
      <c r="G106" s="213">
        <v>31.199999178082031</v>
      </c>
      <c r="H106" s="213"/>
      <c r="I106" s="213"/>
      <c r="J106" s="213"/>
      <c r="K106" s="213"/>
      <c r="L106" s="213"/>
      <c r="M106" s="213"/>
      <c r="N106" s="213"/>
      <c r="O106" s="213"/>
      <c r="P106" s="213">
        <v>31.199999178082031</v>
      </c>
      <c r="Q106" s="214">
        <v>0.76229999999999964</v>
      </c>
    </row>
    <row r="107" spans="1:17" x14ac:dyDescent="0.25">
      <c r="A107" s="88" t="s">
        <v>313</v>
      </c>
      <c r="B107" s="117" t="str">
        <f>VLOOKUP(A107,'0 Järjestäjätiedot'!A:H,2,FALSE)</f>
        <v>Palkansaajien koulutussäätiö sr</v>
      </c>
      <c r="C107" s="213">
        <v>49.81643835616395</v>
      </c>
      <c r="D107" s="213">
        <v>49.81643835616395</v>
      </c>
      <c r="E107" s="213"/>
      <c r="F107" s="213"/>
      <c r="G107" s="213">
        <v>43.748324219177704</v>
      </c>
      <c r="H107" s="213"/>
      <c r="I107" s="213"/>
      <c r="J107" s="213"/>
      <c r="K107" s="213"/>
      <c r="L107" s="213"/>
      <c r="M107" s="213">
        <v>-0.76603004876709202</v>
      </c>
      <c r="N107" s="213"/>
      <c r="O107" s="213"/>
      <c r="P107" s="213">
        <v>42.982294170410789</v>
      </c>
      <c r="Q107" s="214">
        <v>0.8628134725952854</v>
      </c>
    </row>
    <row r="108" spans="1:17" x14ac:dyDescent="0.25">
      <c r="A108" s="88" t="s">
        <v>308</v>
      </c>
      <c r="B108" s="117" t="str">
        <f>VLOOKUP(A108,'0 Järjestäjätiedot'!A:H,2,FALSE)</f>
        <v>Pop &amp; Jazz Konservatorion Säätiö sr</v>
      </c>
      <c r="C108" s="213">
        <v>110.44657534246514</v>
      </c>
      <c r="D108" s="213">
        <v>110.44657534246514</v>
      </c>
      <c r="E108" s="213"/>
      <c r="F108" s="213">
        <v>168.89745205479355</v>
      </c>
      <c r="G108" s="213">
        <v>3.5548684931506602</v>
      </c>
      <c r="H108" s="213"/>
      <c r="I108" s="213"/>
      <c r="J108" s="213"/>
      <c r="K108" s="213"/>
      <c r="L108" s="213"/>
      <c r="M108" s="213"/>
      <c r="N108" s="213"/>
      <c r="O108" s="213"/>
      <c r="P108" s="213">
        <v>172.45232054794408</v>
      </c>
      <c r="Q108" s="214">
        <v>1.5614093964726008</v>
      </c>
    </row>
    <row r="109" spans="1:17" x14ac:dyDescent="0.25">
      <c r="A109" s="88" t="s">
        <v>261</v>
      </c>
      <c r="B109" s="117" t="str">
        <f>VLOOKUP(A109,'0 Järjestäjätiedot'!A:H,2,FALSE)</f>
        <v>Turun kristillisen opiston säätiö sr</v>
      </c>
      <c r="C109" s="213">
        <v>238.87465753424499</v>
      </c>
      <c r="D109" s="213">
        <v>233.82465753424498</v>
      </c>
      <c r="E109" s="213">
        <v>5.05</v>
      </c>
      <c r="F109" s="213">
        <v>184.09389041095852</v>
      </c>
      <c r="G109" s="213">
        <v>36.492240821917633</v>
      </c>
      <c r="H109" s="213"/>
      <c r="I109" s="213"/>
      <c r="J109" s="213">
        <v>4.343</v>
      </c>
      <c r="K109" s="213">
        <v>3.9876712328766906</v>
      </c>
      <c r="L109" s="213">
        <v>12.971726027397189</v>
      </c>
      <c r="M109" s="213"/>
      <c r="N109" s="213"/>
      <c r="O109" s="213"/>
      <c r="P109" s="213">
        <v>241.88852849314989</v>
      </c>
      <c r="Q109" s="214">
        <v>1.0126169556453382</v>
      </c>
    </row>
    <row r="110" spans="1:17" x14ac:dyDescent="0.25">
      <c r="A110" s="88" t="s">
        <v>383</v>
      </c>
      <c r="B110" s="117" t="str">
        <f>VLOOKUP(A110,'0 Järjestäjätiedot'!A:H,2,FALSE)</f>
        <v>Hevosopisto Oy</v>
      </c>
      <c r="C110" s="213">
        <v>351.402739726025</v>
      </c>
      <c r="D110" s="213">
        <v>351.402739726025</v>
      </c>
      <c r="E110" s="213"/>
      <c r="F110" s="213">
        <v>401.33210958903879</v>
      </c>
      <c r="G110" s="213">
        <v>92.101282191780257</v>
      </c>
      <c r="H110" s="213"/>
      <c r="I110" s="213"/>
      <c r="J110" s="213"/>
      <c r="K110" s="213">
        <v>18.532876712328694</v>
      </c>
      <c r="L110" s="213">
        <v>24.700630136986177</v>
      </c>
      <c r="M110" s="213">
        <v>-0.6724409999999974</v>
      </c>
      <c r="N110" s="213"/>
      <c r="O110" s="213"/>
      <c r="P110" s="213">
        <v>535.99445763013478</v>
      </c>
      <c r="Q110" s="214">
        <v>1.525299597971344</v>
      </c>
    </row>
    <row r="111" spans="1:17" x14ac:dyDescent="0.25">
      <c r="A111" s="88" t="s">
        <v>373</v>
      </c>
      <c r="B111" s="117" t="str">
        <f>VLOOKUP(A111,'0 Järjestäjätiedot'!A:H,2,FALSE)</f>
        <v>Jyväskylän Talouskouluyhdistys r.y.</v>
      </c>
      <c r="C111" s="213">
        <v>128.51397260273905</v>
      </c>
      <c r="D111" s="213">
        <v>128.51397260273905</v>
      </c>
      <c r="E111" s="213"/>
      <c r="F111" s="213">
        <v>127.22883287671158</v>
      </c>
      <c r="G111" s="213"/>
      <c r="H111" s="213"/>
      <c r="I111" s="213"/>
      <c r="J111" s="213"/>
      <c r="K111" s="213">
        <v>9.7410958904109126</v>
      </c>
      <c r="L111" s="213"/>
      <c r="M111" s="213"/>
      <c r="N111" s="213"/>
      <c r="O111" s="213"/>
      <c r="P111" s="213">
        <v>136.96992876712238</v>
      </c>
      <c r="Q111" s="214">
        <v>1.065797951717844</v>
      </c>
    </row>
    <row r="112" spans="1:17" x14ac:dyDescent="0.25">
      <c r="A112" s="88" t="s">
        <v>352</v>
      </c>
      <c r="B112" s="117" t="str">
        <f>VLOOKUP(A112,'0 Järjestäjätiedot'!A:H,2,FALSE)</f>
        <v>Konecranes Finland Oy</v>
      </c>
      <c r="C112" s="213">
        <v>20</v>
      </c>
      <c r="D112" s="213"/>
      <c r="E112" s="213">
        <v>20</v>
      </c>
      <c r="F112" s="213"/>
      <c r="G112" s="213"/>
      <c r="H112" s="213"/>
      <c r="I112" s="213"/>
      <c r="J112" s="213">
        <v>17.2</v>
      </c>
      <c r="K112" s="213"/>
      <c r="L112" s="213"/>
      <c r="M112" s="213">
        <v>-8.6</v>
      </c>
      <c r="N112" s="213"/>
      <c r="O112" s="213"/>
      <c r="P112" s="213">
        <v>8.6</v>
      </c>
      <c r="Q112" s="214">
        <v>0.43</v>
      </c>
    </row>
    <row r="113" spans="1:17" x14ac:dyDescent="0.25">
      <c r="A113" s="88" t="s">
        <v>295</v>
      </c>
      <c r="B113" s="117" t="str">
        <f>VLOOKUP(A113,'0 Järjestäjätiedot'!A:H,2,FALSE)</f>
        <v>Rovaniemen Koulutuskuntayhtymä</v>
      </c>
      <c r="C113" s="213">
        <v>3202.3013698629152</v>
      </c>
      <c r="D113" s="213">
        <v>3202.3013698629152</v>
      </c>
      <c r="E113" s="213"/>
      <c r="F113" s="213">
        <v>2946.1585561644024</v>
      </c>
      <c r="G113" s="213">
        <v>397.33223983560799</v>
      </c>
      <c r="H113" s="213">
        <v>81.934520547944544</v>
      </c>
      <c r="I113" s="213">
        <v>1.2689999999999926</v>
      </c>
      <c r="J113" s="213"/>
      <c r="K113" s="213">
        <v>142.03087671232777</v>
      </c>
      <c r="L113" s="213">
        <v>102.62504109589027</v>
      </c>
      <c r="M113" s="213"/>
      <c r="N113" s="213">
        <v>0.93567130136985699</v>
      </c>
      <c r="O113" s="213"/>
      <c r="P113" s="213">
        <v>3672.2859056575435</v>
      </c>
      <c r="Q113" s="214">
        <v>1.1467646175396444</v>
      </c>
    </row>
    <row r="114" spans="1:17" x14ac:dyDescent="0.25">
      <c r="A114" s="88" t="s">
        <v>278</v>
      </c>
      <c r="B114" s="117" t="str">
        <f>VLOOKUP(A114,'0 Järjestäjätiedot'!A:H,2,FALSE)</f>
        <v>Suupohjan Koulutuskuntayhtymä</v>
      </c>
      <c r="C114" s="213">
        <v>523.6610958904073</v>
      </c>
      <c r="D114" s="213">
        <v>523.6610958904073</v>
      </c>
      <c r="E114" s="213"/>
      <c r="F114" s="213">
        <v>537.52006301369465</v>
      </c>
      <c r="G114" s="213">
        <v>42.262523780821738</v>
      </c>
      <c r="H114" s="213"/>
      <c r="I114" s="213"/>
      <c r="J114" s="213"/>
      <c r="K114" s="213">
        <v>24.350684931506741</v>
      </c>
      <c r="L114" s="213">
        <v>11.057232876712249</v>
      </c>
      <c r="M114" s="213"/>
      <c r="N114" s="213"/>
      <c r="O114" s="213"/>
      <c r="P114" s="213">
        <v>615.19050460273218</v>
      </c>
      <c r="Q114" s="214">
        <v>1.1747874902883373</v>
      </c>
    </row>
    <row r="115" spans="1:17" x14ac:dyDescent="0.25">
      <c r="A115" s="88" t="s">
        <v>276</v>
      </c>
      <c r="B115" s="117" t="str">
        <f>VLOOKUP(A115,'0 Järjestäjätiedot'!A:H,2,FALSE)</f>
        <v>Svenska Österbottens förbund för Utbildning och Kultur</v>
      </c>
      <c r="C115" s="213">
        <v>1446.0671780821572</v>
      </c>
      <c r="D115" s="213">
        <v>1443.489863013664</v>
      </c>
      <c r="E115" s="213">
        <v>2.5773150684931267</v>
      </c>
      <c r="F115" s="213">
        <v>1297.1983643835395</v>
      </c>
      <c r="G115" s="213">
        <v>168.1855728767097</v>
      </c>
      <c r="H115" s="213">
        <v>48.796043835616182</v>
      </c>
      <c r="I115" s="213">
        <v>1.6379178082191603</v>
      </c>
      <c r="J115" s="213">
        <v>2.0020799999999999</v>
      </c>
      <c r="K115" s="213">
        <v>76.118972602739589</v>
      </c>
      <c r="L115" s="213">
        <v>52.097708219178081</v>
      </c>
      <c r="M115" s="213"/>
      <c r="N115" s="213">
        <v>0.78579554794520123</v>
      </c>
      <c r="O115" s="213"/>
      <c r="P115" s="213">
        <v>1646.822455273965</v>
      </c>
      <c r="Q115" s="214">
        <v>1.1388284584800907</v>
      </c>
    </row>
    <row r="116" spans="1:17" x14ac:dyDescent="0.25">
      <c r="A116" s="88" t="s">
        <v>317</v>
      </c>
      <c r="B116" s="117" t="str">
        <f>VLOOKUP(A116,'0 Järjestäjätiedot'!A:H,2,FALSE)</f>
        <v>Oulun seudun koulutuskuntayhtymä (OSEKK)</v>
      </c>
      <c r="C116" s="213">
        <v>6703.1508767117639</v>
      </c>
      <c r="D116" s="213">
        <v>6661.4808767117638</v>
      </c>
      <c r="E116" s="213">
        <v>41.67</v>
      </c>
      <c r="F116" s="213">
        <v>6053.683795890337</v>
      </c>
      <c r="G116" s="213">
        <v>588.71590923560746</v>
      </c>
      <c r="H116" s="213">
        <v>166.32398630136908</v>
      </c>
      <c r="I116" s="213">
        <v>11.616082191780682</v>
      </c>
      <c r="J116" s="213">
        <v>35.836199999999998</v>
      </c>
      <c r="K116" s="213">
        <v>431.96789041095508</v>
      </c>
      <c r="L116" s="213">
        <v>72.592465753424662</v>
      </c>
      <c r="M116" s="213">
        <v>-5.9313205479451833E-2</v>
      </c>
      <c r="N116" s="213">
        <v>3.8763329452054651</v>
      </c>
      <c r="O116" s="213"/>
      <c r="P116" s="213">
        <v>7364.5533495234895</v>
      </c>
      <c r="Q116" s="214">
        <v>1.0986703842680368</v>
      </c>
    </row>
    <row r="117" spans="1:17" x14ac:dyDescent="0.25">
      <c r="A117" s="88" t="s">
        <v>349</v>
      </c>
      <c r="B117" s="117" t="str">
        <f>VLOOKUP(A117,'0 Järjestäjätiedot'!A:H,2,FALSE)</f>
        <v>Koulutuskeskus Salpaus -kuntayhtymä</v>
      </c>
      <c r="C117" s="213">
        <v>5721.7208904107029</v>
      </c>
      <c r="D117" s="213">
        <v>5569.6358904107028</v>
      </c>
      <c r="E117" s="213">
        <v>152.08500000000001</v>
      </c>
      <c r="F117" s="213">
        <v>4492.1780649314642</v>
      </c>
      <c r="G117" s="213">
        <v>755.4879530301281</v>
      </c>
      <c r="H117" s="213">
        <v>106.10926027397215</v>
      </c>
      <c r="I117" s="213">
        <v>24.792821917808091</v>
      </c>
      <c r="J117" s="213">
        <v>130.79310000000001</v>
      </c>
      <c r="K117" s="213">
        <v>367.46890410958486</v>
      </c>
      <c r="L117" s="213">
        <v>10.055890410958835</v>
      </c>
      <c r="M117" s="213"/>
      <c r="N117" s="213">
        <v>4.0016161643835355</v>
      </c>
      <c r="O117" s="213"/>
      <c r="P117" s="213">
        <v>5890.8876108384311</v>
      </c>
      <c r="Q117" s="214">
        <v>1.0295657064837356</v>
      </c>
    </row>
    <row r="118" spans="1:17" x14ac:dyDescent="0.25">
      <c r="A118" s="88" t="s">
        <v>288</v>
      </c>
      <c r="B118" s="117" t="str">
        <f>VLOOKUP(A118,'0 Järjestäjätiedot'!A:H,2,FALSE)</f>
        <v>Seinäjoen koulutuskuntayhtymä</v>
      </c>
      <c r="C118" s="213">
        <v>4149.853698630056</v>
      </c>
      <c r="D118" s="213">
        <v>4149.853698630056</v>
      </c>
      <c r="E118" s="213"/>
      <c r="F118" s="213">
        <v>3524.950694246716</v>
      </c>
      <c r="G118" s="213">
        <v>501.01485617533081</v>
      </c>
      <c r="H118" s="213">
        <v>114.70060273972535</v>
      </c>
      <c r="I118" s="213">
        <v>6.0282328767122815</v>
      </c>
      <c r="J118" s="213"/>
      <c r="K118" s="213">
        <v>313.57315068492755</v>
      </c>
      <c r="L118" s="213">
        <v>52.735671232876818</v>
      </c>
      <c r="M118" s="213"/>
      <c r="N118" s="213">
        <v>4.970919589041082</v>
      </c>
      <c r="O118" s="213"/>
      <c r="P118" s="213">
        <v>4517.9741275453825</v>
      </c>
      <c r="Q118" s="214">
        <v>1.0887068450236783</v>
      </c>
    </row>
    <row r="119" spans="1:17" x14ac:dyDescent="0.25">
      <c r="A119" s="88" t="s">
        <v>268</v>
      </c>
      <c r="B119" s="117" t="str">
        <f>VLOOKUP(A119,'0 Järjestäjätiedot'!A:H,2,FALSE)</f>
        <v>Toyota Auto Finland Oy</v>
      </c>
      <c r="C119" s="213">
        <v>68.775342465753155</v>
      </c>
      <c r="D119" s="213">
        <v>68.775342465753155</v>
      </c>
      <c r="E119" s="213"/>
      <c r="F119" s="213"/>
      <c r="G119" s="213">
        <v>52.427443561643614</v>
      </c>
      <c r="H119" s="213"/>
      <c r="I119" s="213"/>
      <c r="J119" s="213"/>
      <c r="K119" s="213"/>
      <c r="L119" s="213"/>
      <c r="M119" s="213"/>
      <c r="N119" s="213"/>
      <c r="O119" s="213"/>
      <c r="P119" s="213">
        <v>52.427443561643614</v>
      </c>
      <c r="Q119" s="214">
        <v>0.76229999999999976</v>
      </c>
    </row>
    <row r="120" spans="1:17" x14ac:dyDescent="0.25">
      <c r="A120" s="88" t="s">
        <v>397</v>
      </c>
      <c r="B120" s="117" t="str">
        <f>VLOOKUP(A120,'0 Järjestäjätiedot'!A:H,2,FALSE)</f>
        <v>Etelä-Karjalan Koulutuskuntayhtymä</v>
      </c>
      <c r="C120" s="213">
        <v>2946.1762739724813</v>
      </c>
      <c r="D120" s="213">
        <v>2944.6702739724815</v>
      </c>
      <c r="E120" s="213">
        <v>1.506</v>
      </c>
      <c r="F120" s="213">
        <v>2386.7476698629912</v>
      </c>
      <c r="G120" s="213">
        <v>369.0472539178009</v>
      </c>
      <c r="H120" s="213">
        <v>86.017726027396677</v>
      </c>
      <c r="I120" s="213"/>
      <c r="J120" s="213">
        <v>1.2951600000000001</v>
      </c>
      <c r="K120" s="213">
        <v>170.78175342465676</v>
      </c>
      <c r="L120" s="213">
        <v>2.8842739726027236</v>
      </c>
      <c r="M120" s="213">
        <v>-0.43583651506848742</v>
      </c>
      <c r="N120" s="213">
        <v>6.7222104794520483</v>
      </c>
      <c r="O120" s="213"/>
      <c r="P120" s="213">
        <v>3023.0602111698563</v>
      </c>
      <c r="Q120" s="214">
        <v>1.0260961768909034</v>
      </c>
    </row>
    <row r="121" spans="1:17" x14ac:dyDescent="0.25">
      <c r="A121" s="88" t="s">
        <v>258</v>
      </c>
      <c r="B121" s="117" t="str">
        <f>VLOOKUP(A121,'0 Järjestäjätiedot'!A:H,2,FALSE)</f>
        <v>UPM-Kymmene Oyj</v>
      </c>
      <c r="C121" s="213">
        <v>35.9</v>
      </c>
      <c r="D121" s="213"/>
      <c r="E121" s="213">
        <v>35.9</v>
      </c>
      <c r="F121" s="213"/>
      <c r="G121" s="213"/>
      <c r="H121" s="213"/>
      <c r="I121" s="213"/>
      <c r="J121" s="213">
        <v>30.873999999999999</v>
      </c>
      <c r="K121" s="213"/>
      <c r="L121" s="213"/>
      <c r="M121" s="213">
        <v>-15.436999999999999</v>
      </c>
      <c r="N121" s="213"/>
      <c r="O121" s="213"/>
      <c r="P121" s="213">
        <v>15.436999999999999</v>
      </c>
      <c r="Q121" s="214">
        <v>0.43</v>
      </c>
    </row>
    <row r="122" spans="1:17" x14ac:dyDescent="0.25">
      <c r="A122" s="88" t="s">
        <v>251</v>
      </c>
      <c r="B122" s="117" t="str">
        <f>VLOOKUP(A122,'0 Järjestäjätiedot'!A:H,2,FALSE)</f>
        <v>Valtakunnallinen valmennus- ja liikuntakeskus Oy</v>
      </c>
      <c r="C122" s="213">
        <v>174.60876712328613</v>
      </c>
      <c r="D122" s="213">
        <v>174.60876712328613</v>
      </c>
      <c r="E122" s="213"/>
      <c r="F122" s="213">
        <v>191.5841095890398</v>
      </c>
      <c r="G122" s="213">
        <v>41.252334410958738</v>
      </c>
      <c r="H122" s="213"/>
      <c r="I122" s="213"/>
      <c r="J122" s="213"/>
      <c r="K122" s="213"/>
      <c r="L122" s="213">
        <v>25.253753424657418</v>
      </c>
      <c r="M122" s="213"/>
      <c r="N122" s="213"/>
      <c r="O122" s="213"/>
      <c r="P122" s="213">
        <v>258.09019742465608</v>
      </c>
      <c r="Q122" s="214">
        <v>1.4781056053298072</v>
      </c>
    </row>
    <row r="123" spans="1:17" x14ac:dyDescent="0.25">
      <c r="A123" s="88" t="s">
        <v>388</v>
      </c>
      <c r="B123" s="117" t="str">
        <f>VLOOKUP(A123,'0 Järjestäjätiedot'!A:H,2,FALSE)</f>
        <v>Harjun Oppimiskeskus Oy</v>
      </c>
      <c r="C123" s="213">
        <v>196.02684931506656</v>
      </c>
      <c r="D123" s="213">
        <v>196.02684931506656</v>
      </c>
      <c r="E123" s="213"/>
      <c r="F123" s="213">
        <v>258.71919452054482</v>
      </c>
      <c r="G123" s="213">
        <v>23.132074191780703</v>
      </c>
      <c r="H123" s="213"/>
      <c r="I123" s="213"/>
      <c r="J123" s="213"/>
      <c r="K123" s="213">
        <v>7.9136986301369614</v>
      </c>
      <c r="L123" s="213">
        <v>38.572832876712319</v>
      </c>
      <c r="M123" s="213"/>
      <c r="N123" s="213"/>
      <c r="O123" s="213"/>
      <c r="P123" s="213">
        <v>328.33780021917727</v>
      </c>
      <c r="Q123" s="214">
        <v>1.6749634112184935</v>
      </c>
    </row>
    <row r="124" spans="1:17" x14ac:dyDescent="0.25">
      <c r="A124" s="88" t="s">
        <v>267</v>
      </c>
      <c r="B124" s="117" t="str">
        <f>VLOOKUP(A124,'0 Järjestäjätiedot'!A:H,2,FALSE)</f>
        <v>Traffica Oy</v>
      </c>
      <c r="C124" s="213">
        <v>10.876712328767052</v>
      </c>
      <c r="D124" s="213">
        <v>10.876712328767052</v>
      </c>
      <c r="E124" s="213"/>
      <c r="F124" s="213">
        <v>11.124657534246506</v>
      </c>
      <c r="G124" s="213"/>
      <c r="H124" s="213"/>
      <c r="I124" s="213"/>
      <c r="J124" s="213"/>
      <c r="K124" s="213"/>
      <c r="L124" s="213"/>
      <c r="M124" s="213"/>
      <c r="N124" s="213"/>
      <c r="O124" s="213"/>
      <c r="P124" s="213">
        <v>11.124657534246506</v>
      </c>
      <c r="Q124" s="214">
        <v>1.0227959697733</v>
      </c>
    </row>
    <row r="125" spans="1:17" x14ac:dyDescent="0.25">
      <c r="A125" s="88" t="s">
        <v>374</v>
      </c>
      <c r="B125" s="117" t="str">
        <f>VLOOKUP(A125,'0 Järjestäjätiedot'!A:H,2,FALSE)</f>
        <v>Jyväskylän kristillisen opiston säätiö sr</v>
      </c>
      <c r="C125" s="213">
        <v>163.66383561643704</v>
      </c>
      <c r="D125" s="213">
        <v>163.66383561643704</v>
      </c>
      <c r="E125" s="213"/>
      <c r="F125" s="213">
        <v>107.52050958904066</v>
      </c>
      <c r="G125" s="213">
        <v>41.970149506849047</v>
      </c>
      <c r="H125" s="213"/>
      <c r="I125" s="213"/>
      <c r="J125" s="213"/>
      <c r="K125" s="213">
        <v>11.201369863013628</v>
      </c>
      <c r="L125" s="213">
        <v>3.4114246575342242</v>
      </c>
      <c r="M125" s="213"/>
      <c r="N125" s="213"/>
      <c r="O125" s="213"/>
      <c r="P125" s="213">
        <v>164.10345361643738</v>
      </c>
      <c r="Q125" s="214">
        <v>1.0026861034897816</v>
      </c>
    </row>
    <row r="126" spans="1:17" x14ac:dyDescent="0.25">
      <c r="A126" s="88" t="s">
        <v>370</v>
      </c>
      <c r="B126" s="117" t="str">
        <f>VLOOKUP(A126,'0 Järjestäjätiedot'!A:H,2,FALSE)</f>
        <v>Jollas-Opisto Oy</v>
      </c>
      <c r="C126" s="213">
        <v>179.65205479451825</v>
      </c>
      <c r="D126" s="213">
        <v>179.65205479451825</v>
      </c>
      <c r="E126" s="213"/>
      <c r="F126" s="213"/>
      <c r="G126" s="213">
        <v>105.00034328766981</v>
      </c>
      <c r="H126" s="213"/>
      <c r="I126" s="213"/>
      <c r="J126" s="213"/>
      <c r="K126" s="213"/>
      <c r="L126" s="213"/>
      <c r="M126" s="213"/>
      <c r="N126" s="213"/>
      <c r="O126" s="213"/>
      <c r="P126" s="213">
        <v>105.00034328766981</v>
      </c>
      <c r="Q126" s="214">
        <v>0.58446502828908209</v>
      </c>
    </row>
    <row r="127" spans="1:17" x14ac:dyDescent="0.25">
      <c r="A127" s="88" t="s">
        <v>277</v>
      </c>
      <c r="B127" s="117" t="str">
        <f>VLOOKUP(A127,'0 Järjestäjätiedot'!A:H,2,FALSE)</f>
        <v>Svenska Framtidsskolan i Helsingforsregionen Ab</v>
      </c>
      <c r="C127" s="213">
        <v>987.75208219178671</v>
      </c>
      <c r="D127" s="213">
        <v>973.00208219178671</v>
      </c>
      <c r="E127" s="213">
        <v>14.75</v>
      </c>
      <c r="F127" s="213">
        <v>930.67312986300135</v>
      </c>
      <c r="G127" s="213">
        <v>15.944716986301312</v>
      </c>
      <c r="H127" s="213">
        <v>7.4517534246574915</v>
      </c>
      <c r="I127" s="213"/>
      <c r="J127" s="213">
        <v>12.685</v>
      </c>
      <c r="K127" s="213">
        <v>54.798958904109263</v>
      </c>
      <c r="L127" s="213">
        <v>7.9478904109588377</v>
      </c>
      <c r="M127" s="213">
        <v>-0.4128</v>
      </c>
      <c r="N127" s="213"/>
      <c r="O127" s="213"/>
      <c r="P127" s="213">
        <v>1029.0886495890297</v>
      </c>
      <c r="Q127" s="214">
        <v>1.0418491321278893</v>
      </c>
    </row>
    <row r="128" spans="1:17" x14ac:dyDescent="0.25">
      <c r="A128" s="88" t="s">
        <v>286</v>
      </c>
      <c r="B128" s="117" t="str">
        <f>VLOOKUP(A128,'0 Järjestäjätiedot'!A:H,2,FALSE)</f>
        <v>Suomen Ilmailuopisto Oy</v>
      </c>
      <c r="C128" s="213">
        <v>114.5</v>
      </c>
      <c r="D128" s="213"/>
      <c r="E128" s="213">
        <v>114.5</v>
      </c>
      <c r="F128" s="213"/>
      <c r="G128" s="213"/>
      <c r="H128" s="213"/>
      <c r="I128" s="213"/>
      <c r="J128" s="213">
        <v>98.47</v>
      </c>
      <c r="K128" s="213"/>
      <c r="L128" s="213"/>
      <c r="M128" s="213"/>
      <c r="N128" s="213"/>
      <c r="O128" s="213"/>
      <c r="P128" s="213">
        <v>98.47</v>
      </c>
      <c r="Q128" s="214">
        <v>0.86</v>
      </c>
    </row>
    <row r="129" spans="1:17" x14ac:dyDescent="0.25">
      <c r="A129" s="88" t="s">
        <v>387</v>
      </c>
      <c r="B129" s="117" t="str">
        <f>VLOOKUP(A129,'0 Järjestäjätiedot'!A:H,2,FALSE)</f>
        <v>HAUS Kehittämiskeskus Oy</v>
      </c>
      <c r="C129" s="213">
        <v>26.832876712328634</v>
      </c>
      <c r="D129" s="213">
        <v>26.832876712328634</v>
      </c>
      <c r="E129" s="213"/>
      <c r="F129" s="213"/>
      <c r="G129" s="213">
        <v>14.462920547945144</v>
      </c>
      <c r="H129" s="213"/>
      <c r="I129" s="213"/>
      <c r="J129" s="213"/>
      <c r="K129" s="213"/>
      <c r="L129" s="213"/>
      <c r="M129" s="213"/>
      <c r="N129" s="213"/>
      <c r="O129" s="213"/>
      <c r="P129" s="213">
        <v>14.462920547945144</v>
      </c>
      <c r="Q129" s="214">
        <v>0.53900000000000048</v>
      </c>
    </row>
    <row r="130" spans="1:17" x14ac:dyDescent="0.25">
      <c r="A130" s="88" t="s">
        <v>368</v>
      </c>
      <c r="B130" s="117" t="str">
        <f>VLOOKUP(A130,'0 Järjestäjätiedot'!A:H,2,FALSE)</f>
        <v>Järviseudun Koulutuskuntayhtymä</v>
      </c>
      <c r="C130" s="213">
        <v>652.96290410959216</v>
      </c>
      <c r="D130" s="213">
        <v>648.0189041095922</v>
      </c>
      <c r="E130" s="213">
        <v>4.944</v>
      </c>
      <c r="F130" s="213">
        <v>546.78897260273357</v>
      </c>
      <c r="G130" s="213">
        <v>103.24016969862967</v>
      </c>
      <c r="H130" s="213"/>
      <c r="I130" s="213">
        <v>0.46356164383561044</v>
      </c>
      <c r="J130" s="213">
        <v>4.2518399999999996</v>
      </c>
      <c r="K130" s="213">
        <v>21.242465753424561</v>
      </c>
      <c r="L130" s="213">
        <v>29.115794520547329</v>
      </c>
      <c r="M130" s="213"/>
      <c r="N130" s="213"/>
      <c r="O130" s="213"/>
      <c r="P130" s="213">
        <v>705.10280421917332</v>
      </c>
      <c r="Q130" s="214">
        <v>1.0798512438936791</v>
      </c>
    </row>
    <row r="131" spans="1:17" x14ac:dyDescent="0.25">
      <c r="A131" s="88" t="s">
        <v>289</v>
      </c>
      <c r="B131" s="117" t="str">
        <f>VLOOKUP(A131,'0 Järjestäjätiedot'!A:H,2,FALSE)</f>
        <v>Savon Koulutuskuntayhtymä</v>
      </c>
      <c r="C131" s="213">
        <v>5711.8807397257315</v>
      </c>
      <c r="D131" s="213">
        <v>5664.2427397257316</v>
      </c>
      <c r="E131" s="213">
        <v>47.637999999999998</v>
      </c>
      <c r="F131" s="213">
        <v>4493.1698794521508</v>
      </c>
      <c r="G131" s="213">
        <v>755.81884650136521</v>
      </c>
      <c r="H131" s="213">
        <v>219.09854794520456</v>
      </c>
      <c r="I131" s="213"/>
      <c r="J131" s="213">
        <v>40.968679999999999</v>
      </c>
      <c r="K131" s="213">
        <v>447.22172602739164</v>
      </c>
      <c r="L131" s="213">
        <v>16.80655890410949</v>
      </c>
      <c r="M131" s="213">
        <v>-9.7599370361642599</v>
      </c>
      <c r="N131" s="213">
        <v>3.5405278082191485</v>
      </c>
      <c r="O131" s="213">
        <v>4.0591780821917549</v>
      </c>
      <c r="P131" s="213">
        <v>5970.9240076846736</v>
      </c>
      <c r="Q131" s="214">
        <v>1.045351659070421</v>
      </c>
    </row>
    <row r="132" spans="1:17" x14ac:dyDescent="0.25">
      <c r="A132" s="88" t="s">
        <v>353</v>
      </c>
      <c r="B132" s="117" t="str">
        <f>VLOOKUP(A132,'0 Järjestäjätiedot'!A:H,2,FALSE)</f>
        <v>KONE Hissit Oy</v>
      </c>
      <c r="C132" s="213">
        <v>45.659123287671051</v>
      </c>
      <c r="D132" s="213">
        <v>39.767123287671055</v>
      </c>
      <c r="E132" s="213">
        <v>5.8919999999999995</v>
      </c>
      <c r="F132" s="213"/>
      <c r="G132" s="213">
        <v>30.314478082191631</v>
      </c>
      <c r="H132" s="213"/>
      <c r="I132" s="213"/>
      <c r="J132" s="213">
        <v>5.0671200000000001</v>
      </c>
      <c r="K132" s="213"/>
      <c r="L132" s="213"/>
      <c r="M132" s="213">
        <v>-1.7496700000000001</v>
      </c>
      <c r="N132" s="213"/>
      <c r="O132" s="213"/>
      <c r="P132" s="213">
        <v>33.631928082191628</v>
      </c>
      <c r="Q132" s="214">
        <v>0.73658725048873142</v>
      </c>
    </row>
    <row r="133" spans="1:17" x14ac:dyDescent="0.25">
      <c r="A133" s="88" t="s">
        <v>345</v>
      </c>
      <c r="B133" s="117" t="str">
        <f>VLOOKUP(A133,'0 Järjestäjätiedot'!A:H,2,FALSE)</f>
        <v>Keski-Pohjanmaan Konservatorion Kannatusyhdistys Ry</v>
      </c>
      <c r="C133" s="213">
        <v>49.591780821917595</v>
      </c>
      <c r="D133" s="213">
        <v>49.591780821917595</v>
      </c>
      <c r="E133" s="213"/>
      <c r="F133" s="213">
        <v>78.850931506849008</v>
      </c>
      <c r="G133" s="213"/>
      <c r="H133" s="213"/>
      <c r="I133" s="213"/>
      <c r="J133" s="213"/>
      <c r="K133" s="213">
        <v>0.18904109589040999</v>
      </c>
      <c r="L133" s="213"/>
      <c r="M133" s="213"/>
      <c r="N133" s="213"/>
      <c r="O133" s="213"/>
      <c r="P133" s="213">
        <v>79.039972602739411</v>
      </c>
      <c r="Q133" s="214">
        <v>1.5938119440914871</v>
      </c>
    </row>
    <row r="134" spans="1:17" x14ac:dyDescent="0.25">
      <c r="A134" s="88" t="s">
        <v>350</v>
      </c>
      <c r="B134" s="117" t="str">
        <f>VLOOKUP(A134,'0 Järjestäjätiedot'!A:H,2,FALSE)</f>
        <v>Kotkan-Haminan seudun koulutuskuntayhtymä</v>
      </c>
      <c r="C134" s="213">
        <v>2343.2214520547564</v>
      </c>
      <c r="D134" s="213">
        <v>2341.9694520547564</v>
      </c>
      <c r="E134" s="213">
        <v>1.252</v>
      </c>
      <c r="F134" s="213">
        <v>1974.252916438332</v>
      </c>
      <c r="G134" s="213">
        <v>262.52760358903868</v>
      </c>
      <c r="H134" s="213">
        <v>57.103068493150275</v>
      </c>
      <c r="I134" s="213">
        <v>2.1130684931506738</v>
      </c>
      <c r="J134" s="213">
        <v>1.0767199999999999</v>
      </c>
      <c r="K134" s="213">
        <v>205.19186301369785</v>
      </c>
      <c r="L134" s="213">
        <v>13.150794520547835</v>
      </c>
      <c r="M134" s="213"/>
      <c r="N134" s="213">
        <v>3.2096247534246349</v>
      </c>
      <c r="O134" s="213"/>
      <c r="P134" s="213">
        <v>2518.6256593013909</v>
      </c>
      <c r="Q134" s="214">
        <v>1.0748560094876323</v>
      </c>
    </row>
    <row r="135" spans="1:17" x14ac:dyDescent="0.25">
      <c r="A135" s="88" t="s">
        <v>401</v>
      </c>
      <c r="B135" s="117" t="str">
        <f>VLOOKUP(A135,'0 Järjestäjätiedot'!A:H,2,FALSE)</f>
        <v>Axxell Utbildning Ab</v>
      </c>
      <c r="C135" s="213">
        <v>1699.7397310958779</v>
      </c>
      <c r="D135" s="213">
        <v>1642.1890410958779</v>
      </c>
      <c r="E135" s="213">
        <v>57.550690000000003</v>
      </c>
      <c r="F135" s="213">
        <v>1339.1342027397282</v>
      </c>
      <c r="G135" s="213">
        <v>258.707397315062</v>
      </c>
      <c r="H135" s="213"/>
      <c r="I135" s="213">
        <v>6.0842465753421768</v>
      </c>
      <c r="J135" s="213">
        <v>49.493594000000002</v>
      </c>
      <c r="K135" s="213">
        <v>76.753424657533927</v>
      </c>
      <c r="L135" s="213">
        <v>37.099780821917641</v>
      </c>
      <c r="M135" s="213"/>
      <c r="N135" s="213"/>
      <c r="O135" s="213"/>
      <c r="P135" s="213">
        <v>1767.2726461096424</v>
      </c>
      <c r="Q135" s="214">
        <v>1.0397313269662878</v>
      </c>
    </row>
    <row r="136" spans="1:17" x14ac:dyDescent="0.25">
      <c r="A136" s="88" t="s">
        <v>359</v>
      </c>
      <c r="B136" s="117" t="str">
        <f>VLOOKUP(A136,'0 Järjestäjätiedot'!A:H,2,FALSE)</f>
        <v>Kemi-Tornionlaakson koulutuskuntayhtymä Lappia</v>
      </c>
      <c r="C136" s="213">
        <v>2452.1273013698128</v>
      </c>
      <c r="D136" s="213">
        <v>2433.0543013698129</v>
      </c>
      <c r="E136" s="213">
        <v>19.073</v>
      </c>
      <c r="F136" s="213">
        <v>2039.1942027396972</v>
      </c>
      <c r="G136" s="213">
        <v>357.33118411506092</v>
      </c>
      <c r="H136" s="213">
        <v>24.839178082191662</v>
      </c>
      <c r="I136" s="213">
        <v>1.1627671232876651</v>
      </c>
      <c r="J136" s="213">
        <v>16.40278</v>
      </c>
      <c r="K136" s="213">
        <v>66.834109589040878</v>
      </c>
      <c r="L136" s="213">
        <v>64.250005479452213</v>
      </c>
      <c r="M136" s="213">
        <v>-1.52952993972602</v>
      </c>
      <c r="N136" s="213">
        <v>2.624745410958885</v>
      </c>
      <c r="O136" s="213">
        <v>0.72065753424657097</v>
      </c>
      <c r="P136" s="213">
        <v>2571.8301001342661</v>
      </c>
      <c r="Q136" s="214">
        <v>1.0488158990349257</v>
      </c>
    </row>
    <row r="137" spans="1:17" x14ac:dyDescent="0.25">
      <c r="A137" s="88" t="s">
        <v>385</v>
      </c>
      <c r="B137" s="117" t="str">
        <f>VLOOKUP(A137,'0 Järjestäjätiedot'!A:H,2,FALSE)</f>
        <v>Helsinki Business College Oy</v>
      </c>
      <c r="C137" s="213">
        <v>2022.9890410958501</v>
      </c>
      <c r="D137" s="213">
        <v>2022.9890410958501</v>
      </c>
      <c r="E137" s="213"/>
      <c r="F137" s="213">
        <v>1355.5328630136878</v>
      </c>
      <c r="G137" s="213">
        <v>127.78662630136932</v>
      </c>
      <c r="H137" s="213"/>
      <c r="I137" s="213">
        <v>108.39036986301264</v>
      </c>
      <c r="J137" s="213"/>
      <c r="K137" s="213">
        <v>71.09315068493099</v>
      </c>
      <c r="L137" s="213"/>
      <c r="M137" s="213"/>
      <c r="N137" s="213"/>
      <c r="O137" s="213"/>
      <c r="P137" s="213">
        <v>1662.8030098629938</v>
      </c>
      <c r="Q137" s="214">
        <v>0.82195354304156587</v>
      </c>
    </row>
    <row r="138" spans="1:17" x14ac:dyDescent="0.25">
      <c r="A138" s="88" t="s">
        <v>399</v>
      </c>
      <c r="B138" s="117" t="str">
        <f>VLOOKUP(A138,'0 Järjestäjätiedot'!A:H,2,FALSE)</f>
        <v>Cimson Koulutuspalvelut Oy</v>
      </c>
      <c r="C138" s="213">
        <v>10.424657534246508</v>
      </c>
      <c r="D138" s="213">
        <v>10.424657534246508</v>
      </c>
      <c r="E138" s="213"/>
      <c r="F138" s="213"/>
      <c r="G138" s="213">
        <v>5.61889041095887</v>
      </c>
      <c r="H138" s="213"/>
      <c r="I138" s="213"/>
      <c r="J138" s="213"/>
      <c r="K138" s="213"/>
      <c r="L138" s="213"/>
      <c r="M138" s="213"/>
      <c r="N138" s="213">
        <v>1.4047226027397175</v>
      </c>
      <c r="O138" s="213"/>
      <c r="P138" s="213">
        <v>7.0236130136985837</v>
      </c>
      <c r="Q138" s="214">
        <v>0.67374999999999985</v>
      </c>
    </row>
    <row r="139" spans="1:17" x14ac:dyDescent="0.25">
      <c r="A139" s="88" t="s">
        <v>329</v>
      </c>
      <c r="B139" s="117" t="str">
        <f>VLOOKUP(A139,'0 Järjestäjätiedot'!A:H,2,FALSE)</f>
        <v>Länsirannikon Koulutus Oy</v>
      </c>
      <c r="C139" s="213">
        <v>4314.8379452053168</v>
      </c>
      <c r="D139" s="213">
        <v>4174.7079452053167</v>
      </c>
      <c r="E139" s="213">
        <v>140.13000000000002</v>
      </c>
      <c r="F139" s="213">
        <v>3287.4529589042077</v>
      </c>
      <c r="G139" s="213">
        <v>728.1814603287587</v>
      </c>
      <c r="H139" s="213">
        <v>51.080630136985974</v>
      </c>
      <c r="I139" s="213">
        <v>5.3077808219176585</v>
      </c>
      <c r="J139" s="213">
        <v>120.51180000000001</v>
      </c>
      <c r="K139" s="213">
        <v>254.92684931506685</v>
      </c>
      <c r="L139" s="213">
        <v>38.651479452054744</v>
      </c>
      <c r="M139" s="213">
        <v>-5.7704923150684637</v>
      </c>
      <c r="N139" s="213">
        <v>8.5578221917808506</v>
      </c>
      <c r="O139" s="213"/>
      <c r="P139" s="213">
        <v>4488.9002888357591</v>
      </c>
      <c r="Q139" s="214">
        <v>1.0403404127433953</v>
      </c>
    </row>
    <row r="140" spans="1:17" x14ac:dyDescent="0.25">
      <c r="A140" s="88" t="s">
        <v>395</v>
      </c>
      <c r="B140" s="117" t="str">
        <f>VLOOKUP(A140,'0 Järjestäjätiedot'!A:H,2,FALSE)</f>
        <v>Etelä-Savon Koulutus Oy</v>
      </c>
      <c r="C140" s="213">
        <v>2391.53078082191</v>
      </c>
      <c r="D140" s="213">
        <v>2349.71178082191</v>
      </c>
      <c r="E140" s="213">
        <v>41.819000000000003</v>
      </c>
      <c r="F140" s="213">
        <v>2328.0403972602721</v>
      </c>
      <c r="G140" s="213">
        <v>192.21374775342306</v>
      </c>
      <c r="H140" s="213">
        <v>38.746027397260036</v>
      </c>
      <c r="I140" s="213"/>
      <c r="J140" s="213">
        <v>35.96434</v>
      </c>
      <c r="K140" s="213">
        <v>152.34901369862868</v>
      </c>
      <c r="L140" s="213">
        <v>39.52542465753411</v>
      </c>
      <c r="M140" s="213"/>
      <c r="N140" s="213">
        <v>0.2774663356164353</v>
      </c>
      <c r="O140" s="213"/>
      <c r="P140" s="213">
        <v>2787.1164171027344</v>
      </c>
      <c r="Q140" s="214">
        <v>1.1654110578266805</v>
      </c>
    </row>
    <row r="141" spans="1:17" x14ac:dyDescent="0.25">
      <c r="A141" s="88" t="s">
        <v>380</v>
      </c>
      <c r="B141" s="117" t="str">
        <f>VLOOKUP(A141,'0 Järjestäjätiedot'!A:H,2,FALSE)</f>
        <v>Hyria koulutus Oy</v>
      </c>
      <c r="C141" s="213">
        <v>3403.4801369861825</v>
      </c>
      <c r="D141" s="213">
        <v>3375.4301369861823</v>
      </c>
      <c r="E141" s="213">
        <v>28.05</v>
      </c>
      <c r="F141" s="213">
        <v>2847.9324958905077</v>
      </c>
      <c r="G141" s="213">
        <v>413.01469271231338</v>
      </c>
      <c r="H141" s="213">
        <v>64.431205479451734</v>
      </c>
      <c r="I141" s="213">
        <v>1.5722465753424504</v>
      </c>
      <c r="J141" s="213">
        <v>24.123000000000001</v>
      </c>
      <c r="K141" s="213">
        <v>222.27254794520408</v>
      </c>
      <c r="L141" s="213">
        <v>7.5016602739725275</v>
      </c>
      <c r="M141" s="213">
        <v>-0.51157639726025839</v>
      </c>
      <c r="N141" s="213">
        <v>2.9499965753424457</v>
      </c>
      <c r="O141" s="213">
        <v>14.625928767123163</v>
      </c>
      <c r="P141" s="213">
        <v>3597.9121978221606</v>
      </c>
      <c r="Q141" s="214">
        <v>1.057127426343125</v>
      </c>
    </row>
    <row r="142" spans="1:17" x14ac:dyDescent="0.25">
      <c r="A142" s="88" t="s">
        <v>392</v>
      </c>
      <c r="B142" s="117" t="str">
        <f>VLOOKUP(A142,'0 Järjestäjätiedot'!A:H,2,FALSE)</f>
        <v>Folkhälsan Utbildning Ab</v>
      </c>
      <c r="C142" s="213">
        <v>101.20756164383486</v>
      </c>
      <c r="D142" s="213">
        <v>101.20756164383486</v>
      </c>
      <c r="E142" s="213"/>
      <c r="F142" s="213">
        <v>138.09041095890288</v>
      </c>
      <c r="G142" s="213">
        <v>10.945291364383447</v>
      </c>
      <c r="H142" s="213"/>
      <c r="I142" s="213"/>
      <c r="J142" s="213"/>
      <c r="K142" s="213">
        <v>7.9698630136985829</v>
      </c>
      <c r="L142" s="213">
        <v>27.294767123287464</v>
      </c>
      <c r="M142" s="213"/>
      <c r="N142" s="213"/>
      <c r="O142" s="213"/>
      <c r="P142" s="213">
        <v>184.30033246027253</v>
      </c>
      <c r="Q142" s="214">
        <v>1.8210134644766369</v>
      </c>
    </row>
    <row r="143" spans="1:17" x14ac:dyDescent="0.25">
      <c r="A143" s="88" t="s">
        <v>323</v>
      </c>
      <c r="B143" s="117" t="str">
        <f>VLOOKUP(A143,'0 Järjestäjätiedot'!A:H,2,FALSE)</f>
        <v>Management Institute of Finland MIF Oy</v>
      </c>
      <c r="C143" s="213">
        <v>97.758904109588528</v>
      </c>
      <c r="D143" s="213">
        <v>97.758904109588528</v>
      </c>
      <c r="E143" s="213"/>
      <c r="F143" s="213"/>
      <c r="G143" s="213">
        <v>59.373919452054565</v>
      </c>
      <c r="H143" s="213"/>
      <c r="I143" s="213"/>
      <c r="J143" s="213"/>
      <c r="K143" s="213"/>
      <c r="L143" s="213"/>
      <c r="M143" s="213"/>
      <c r="N143" s="213"/>
      <c r="O143" s="213"/>
      <c r="P143" s="213">
        <v>59.373919452054565</v>
      </c>
      <c r="Q143" s="214">
        <v>0.60735050165349558</v>
      </c>
    </row>
    <row r="144" spans="1:17" x14ac:dyDescent="0.25">
      <c r="A144" s="88" t="s">
        <v>379</v>
      </c>
      <c r="B144" s="117" t="str">
        <f>VLOOKUP(A144,'0 Järjestäjätiedot'!A:H,2,FALSE)</f>
        <v>Hämeen ammatti-instituutti Oy</v>
      </c>
      <c r="C144" s="213">
        <v>531.22501369861777</v>
      </c>
      <c r="D144" s="213">
        <v>530.70301369861772</v>
      </c>
      <c r="E144" s="213">
        <v>0.52200000000000002</v>
      </c>
      <c r="F144" s="213">
        <v>446.45870136985963</v>
      </c>
      <c r="G144" s="213">
        <v>202.80352821917728</v>
      </c>
      <c r="H144" s="213"/>
      <c r="I144" s="213"/>
      <c r="J144" s="213">
        <v>0.44891999999999999</v>
      </c>
      <c r="K144" s="213">
        <v>11.901369863013667</v>
      </c>
      <c r="L144" s="213">
        <v>39.522876712328724</v>
      </c>
      <c r="M144" s="213">
        <v>-5.5626957041095491</v>
      </c>
      <c r="N144" s="213"/>
      <c r="O144" s="213"/>
      <c r="P144" s="213">
        <v>695.57270046027043</v>
      </c>
      <c r="Q144" s="214">
        <v>1.3093749023928536</v>
      </c>
    </row>
    <row r="145" spans="1:17" x14ac:dyDescent="0.25">
      <c r="A145" s="88" t="s">
        <v>310</v>
      </c>
      <c r="B145" s="117" t="str">
        <f>VLOOKUP(A145,'0 Järjestäjätiedot'!A:H,2,FALSE)</f>
        <v>Perho Liiketalousopisto Oy</v>
      </c>
      <c r="C145" s="213">
        <v>1419.2942465753526</v>
      </c>
      <c r="D145" s="213">
        <v>1419.2942465753526</v>
      </c>
      <c r="E145" s="213"/>
      <c r="F145" s="213">
        <v>1055.8876712328663</v>
      </c>
      <c r="G145" s="213">
        <v>126.92979139725966</v>
      </c>
      <c r="H145" s="213"/>
      <c r="I145" s="213">
        <v>4.9794246575342047</v>
      </c>
      <c r="J145" s="213"/>
      <c r="K145" s="213">
        <v>55.865753424657413</v>
      </c>
      <c r="L145" s="213"/>
      <c r="M145" s="213">
        <v>-0.52492186849314793</v>
      </c>
      <c r="N145" s="213">
        <v>0.99829972602738548</v>
      </c>
      <c r="O145" s="213"/>
      <c r="P145" s="213">
        <v>1244.1360185698491</v>
      </c>
      <c r="Q145" s="214">
        <v>0.87658779817634946</v>
      </c>
    </row>
    <row r="146" spans="1:17" x14ac:dyDescent="0.25">
      <c r="A146" s="88" t="s">
        <v>287</v>
      </c>
      <c r="B146" s="117" t="str">
        <f>VLOOKUP(A146,'0 Järjestäjätiedot'!A:H,2,FALSE)</f>
        <v>Suomen Diakoniaopisto - SDO Oy</v>
      </c>
      <c r="C146" s="213">
        <v>1762.9928767122969</v>
      </c>
      <c r="D146" s="213">
        <v>1759.7528767122969</v>
      </c>
      <c r="E146" s="213">
        <v>3.24</v>
      </c>
      <c r="F146" s="213">
        <v>1546.7732876711932</v>
      </c>
      <c r="G146" s="213">
        <v>68.735752438355632</v>
      </c>
      <c r="H146" s="213">
        <v>127.95073972602657</v>
      </c>
      <c r="I146" s="213">
        <v>5.7945205479451136</v>
      </c>
      <c r="J146" s="213">
        <v>2.7864</v>
      </c>
      <c r="K146" s="213">
        <v>172.27876712328589</v>
      </c>
      <c r="L146" s="213">
        <v>1.0850958904109518</v>
      </c>
      <c r="M146" s="213"/>
      <c r="N146" s="213"/>
      <c r="O146" s="213"/>
      <c r="P146" s="213">
        <v>1925.404563397246</v>
      </c>
      <c r="Q146" s="214">
        <v>1.0921227129333737</v>
      </c>
    </row>
    <row r="147" spans="1:17" x14ac:dyDescent="0.25">
      <c r="A147" s="88" t="s">
        <v>403</v>
      </c>
      <c r="B147" s="117" t="str">
        <f>VLOOKUP(A147,'0 Järjestäjätiedot'!A:H,2,FALSE)</f>
        <v>Air Navigation Services Finland Oy</v>
      </c>
      <c r="C147" s="213">
        <v>23.726986301369855</v>
      </c>
      <c r="D147" s="213">
        <v>1.3369863013698549</v>
      </c>
      <c r="E147" s="213">
        <v>22.39</v>
      </c>
      <c r="F147" s="213">
        <v>1.3236164383561573</v>
      </c>
      <c r="G147" s="213"/>
      <c r="H147" s="213"/>
      <c r="I147" s="213"/>
      <c r="J147" s="213">
        <v>19.255400000000002</v>
      </c>
      <c r="K147" s="213"/>
      <c r="L147" s="213"/>
      <c r="M147" s="213"/>
      <c r="N147" s="213"/>
      <c r="O147" s="213"/>
      <c r="P147" s="213">
        <v>20.57901643835616</v>
      </c>
      <c r="Q147" s="214">
        <v>0.86732533904518883</v>
      </c>
    </row>
    <row r="148" spans="1:17" x14ac:dyDescent="0.25">
      <c r="A148" s="88" t="s">
        <v>404</v>
      </c>
      <c r="B148" s="117" t="str">
        <f>VLOOKUP(A148,'0 Järjestäjätiedot'!A:H,2,FALSE)</f>
        <v>Ammattiopisto Spesia Oy</v>
      </c>
      <c r="C148" s="213">
        <v>1014.9972602739895</v>
      </c>
      <c r="D148" s="213">
        <v>1014.9972602739895</v>
      </c>
      <c r="E148" s="213"/>
      <c r="F148" s="213">
        <v>645.65224657532622</v>
      </c>
      <c r="G148" s="213">
        <v>1.2681794520547882</v>
      </c>
      <c r="H148" s="213">
        <v>503.1227671232819</v>
      </c>
      <c r="I148" s="213"/>
      <c r="J148" s="213"/>
      <c r="K148" s="213">
        <v>3544.5252328767288</v>
      </c>
      <c r="L148" s="213">
        <v>304.76676712327725</v>
      </c>
      <c r="M148" s="213"/>
      <c r="N148" s="213"/>
      <c r="O148" s="213"/>
      <c r="P148" s="213">
        <v>4999.3351931506731</v>
      </c>
      <c r="Q148" s="214">
        <v>4.9254666872708039</v>
      </c>
    </row>
    <row r="149" spans="1:17" x14ac:dyDescent="0.25">
      <c r="A149" s="88" t="s">
        <v>237</v>
      </c>
      <c r="B149" s="117" t="str">
        <f>VLOOKUP(A149,'0 Järjestäjätiedot'!A:H,2,FALSE)</f>
        <v>Careeria Oy</v>
      </c>
      <c r="C149" s="213">
        <v>3013.3652054793215</v>
      </c>
      <c r="D149" s="213">
        <v>2953.5852054793213</v>
      </c>
      <c r="E149" s="213">
        <v>59.78</v>
      </c>
      <c r="F149" s="213">
        <v>2027.8765945206239</v>
      </c>
      <c r="G149" s="213">
        <v>512.25436010957503</v>
      </c>
      <c r="H149" s="213">
        <v>67.548657534245649</v>
      </c>
      <c r="I149" s="213">
        <v>11.776397260273878</v>
      </c>
      <c r="J149" s="213">
        <v>51.410800000000002</v>
      </c>
      <c r="K149" s="213">
        <v>101.2890410958891</v>
      </c>
      <c r="L149" s="213">
        <v>6.6535342465752692</v>
      </c>
      <c r="M149" s="213">
        <v>-8.8624071287670461</v>
      </c>
      <c r="N149" s="213">
        <v>5.6224661643835345</v>
      </c>
      <c r="O149" s="213"/>
      <c r="P149" s="213">
        <v>2775.5694438027708</v>
      </c>
      <c r="Q149" s="214">
        <v>0.92108631199293245</v>
      </c>
    </row>
    <row r="150" spans="1:17" x14ac:dyDescent="0.25">
      <c r="A150" s="88" t="s">
        <v>585</v>
      </c>
      <c r="B150" s="117" t="str">
        <f>VLOOKUP(A150,'0 Järjestäjätiedot'!A:H,2,FALSE)</f>
        <v>Turun musiikinopetus Oy</v>
      </c>
      <c r="C150" s="213">
        <v>77.964383561643572</v>
      </c>
      <c r="D150" s="213">
        <v>77.964383561643572</v>
      </c>
      <c r="E150" s="213"/>
      <c r="F150" s="213">
        <v>121.80271232876675</v>
      </c>
      <c r="G150" s="213">
        <v>1.2870180821917683</v>
      </c>
      <c r="H150" s="213"/>
      <c r="I150" s="213"/>
      <c r="J150" s="213"/>
      <c r="K150" s="213"/>
      <c r="L150" s="213"/>
      <c r="M150" s="213"/>
      <c r="N150" s="213"/>
      <c r="O150" s="213"/>
      <c r="P150" s="213">
        <v>123.08973041095855</v>
      </c>
      <c r="Q150" s="214">
        <v>1.5787943774818158</v>
      </c>
    </row>
    <row r="151" spans="1:17" x14ac:dyDescent="0.25">
      <c r="A151" s="88" t="s">
        <v>583</v>
      </c>
      <c r="B151" s="117" t="str">
        <f>VLOOKUP(A151,'0 Järjestäjätiedot'!A:H,2,FALSE)</f>
        <v>AEL-Amiedu Oy</v>
      </c>
      <c r="C151" s="213">
        <v>3571.4546575341083</v>
      </c>
      <c r="D151" s="213">
        <v>3532.944657534108</v>
      </c>
      <c r="E151" s="213">
        <v>38.510000000000005</v>
      </c>
      <c r="F151" s="213">
        <v>1335.3079835616161</v>
      </c>
      <c r="G151" s="213">
        <v>1493.0416153972615</v>
      </c>
      <c r="H151" s="213">
        <v>38.355863013698382</v>
      </c>
      <c r="I151" s="213"/>
      <c r="J151" s="213">
        <v>33.118600000000001</v>
      </c>
      <c r="K151" s="213">
        <v>1.0945205479451965</v>
      </c>
      <c r="L151" s="213"/>
      <c r="M151" s="213">
        <v>-24.248397703561434</v>
      </c>
      <c r="N151" s="213">
        <v>10.169499246575313</v>
      </c>
      <c r="O151" s="213"/>
      <c r="P151" s="213">
        <v>2886.8396840636433</v>
      </c>
      <c r="Q151" s="214">
        <v>0.80830920755881797</v>
      </c>
    </row>
    <row r="152" spans="1:17" x14ac:dyDescent="0.25">
      <c r="A152" s="39" t="s">
        <v>21</v>
      </c>
      <c r="B152" s="39"/>
      <c r="C152" s="215">
        <v>169776.2030598608</v>
      </c>
      <c r="D152" s="215">
        <v>167589.29038355942</v>
      </c>
      <c r="E152" s="215">
        <v>2186.9126763013692</v>
      </c>
      <c r="F152" s="215">
        <v>134973.16989725918</v>
      </c>
      <c r="G152" s="215">
        <v>23204.536088347886</v>
      </c>
      <c r="H152" s="215">
        <v>5934.7688054794417</v>
      </c>
      <c r="I152" s="215">
        <v>390.73688219178206</v>
      </c>
      <c r="J152" s="215">
        <v>1880.5238940000004</v>
      </c>
      <c r="K152" s="215">
        <v>22688.052252054786</v>
      </c>
      <c r="L152" s="215">
        <v>3090.9407430136903</v>
      </c>
      <c r="M152" s="215">
        <v>-316.92361330882034</v>
      </c>
      <c r="N152" s="215">
        <v>175.03073638355986</v>
      </c>
      <c r="O152" s="215">
        <v>141.23029041095867</v>
      </c>
      <c r="P152" s="215">
        <v>192162.0659758329</v>
      </c>
      <c r="Q152" s="216">
        <v>1.1318551275886326</v>
      </c>
    </row>
    <row r="154" spans="1:17" x14ac:dyDescent="0.25">
      <c r="A154" t="s">
        <v>645</v>
      </c>
    </row>
    <row r="155" spans="1:17" x14ac:dyDescent="0.25">
      <c r="A155" s="193" t="s">
        <v>646</v>
      </c>
    </row>
  </sheetData>
  <hyperlinks>
    <hyperlink ref="A155" r:id="rId1"/>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4"/>
  <sheetViews>
    <sheetView zoomScale="90" zoomScaleNormal="90" workbookViewId="0">
      <pane xSplit="2" ySplit="4" topLeftCell="C117" activePane="bottomRight" state="frozen"/>
      <selection pane="topRight" activeCell="C1" sqref="C1"/>
      <selection pane="bottomLeft" activeCell="A5" sqref="A5"/>
      <selection pane="bottomRight"/>
    </sheetView>
  </sheetViews>
  <sheetFormatPr defaultColWidth="19.5703125" defaultRowHeight="15" x14ac:dyDescent="0.25"/>
  <cols>
    <col min="1" max="1" width="11.7109375" customWidth="1"/>
    <col min="2" max="2" width="45.7109375" customWidth="1"/>
    <col min="3" max="17" width="17.42578125" customWidth="1"/>
  </cols>
  <sheetData>
    <row r="1" spans="1:17" ht="19.5" x14ac:dyDescent="0.3">
      <c r="A1" s="5" t="s">
        <v>458</v>
      </c>
      <c r="B1" s="5"/>
    </row>
    <row r="2" spans="1:17" ht="15.75" x14ac:dyDescent="0.25">
      <c r="A2" s="6" t="s">
        <v>191</v>
      </c>
      <c r="B2" s="6"/>
    </row>
    <row r="3" spans="1:17" x14ac:dyDescent="0.25">
      <c r="A3" s="14" t="s">
        <v>706</v>
      </c>
      <c r="P3" s="10"/>
    </row>
    <row r="4" spans="1:17" ht="96" x14ac:dyDescent="0.25">
      <c r="A4" s="38" t="s">
        <v>12</v>
      </c>
      <c r="B4" s="115"/>
      <c r="C4" s="38" t="s">
        <v>1</v>
      </c>
      <c r="D4" s="38" t="s">
        <v>2</v>
      </c>
      <c r="E4" s="38" t="s">
        <v>3</v>
      </c>
      <c r="F4" s="38" t="s">
        <v>4</v>
      </c>
      <c r="G4" s="38" t="s">
        <v>5</v>
      </c>
      <c r="H4" s="38" t="s">
        <v>6</v>
      </c>
      <c r="I4" s="38" t="s">
        <v>7</v>
      </c>
      <c r="J4" s="38" t="s">
        <v>8</v>
      </c>
      <c r="K4" s="38" t="s">
        <v>9</v>
      </c>
      <c r="L4" s="38" t="s">
        <v>10</v>
      </c>
      <c r="M4" s="38" t="s">
        <v>437</v>
      </c>
      <c r="N4" s="38" t="s">
        <v>438</v>
      </c>
      <c r="O4" s="38" t="s">
        <v>477</v>
      </c>
      <c r="P4" s="38" t="s">
        <v>11</v>
      </c>
      <c r="Q4" s="38" t="s">
        <v>478</v>
      </c>
    </row>
    <row r="5" spans="1:17" ht="15" customHeight="1" x14ac:dyDescent="0.25">
      <c r="A5" s="88" t="s">
        <v>360</v>
      </c>
      <c r="B5" s="116" t="str">
        <f>VLOOKUP(A5,'0 Järjestäjätiedot'!A:H,2,FALSE)</f>
        <v>Kellosepäntaidon Edistämissäätiö sr</v>
      </c>
      <c r="C5" s="223">
        <v>24</v>
      </c>
      <c r="D5" s="223"/>
      <c r="E5" s="223">
        <v>218</v>
      </c>
      <c r="F5" s="223"/>
      <c r="G5" s="213">
        <v>1176.119136</v>
      </c>
      <c r="H5" s="213"/>
      <c r="I5" s="213"/>
      <c r="J5" s="213">
        <v>3732.6</v>
      </c>
      <c r="K5" s="213"/>
      <c r="L5" s="213"/>
      <c r="M5" s="213">
        <v>1176.119136</v>
      </c>
      <c r="N5" s="213">
        <v>3732.6</v>
      </c>
      <c r="O5" s="213">
        <v>3732.6</v>
      </c>
      <c r="P5" s="213">
        <v>4908.7191359999997</v>
      </c>
      <c r="Q5" s="219">
        <v>3.136880563258374E-4</v>
      </c>
    </row>
    <row r="6" spans="1:17" ht="15" customHeight="1" x14ac:dyDescent="0.25">
      <c r="A6" s="88" t="s">
        <v>284</v>
      </c>
      <c r="B6" s="116" t="str">
        <f>VLOOKUP(A6,'0 Järjestäjätiedot'!A:H,2,FALSE)</f>
        <v>Suomen kansallisooppera ja -baletti sr</v>
      </c>
      <c r="C6" s="223">
        <v>10</v>
      </c>
      <c r="D6" s="223"/>
      <c r="E6" s="223">
        <v>130</v>
      </c>
      <c r="F6" s="223"/>
      <c r="G6" s="213">
        <v>885.6</v>
      </c>
      <c r="H6" s="213"/>
      <c r="I6" s="213"/>
      <c r="J6" s="213">
        <v>2066.58</v>
      </c>
      <c r="K6" s="213"/>
      <c r="L6" s="213"/>
      <c r="M6" s="213">
        <v>885.6</v>
      </c>
      <c r="N6" s="213">
        <v>2066.58</v>
      </c>
      <c r="O6" s="213">
        <v>2066.58</v>
      </c>
      <c r="P6" s="213">
        <v>2952.18</v>
      </c>
      <c r="Q6" s="219">
        <v>1.8865687371118122E-4</v>
      </c>
    </row>
    <row r="7" spans="1:17" ht="15" customHeight="1" x14ac:dyDescent="0.25">
      <c r="A7" s="88" t="s">
        <v>249</v>
      </c>
      <c r="B7" s="116" t="str">
        <f>VLOOKUP(A7,'0 Järjestäjätiedot'!A:H,2,FALSE)</f>
        <v>Vantaan kaupunki</v>
      </c>
      <c r="C7" s="223">
        <v>1406</v>
      </c>
      <c r="D7" s="223">
        <v>249</v>
      </c>
      <c r="E7" s="223">
        <v>8588</v>
      </c>
      <c r="F7" s="223">
        <v>730</v>
      </c>
      <c r="G7" s="213">
        <v>92647.358802000002</v>
      </c>
      <c r="H7" s="213">
        <v>3300.0906730000006</v>
      </c>
      <c r="I7" s="213">
        <v>468</v>
      </c>
      <c r="J7" s="213">
        <v>174288.72</v>
      </c>
      <c r="K7" s="213">
        <v>16929.661500016035</v>
      </c>
      <c r="L7" s="213">
        <v>2486.5</v>
      </c>
      <c r="M7" s="213">
        <v>96415.449475000001</v>
      </c>
      <c r="N7" s="213">
        <v>193704.88150001602</v>
      </c>
      <c r="O7" s="213">
        <v>193704.88150001602</v>
      </c>
      <c r="P7" s="213">
        <v>290120.330975016</v>
      </c>
      <c r="Q7" s="219">
        <v>1.8539924612252536E-2</v>
      </c>
    </row>
    <row r="8" spans="1:17" ht="15" customHeight="1" x14ac:dyDescent="0.25">
      <c r="A8" s="88" t="s">
        <v>355</v>
      </c>
      <c r="B8" s="116" t="str">
        <f>VLOOKUP(A8,'0 Järjestäjätiedot'!A:H,2,FALSE)</f>
        <v>Kisakalliosäätiö sr</v>
      </c>
      <c r="C8" s="223">
        <v>46</v>
      </c>
      <c r="D8" s="223">
        <v>28</v>
      </c>
      <c r="E8" s="223">
        <v>424</v>
      </c>
      <c r="F8" s="223">
        <v>99</v>
      </c>
      <c r="G8" s="213">
        <v>4618.6075619999992</v>
      </c>
      <c r="H8" s="213">
        <v>367.41564099999999</v>
      </c>
      <c r="I8" s="213">
        <v>72</v>
      </c>
      <c r="J8" s="213">
        <v>11711.15</v>
      </c>
      <c r="K8" s="213">
        <v>2405.7000000000003</v>
      </c>
      <c r="L8" s="213">
        <v>178.5</v>
      </c>
      <c r="M8" s="213">
        <v>5058.0232029999988</v>
      </c>
      <c r="N8" s="213">
        <v>14295.35</v>
      </c>
      <c r="O8" s="213">
        <v>14295.35</v>
      </c>
      <c r="P8" s="213">
        <v>19353.373202999999</v>
      </c>
      <c r="Q8" s="219">
        <v>1.2367629630455222E-3</v>
      </c>
    </row>
    <row r="9" spans="1:17" ht="15" customHeight="1" x14ac:dyDescent="0.25">
      <c r="A9" s="88" t="s">
        <v>293</v>
      </c>
      <c r="B9" s="116" t="str">
        <f>VLOOKUP(A9,'0 Järjestäjätiedot'!A:H,2,FALSE)</f>
        <v>Salon Seudun Koulutuskuntayhtymä</v>
      </c>
      <c r="C9" s="223">
        <v>719</v>
      </c>
      <c r="D9" s="223">
        <v>236</v>
      </c>
      <c r="E9" s="223">
        <v>6409</v>
      </c>
      <c r="F9" s="223">
        <v>686</v>
      </c>
      <c r="G9" s="213">
        <v>41326.458749999998</v>
      </c>
      <c r="H9" s="213">
        <v>3475.0578259999979</v>
      </c>
      <c r="I9" s="213">
        <v>4176</v>
      </c>
      <c r="J9" s="213">
        <v>117169.29</v>
      </c>
      <c r="K9" s="213">
        <v>14808.274200000007</v>
      </c>
      <c r="L9" s="213">
        <v>9522.75</v>
      </c>
      <c r="M9" s="213">
        <v>48977.516575999995</v>
      </c>
      <c r="N9" s="213">
        <v>141500.31419999999</v>
      </c>
      <c r="O9" s="213">
        <v>141500.31419999999</v>
      </c>
      <c r="P9" s="213">
        <v>190477.83077599999</v>
      </c>
      <c r="Q9" s="219">
        <v>1.2172344526921657E-2</v>
      </c>
    </row>
    <row r="10" spans="1:17" ht="15" customHeight="1" x14ac:dyDescent="0.25">
      <c r="A10" s="88" t="s">
        <v>264</v>
      </c>
      <c r="B10" s="116" t="str">
        <f>VLOOKUP(A10,'0 Järjestäjätiedot'!A:H,2,FALSE)</f>
        <v>Turun Aikuiskoulutussäätiö sr</v>
      </c>
      <c r="C10" s="223">
        <v>204</v>
      </c>
      <c r="D10" s="223">
        <v>536</v>
      </c>
      <c r="E10" s="223">
        <v>1436</v>
      </c>
      <c r="F10" s="223">
        <v>2114</v>
      </c>
      <c r="G10" s="213">
        <v>10332.629028000001</v>
      </c>
      <c r="H10" s="213">
        <v>9417.7476110000007</v>
      </c>
      <c r="I10" s="213"/>
      <c r="J10" s="213">
        <v>32624.750000000004</v>
      </c>
      <c r="K10" s="213">
        <v>43989.444514297182</v>
      </c>
      <c r="L10" s="213"/>
      <c r="M10" s="213">
        <v>19750.376639000002</v>
      </c>
      <c r="N10" s="213">
        <v>76614.194514297182</v>
      </c>
      <c r="O10" s="213">
        <v>76614.194514297182</v>
      </c>
      <c r="P10" s="213">
        <v>96364.571153297176</v>
      </c>
      <c r="Q10" s="219">
        <v>6.1581064604122118E-3</v>
      </c>
    </row>
    <row r="11" spans="1:17" ht="15" customHeight="1" x14ac:dyDescent="0.25">
      <c r="A11" s="88" t="s">
        <v>357</v>
      </c>
      <c r="B11" s="116" t="str">
        <f>VLOOKUP(A11,'0 Järjestäjätiedot'!A:H,2,FALSE)</f>
        <v>Kiipulasäätiö sr</v>
      </c>
      <c r="C11" s="223">
        <v>128</v>
      </c>
      <c r="D11" s="223">
        <v>54</v>
      </c>
      <c r="E11" s="223">
        <v>1802</v>
      </c>
      <c r="F11" s="223">
        <v>133</v>
      </c>
      <c r="G11" s="213">
        <v>8622.1787399999994</v>
      </c>
      <c r="H11" s="213">
        <v>768.85105800000008</v>
      </c>
      <c r="I11" s="213">
        <v>19567.439999999999</v>
      </c>
      <c r="J11" s="213">
        <v>28236.889999999996</v>
      </c>
      <c r="K11" s="213">
        <v>2955.2579999999998</v>
      </c>
      <c r="L11" s="213">
        <v>70203.779999999984</v>
      </c>
      <c r="M11" s="213">
        <v>28958.469797999998</v>
      </c>
      <c r="N11" s="213">
        <v>101395.92799999999</v>
      </c>
      <c r="O11" s="213">
        <v>101395.92799999999</v>
      </c>
      <c r="P11" s="213">
        <v>130354.39779799999</v>
      </c>
      <c r="Q11" s="219">
        <v>8.3302011269889929E-3</v>
      </c>
    </row>
    <row r="12" spans="1:17" ht="15" customHeight="1" x14ac:dyDescent="0.25">
      <c r="A12" s="88" t="s">
        <v>335</v>
      </c>
      <c r="B12" s="116" t="str">
        <f>VLOOKUP(A12,'0 Järjestäjätiedot'!A:H,2,FALSE)</f>
        <v>Lahden Konservatorio Oy</v>
      </c>
      <c r="C12" s="223">
        <v>19</v>
      </c>
      <c r="D12" s="223"/>
      <c r="E12" s="223">
        <v>170</v>
      </c>
      <c r="F12" s="223"/>
      <c r="G12" s="213">
        <v>1745.8192979999999</v>
      </c>
      <c r="H12" s="213"/>
      <c r="I12" s="213"/>
      <c r="J12" s="213">
        <v>4834.13</v>
      </c>
      <c r="K12" s="213"/>
      <c r="L12" s="213"/>
      <c r="M12" s="213">
        <v>1745.8192979999999</v>
      </c>
      <c r="N12" s="213">
        <v>4834.13</v>
      </c>
      <c r="O12" s="213">
        <v>4834.13</v>
      </c>
      <c r="P12" s="213">
        <v>6579.9492979999995</v>
      </c>
      <c r="Q12" s="219">
        <v>4.2048678052786806E-4</v>
      </c>
    </row>
    <row r="13" spans="1:17" ht="15" customHeight="1" x14ac:dyDescent="0.25">
      <c r="A13" s="88" t="s">
        <v>336</v>
      </c>
      <c r="B13" s="116" t="str">
        <f>VLOOKUP(A13,'0 Järjestäjätiedot'!A:H,2,FALSE)</f>
        <v>Lahden kansanopiston säätiö sr</v>
      </c>
      <c r="C13" s="223"/>
      <c r="D13" s="223">
        <v>23</v>
      </c>
      <c r="E13" s="223"/>
      <c r="F13" s="223">
        <v>101</v>
      </c>
      <c r="G13" s="213"/>
      <c r="H13" s="213">
        <v>538.87599299999999</v>
      </c>
      <c r="I13" s="213"/>
      <c r="J13" s="213"/>
      <c r="K13" s="213">
        <v>1864.4175</v>
      </c>
      <c r="L13" s="213"/>
      <c r="M13" s="213">
        <v>538.87599299999999</v>
      </c>
      <c r="N13" s="213">
        <v>1864.4175</v>
      </c>
      <c r="O13" s="213">
        <v>1796.2560000000001</v>
      </c>
      <c r="P13" s="213">
        <v>2335.131993</v>
      </c>
      <c r="Q13" s="219">
        <v>1.4922487839574142E-4</v>
      </c>
    </row>
    <row r="14" spans="1:17" ht="15" customHeight="1" x14ac:dyDescent="0.25">
      <c r="A14" s="88" t="s">
        <v>405</v>
      </c>
      <c r="B14" s="116" t="str">
        <f>VLOOKUP(A14,'0 Järjestäjätiedot'!A:H,2,FALSE)</f>
        <v>Aitoon Emäntäkoulu Oy</v>
      </c>
      <c r="C14" s="223">
        <v>26</v>
      </c>
      <c r="D14" s="223"/>
      <c r="E14" s="223">
        <v>390</v>
      </c>
      <c r="F14" s="223"/>
      <c r="G14" s="213">
        <v>1922.4</v>
      </c>
      <c r="H14" s="213"/>
      <c r="I14" s="213">
        <v>4603.68</v>
      </c>
      <c r="J14" s="213">
        <v>4374.2199999999993</v>
      </c>
      <c r="K14" s="213"/>
      <c r="L14" s="213">
        <v>11137.869999999999</v>
      </c>
      <c r="M14" s="213">
        <v>6526.08</v>
      </c>
      <c r="N14" s="213">
        <v>15512.089999999998</v>
      </c>
      <c r="O14" s="213">
        <v>15512.089999999998</v>
      </c>
      <c r="P14" s="213">
        <v>22038.17</v>
      </c>
      <c r="Q14" s="219">
        <v>1.4083329114469791E-3</v>
      </c>
    </row>
    <row r="15" spans="1:17" ht="15" customHeight="1" x14ac:dyDescent="0.25">
      <c r="A15" s="88" t="s">
        <v>312</v>
      </c>
      <c r="B15" s="116" t="str">
        <f>VLOOKUP(A15,'0 Järjestäjätiedot'!A:H,2,FALSE)</f>
        <v>Palloilu Säätiö sr</v>
      </c>
      <c r="C15" s="223"/>
      <c r="D15" s="223">
        <v>79</v>
      </c>
      <c r="E15" s="223"/>
      <c r="F15" s="223">
        <v>265</v>
      </c>
      <c r="G15" s="213"/>
      <c r="H15" s="213">
        <v>1335.8725449999999</v>
      </c>
      <c r="I15" s="213"/>
      <c r="J15" s="213"/>
      <c r="K15" s="213">
        <v>5927.8635000000004</v>
      </c>
      <c r="L15" s="213"/>
      <c r="M15" s="213">
        <v>1335.8725449999999</v>
      </c>
      <c r="N15" s="213">
        <v>5927.8635000000004</v>
      </c>
      <c r="O15" s="213">
        <v>4209.3347115246961</v>
      </c>
      <c r="P15" s="213">
        <v>5545.2072565246963</v>
      </c>
      <c r="Q15" s="219">
        <v>3.5436235768025845E-4</v>
      </c>
    </row>
    <row r="16" spans="1:17" ht="15" customHeight="1" x14ac:dyDescent="0.25">
      <c r="A16" s="88" t="s">
        <v>406</v>
      </c>
      <c r="B16" s="116" t="str">
        <f>VLOOKUP(A16,'0 Järjestäjätiedot'!A:H,2,FALSE)</f>
        <v>Ahlmanin koulun Säätiö sr</v>
      </c>
      <c r="C16" s="223">
        <v>117</v>
      </c>
      <c r="D16" s="223">
        <v>43</v>
      </c>
      <c r="E16" s="223">
        <v>1061</v>
      </c>
      <c r="F16" s="223">
        <v>322</v>
      </c>
      <c r="G16" s="213">
        <v>6730.0138079999997</v>
      </c>
      <c r="H16" s="213">
        <v>577.49868600000002</v>
      </c>
      <c r="I16" s="213">
        <v>504</v>
      </c>
      <c r="J16" s="213">
        <v>25379.15</v>
      </c>
      <c r="K16" s="213">
        <v>7323.4530000000004</v>
      </c>
      <c r="L16" s="213">
        <v>981.5</v>
      </c>
      <c r="M16" s="213">
        <v>7811.5124939999996</v>
      </c>
      <c r="N16" s="213">
        <v>33684.103000000003</v>
      </c>
      <c r="O16" s="213">
        <v>33684.103000000003</v>
      </c>
      <c r="P16" s="213">
        <v>41495.615494000005</v>
      </c>
      <c r="Q16" s="219">
        <v>2.6517465370740588E-3</v>
      </c>
    </row>
    <row r="17" spans="1:17" ht="15" customHeight="1" x14ac:dyDescent="0.25">
      <c r="A17" s="88" t="s">
        <v>275</v>
      </c>
      <c r="B17" s="116" t="str">
        <f>VLOOKUP(A17,'0 Järjestäjätiedot'!A:H,2,FALSE)</f>
        <v>Tampereen Aikuiskoulutussäätiö sr</v>
      </c>
      <c r="C17" s="223">
        <v>254</v>
      </c>
      <c r="D17" s="223">
        <v>611</v>
      </c>
      <c r="E17" s="223">
        <v>2396</v>
      </c>
      <c r="F17" s="223">
        <v>2174</v>
      </c>
      <c r="G17" s="213">
        <v>9469.6882560000013</v>
      </c>
      <c r="H17" s="213">
        <v>8518.1945960000012</v>
      </c>
      <c r="I17" s="213"/>
      <c r="J17" s="213">
        <v>49560.649999999994</v>
      </c>
      <c r="K17" s="213">
        <v>45499.392899999992</v>
      </c>
      <c r="L17" s="213"/>
      <c r="M17" s="213">
        <v>17987.882852000002</v>
      </c>
      <c r="N17" s="213">
        <v>95060.042899999986</v>
      </c>
      <c r="O17" s="213">
        <v>95060.042899999986</v>
      </c>
      <c r="P17" s="213">
        <v>113047.92575199998</v>
      </c>
      <c r="Q17" s="219">
        <v>7.2242438645021825E-3</v>
      </c>
    </row>
    <row r="18" spans="1:17" ht="15" customHeight="1" x14ac:dyDescent="0.25">
      <c r="A18" s="88" t="s">
        <v>248</v>
      </c>
      <c r="B18" s="116" t="str">
        <f>VLOOKUP(A18,'0 Järjestäjätiedot'!A:H,2,FALSE)</f>
        <v>Varalan Säätiö sr</v>
      </c>
      <c r="C18" s="223">
        <v>23</v>
      </c>
      <c r="D18" s="223">
        <v>45</v>
      </c>
      <c r="E18" s="223">
        <v>310</v>
      </c>
      <c r="F18" s="223">
        <v>191</v>
      </c>
      <c r="G18" s="213">
        <v>2238.0839999999998</v>
      </c>
      <c r="H18" s="213">
        <v>528.07909500000005</v>
      </c>
      <c r="I18" s="213"/>
      <c r="J18" s="213">
        <v>8070.29</v>
      </c>
      <c r="K18" s="213">
        <v>4303.5300000000007</v>
      </c>
      <c r="L18" s="213">
        <v>95.5</v>
      </c>
      <c r="M18" s="213">
        <v>2766.1630949999999</v>
      </c>
      <c r="N18" s="213">
        <v>12469.32</v>
      </c>
      <c r="O18" s="213">
        <v>12469.32</v>
      </c>
      <c r="P18" s="213">
        <v>15235.483095</v>
      </c>
      <c r="Q18" s="219">
        <v>9.7361224931482887E-4</v>
      </c>
    </row>
    <row r="19" spans="1:17" ht="15" customHeight="1" x14ac:dyDescent="0.25">
      <c r="A19" s="88" t="s">
        <v>347</v>
      </c>
      <c r="B19" s="116" t="str">
        <f>VLOOKUP(A19,'0 Järjestäjätiedot'!A:H,2,FALSE)</f>
        <v>Kouvolan Aikuiskoulutussäätiö sr</v>
      </c>
      <c r="C19" s="223">
        <v>109</v>
      </c>
      <c r="D19" s="223">
        <v>169</v>
      </c>
      <c r="E19" s="223">
        <v>578</v>
      </c>
      <c r="F19" s="223">
        <v>505</v>
      </c>
      <c r="G19" s="213">
        <v>5792.577839999999</v>
      </c>
      <c r="H19" s="213">
        <v>3518.255752</v>
      </c>
      <c r="I19" s="213"/>
      <c r="J19" s="213">
        <v>13667.799999999997</v>
      </c>
      <c r="K19" s="213">
        <v>9971.687249999999</v>
      </c>
      <c r="L19" s="213"/>
      <c r="M19" s="213">
        <v>9310.833591999999</v>
      </c>
      <c r="N19" s="213">
        <v>23639.487249999998</v>
      </c>
      <c r="O19" s="213">
        <v>17035.238373355303</v>
      </c>
      <c r="P19" s="213">
        <v>26346.071965355302</v>
      </c>
      <c r="Q19" s="219">
        <v>1.6836261920186871E-3</v>
      </c>
    </row>
    <row r="20" spans="1:17" ht="15" customHeight="1" x14ac:dyDescent="0.25">
      <c r="A20" s="88" t="s">
        <v>346</v>
      </c>
      <c r="B20" s="116" t="str">
        <f>VLOOKUP(A20,'0 Järjestäjätiedot'!A:H,2,FALSE)</f>
        <v>Kouvolan kaupunki</v>
      </c>
      <c r="C20" s="223">
        <v>767</v>
      </c>
      <c r="D20" s="223">
        <v>181</v>
      </c>
      <c r="E20" s="223">
        <v>7918</v>
      </c>
      <c r="F20" s="223">
        <v>1037</v>
      </c>
      <c r="G20" s="213">
        <v>47006.522081999981</v>
      </c>
      <c r="H20" s="213">
        <v>2350.4816579999997</v>
      </c>
      <c r="I20" s="213">
        <v>2772</v>
      </c>
      <c r="J20" s="213">
        <v>140149.03999999989</v>
      </c>
      <c r="K20" s="213">
        <v>19726.695642753595</v>
      </c>
      <c r="L20" s="213">
        <v>8196</v>
      </c>
      <c r="M20" s="213">
        <v>52129.003739999978</v>
      </c>
      <c r="N20" s="213">
        <v>168071.73564275348</v>
      </c>
      <c r="O20" s="213">
        <v>168071.73564275348</v>
      </c>
      <c r="P20" s="213">
        <v>220200.73938275347</v>
      </c>
      <c r="Q20" s="219">
        <v>1.4071764960415982E-2</v>
      </c>
    </row>
    <row r="21" spans="1:17" ht="15" customHeight="1" x14ac:dyDescent="0.25">
      <c r="A21" s="88" t="s">
        <v>255</v>
      </c>
      <c r="B21" s="116" t="str">
        <f>VLOOKUP(A21,'0 Järjestäjätiedot'!A:H,2,FALSE)</f>
        <v>Valkealan Kristillisen Kansanopiston kannatusyhdistys r.y.</v>
      </c>
      <c r="C21" s="223"/>
      <c r="D21" s="223"/>
      <c r="E21" s="223"/>
      <c r="F21" s="223">
        <v>12</v>
      </c>
      <c r="G21" s="213"/>
      <c r="H21" s="213"/>
      <c r="I21" s="213"/>
      <c r="J21" s="213"/>
      <c r="K21" s="213">
        <v>200.47500000000002</v>
      </c>
      <c r="L21" s="213"/>
      <c r="M21" s="213"/>
      <c r="N21" s="213">
        <v>200.47500000000002</v>
      </c>
      <c r="O21" s="213">
        <v>200.47500000000002</v>
      </c>
      <c r="P21" s="213">
        <v>200.47500000000002</v>
      </c>
      <c r="Q21" s="219">
        <v>1.2811206212781424E-5</v>
      </c>
    </row>
    <row r="22" spans="1:17" ht="15" customHeight="1" x14ac:dyDescent="0.25">
      <c r="A22" s="88" t="s">
        <v>271</v>
      </c>
      <c r="B22" s="116" t="str">
        <f>VLOOKUP(A22,'0 Järjestäjätiedot'!A:H,2,FALSE)</f>
        <v>Tanhuvaaran Säätiö sr</v>
      </c>
      <c r="C22" s="223">
        <v>28</v>
      </c>
      <c r="D22" s="223">
        <v>8</v>
      </c>
      <c r="E22" s="223">
        <v>482</v>
      </c>
      <c r="F22" s="223">
        <v>84</v>
      </c>
      <c r="G22" s="213">
        <v>3205.44</v>
      </c>
      <c r="H22" s="213">
        <v>123.17184</v>
      </c>
      <c r="I22" s="213">
        <v>108</v>
      </c>
      <c r="J22" s="213">
        <v>13541.650000000001</v>
      </c>
      <c r="K22" s="213">
        <v>1683.99</v>
      </c>
      <c r="L22" s="213">
        <v>450</v>
      </c>
      <c r="M22" s="213">
        <v>3436.61184</v>
      </c>
      <c r="N22" s="213">
        <v>15675.640000000001</v>
      </c>
      <c r="O22" s="213">
        <v>10559.372574178029</v>
      </c>
      <c r="P22" s="213">
        <v>13995.984414178029</v>
      </c>
      <c r="Q22" s="219">
        <v>8.9440300526703832E-4</v>
      </c>
    </row>
    <row r="23" spans="1:17" ht="15" customHeight="1" x14ac:dyDescent="0.25">
      <c r="A23" s="88" t="s">
        <v>375</v>
      </c>
      <c r="B23" s="116" t="str">
        <f>VLOOKUP(A23,'0 Järjestäjätiedot'!A:H,2,FALSE)</f>
        <v>Itä-Suomen Liikuntaopisto Oy</v>
      </c>
      <c r="C23" s="223"/>
      <c r="D23" s="223">
        <v>50</v>
      </c>
      <c r="E23" s="223"/>
      <c r="F23" s="223">
        <v>226</v>
      </c>
      <c r="G23" s="213"/>
      <c r="H23" s="213">
        <v>970.87028299999997</v>
      </c>
      <c r="I23" s="213"/>
      <c r="J23" s="213"/>
      <c r="K23" s="213">
        <v>4566.8204999999998</v>
      </c>
      <c r="L23" s="213"/>
      <c r="M23" s="213">
        <v>970.87028299999997</v>
      </c>
      <c r="N23" s="213">
        <v>4566.8204999999998</v>
      </c>
      <c r="O23" s="213">
        <v>4566.8204999999998</v>
      </c>
      <c r="P23" s="213">
        <v>5537.690783</v>
      </c>
      <c r="Q23" s="219">
        <v>3.5388202301350302E-4</v>
      </c>
    </row>
    <row r="24" spans="1:17" ht="15" customHeight="1" x14ac:dyDescent="0.25">
      <c r="A24" s="88" t="s">
        <v>266</v>
      </c>
      <c r="B24" s="116" t="str">
        <f>VLOOKUP(A24,'0 Järjestäjätiedot'!A:H,2,FALSE)</f>
        <v>Tohtori Matthias Ingmanin säätiö sr</v>
      </c>
      <c r="C24" s="223">
        <v>65</v>
      </c>
      <c r="D24" s="223"/>
      <c r="E24" s="223">
        <v>1024</v>
      </c>
      <c r="F24" s="223"/>
      <c r="G24" s="213">
        <v>4211.4600719999999</v>
      </c>
      <c r="H24" s="213"/>
      <c r="I24" s="213">
        <v>792</v>
      </c>
      <c r="J24" s="213">
        <v>16047.59</v>
      </c>
      <c r="K24" s="213"/>
      <c r="L24" s="213">
        <v>2410</v>
      </c>
      <c r="M24" s="213">
        <v>5003.4600719999999</v>
      </c>
      <c r="N24" s="213">
        <v>18457.59</v>
      </c>
      <c r="O24" s="213">
        <v>18457.59</v>
      </c>
      <c r="P24" s="213">
        <v>23461.050071999998</v>
      </c>
      <c r="Q24" s="219">
        <v>1.499261007311547E-3</v>
      </c>
    </row>
    <row r="25" spans="1:17" ht="15" customHeight="1" x14ac:dyDescent="0.25">
      <c r="A25" s="88" t="s">
        <v>361</v>
      </c>
      <c r="B25" s="116" t="str">
        <f>VLOOKUP(A25,'0 Järjestäjätiedot'!A:H,2,FALSE)</f>
        <v>Kaustisen Evankelisen Opiston Kannatusyhdistys ry</v>
      </c>
      <c r="C25" s="223">
        <v>24</v>
      </c>
      <c r="D25" s="223">
        <v>20</v>
      </c>
      <c r="E25" s="223">
        <v>177</v>
      </c>
      <c r="F25" s="223">
        <v>99</v>
      </c>
      <c r="G25" s="213">
        <v>889.57439999999997</v>
      </c>
      <c r="H25" s="213">
        <v>256.60774700000002</v>
      </c>
      <c r="I25" s="213">
        <v>180</v>
      </c>
      <c r="J25" s="213">
        <v>3700.8</v>
      </c>
      <c r="K25" s="213">
        <v>1964.6550000000002</v>
      </c>
      <c r="L25" s="213">
        <v>413.5</v>
      </c>
      <c r="M25" s="213">
        <v>1326.182147</v>
      </c>
      <c r="N25" s="213">
        <v>6078.9549999999999</v>
      </c>
      <c r="O25" s="213">
        <v>6078.9549999999999</v>
      </c>
      <c r="P25" s="213">
        <v>7405.1371469999995</v>
      </c>
      <c r="Q25" s="219">
        <v>4.7321979810023638E-4</v>
      </c>
    </row>
    <row r="26" spans="1:17" ht="15" customHeight="1" x14ac:dyDescent="0.25">
      <c r="A26" s="88" t="s">
        <v>339</v>
      </c>
      <c r="B26" s="116" t="str">
        <f>VLOOKUP(A26,'0 Järjestäjätiedot'!A:H,2,FALSE)</f>
        <v>Kuortaneen Urheiluopistosäätiö sr</v>
      </c>
      <c r="C26" s="223">
        <v>35</v>
      </c>
      <c r="D26" s="223">
        <v>57</v>
      </c>
      <c r="E26" s="223">
        <v>498</v>
      </c>
      <c r="F26" s="223">
        <v>172</v>
      </c>
      <c r="G26" s="213">
        <v>4006.8</v>
      </c>
      <c r="H26" s="213">
        <v>942.70580600000005</v>
      </c>
      <c r="I26" s="213"/>
      <c r="J26" s="213">
        <v>10489.44</v>
      </c>
      <c r="K26" s="213">
        <v>4275.9495000000006</v>
      </c>
      <c r="L26" s="213"/>
      <c r="M26" s="213">
        <v>4949.5058060000001</v>
      </c>
      <c r="N26" s="213">
        <v>14765.389500000001</v>
      </c>
      <c r="O26" s="213">
        <v>14765.389500000001</v>
      </c>
      <c r="P26" s="213">
        <v>19714.895306000002</v>
      </c>
      <c r="Q26" s="219">
        <v>1.2598657649510539E-3</v>
      </c>
    </row>
    <row r="27" spans="1:17" ht="15" customHeight="1" x14ac:dyDescent="0.25">
      <c r="A27" s="88" t="s">
        <v>318</v>
      </c>
      <c r="B27" s="116" t="str">
        <f>VLOOKUP(A27,'0 Järjestäjätiedot'!A:H,2,FALSE)</f>
        <v>Oulun kaupunki</v>
      </c>
      <c r="C27" s="223">
        <v>21</v>
      </c>
      <c r="D27" s="223"/>
      <c r="E27" s="223">
        <v>337</v>
      </c>
      <c r="F27" s="223"/>
      <c r="G27" s="213">
        <v>2146.4978219999998</v>
      </c>
      <c r="H27" s="213"/>
      <c r="I27" s="213"/>
      <c r="J27" s="213">
        <v>6780.34</v>
      </c>
      <c r="K27" s="213"/>
      <c r="L27" s="213"/>
      <c r="M27" s="213">
        <v>2146.4978219999998</v>
      </c>
      <c r="N27" s="213">
        <v>6780.34</v>
      </c>
      <c r="O27" s="213">
        <v>6780.34</v>
      </c>
      <c r="P27" s="213">
        <v>8926.8378219999995</v>
      </c>
      <c r="Q27" s="219">
        <v>5.7046295131910995E-4</v>
      </c>
    </row>
    <row r="28" spans="1:17" ht="15" customHeight="1" x14ac:dyDescent="0.25">
      <c r="A28" s="88" t="s">
        <v>325</v>
      </c>
      <c r="B28" s="116" t="str">
        <f>VLOOKUP(A28,'0 Järjestäjätiedot'!A:H,2,FALSE)</f>
        <v>Marttayhdistysten liitto ry</v>
      </c>
      <c r="C28" s="223">
        <v>61</v>
      </c>
      <c r="D28" s="223">
        <v>43</v>
      </c>
      <c r="E28" s="223">
        <v>494</v>
      </c>
      <c r="F28" s="223">
        <v>195</v>
      </c>
      <c r="G28" s="213">
        <v>3118.4963639999996</v>
      </c>
      <c r="H28" s="213">
        <v>868.93757600000015</v>
      </c>
      <c r="I28" s="213">
        <v>288</v>
      </c>
      <c r="J28" s="213">
        <v>7139.4300000000012</v>
      </c>
      <c r="K28" s="213">
        <v>4017.8970000000008</v>
      </c>
      <c r="L28" s="213">
        <v>800.25</v>
      </c>
      <c r="M28" s="213">
        <v>4275.4339399999999</v>
      </c>
      <c r="N28" s="213">
        <v>11957.577000000001</v>
      </c>
      <c r="O28" s="213">
        <v>11957.577000000001</v>
      </c>
      <c r="P28" s="213">
        <v>16233.01094</v>
      </c>
      <c r="Q28" s="219">
        <v>1.0373585265328685E-3</v>
      </c>
    </row>
    <row r="29" spans="1:17" ht="15" customHeight="1" x14ac:dyDescent="0.25">
      <c r="A29" s="88" t="s">
        <v>302</v>
      </c>
      <c r="B29" s="116" t="str">
        <f>VLOOKUP(A29,'0 Järjestäjätiedot'!A:H,2,FALSE)</f>
        <v>Raahen Porvari- ja Kauppakoulurahasto sr</v>
      </c>
      <c r="C29" s="223">
        <v>39</v>
      </c>
      <c r="D29" s="223">
        <v>8</v>
      </c>
      <c r="E29" s="223">
        <v>416</v>
      </c>
      <c r="F29" s="223">
        <v>7</v>
      </c>
      <c r="G29" s="213">
        <v>1634.32332</v>
      </c>
      <c r="H29" s="213">
        <v>74.843999999999994</v>
      </c>
      <c r="I29" s="213">
        <v>360</v>
      </c>
      <c r="J29" s="213">
        <v>5922.7999999999993</v>
      </c>
      <c r="K29" s="213">
        <v>124.74</v>
      </c>
      <c r="L29" s="213">
        <v>973.5</v>
      </c>
      <c r="M29" s="213">
        <v>2069.16732</v>
      </c>
      <c r="N29" s="213">
        <v>7021.0399999999991</v>
      </c>
      <c r="O29" s="213">
        <v>7021.0399999999991</v>
      </c>
      <c r="P29" s="213">
        <v>9090.2073199999995</v>
      </c>
      <c r="Q29" s="219">
        <v>5.809029579421631E-4</v>
      </c>
    </row>
    <row r="30" spans="1:17" ht="15" customHeight="1" x14ac:dyDescent="0.25">
      <c r="A30" s="88" t="s">
        <v>309</v>
      </c>
      <c r="B30" s="116" t="str">
        <f>VLOOKUP(A30,'0 Järjestäjätiedot'!A:H,2,FALSE)</f>
        <v>Peräpohjolan Kansanopiston kannatusyhdistys ry</v>
      </c>
      <c r="C30" s="223">
        <v>20</v>
      </c>
      <c r="D30" s="223">
        <v>8</v>
      </c>
      <c r="E30" s="223">
        <v>355</v>
      </c>
      <c r="F30" s="223">
        <v>18</v>
      </c>
      <c r="G30" s="213">
        <v>1040.6879999999999</v>
      </c>
      <c r="H30" s="213">
        <v>153.964664</v>
      </c>
      <c r="I30" s="213">
        <v>72</v>
      </c>
      <c r="J30" s="213">
        <v>5244.47</v>
      </c>
      <c r="K30" s="213">
        <v>348.82650000000001</v>
      </c>
      <c r="L30" s="213">
        <v>281</v>
      </c>
      <c r="M30" s="213">
        <v>1266.652664</v>
      </c>
      <c r="N30" s="213">
        <v>5874.2965000000004</v>
      </c>
      <c r="O30" s="213">
        <v>5874.2965000000004</v>
      </c>
      <c r="P30" s="213">
        <v>7140.9491640000006</v>
      </c>
      <c r="Q30" s="219">
        <v>4.5633706095519696E-4</v>
      </c>
    </row>
    <row r="31" spans="1:17" ht="15" customHeight="1" x14ac:dyDescent="0.25">
      <c r="A31" s="88" t="s">
        <v>299</v>
      </c>
      <c r="B31" s="116" t="str">
        <f>VLOOKUP(A31,'0 Järjestäjätiedot'!A:H,2,FALSE)</f>
        <v>Raudaskylän Kristillinen Opisto r.y.</v>
      </c>
      <c r="C31" s="223"/>
      <c r="D31" s="223">
        <v>30</v>
      </c>
      <c r="E31" s="223"/>
      <c r="F31" s="223">
        <v>115</v>
      </c>
      <c r="G31" s="213"/>
      <c r="H31" s="213">
        <v>451.06874999999997</v>
      </c>
      <c r="I31" s="213">
        <v>72</v>
      </c>
      <c r="J31" s="213"/>
      <c r="K31" s="213">
        <v>2296.107</v>
      </c>
      <c r="L31" s="213">
        <v>206.25</v>
      </c>
      <c r="M31" s="213">
        <v>523.06874999999991</v>
      </c>
      <c r="N31" s="213">
        <v>2502.357</v>
      </c>
      <c r="O31" s="213">
        <v>2307.1789802095459</v>
      </c>
      <c r="P31" s="213">
        <v>2830.2477302095458</v>
      </c>
      <c r="Q31" s="219">
        <v>1.8086488242908616E-4</v>
      </c>
    </row>
    <row r="32" spans="1:17" ht="15" customHeight="1" x14ac:dyDescent="0.25">
      <c r="A32" s="88" t="s">
        <v>381</v>
      </c>
      <c r="B32" s="116" t="str">
        <f>VLOOKUP(A32,'0 Järjestäjätiedot'!A:H,2,FALSE)</f>
        <v>Laajasalon opiston säätiö sr</v>
      </c>
      <c r="C32" s="223"/>
      <c r="D32" s="223">
        <v>31</v>
      </c>
      <c r="E32" s="223"/>
      <c r="F32" s="223">
        <v>126</v>
      </c>
      <c r="G32" s="213"/>
      <c r="H32" s="213">
        <v>558.12157400000001</v>
      </c>
      <c r="I32" s="213"/>
      <c r="J32" s="213"/>
      <c r="K32" s="213">
        <v>2562.0705000000003</v>
      </c>
      <c r="L32" s="213"/>
      <c r="M32" s="213">
        <v>558.12157400000001</v>
      </c>
      <c r="N32" s="213">
        <v>2562.0705000000003</v>
      </c>
      <c r="O32" s="213">
        <v>2562.0705000000003</v>
      </c>
      <c r="P32" s="213">
        <v>3120.1920740000005</v>
      </c>
      <c r="Q32" s="219">
        <v>1.993935607108126E-4</v>
      </c>
    </row>
    <row r="33" spans="1:17" ht="15" customHeight="1" x14ac:dyDescent="0.25">
      <c r="A33" s="88" t="s">
        <v>382</v>
      </c>
      <c r="B33" s="116" t="str">
        <f>VLOOKUP(A33,'0 Järjestäjätiedot'!A:H,2,FALSE)</f>
        <v>Helsingin Konservatorion Säätiö sr</v>
      </c>
      <c r="C33" s="223">
        <v>36</v>
      </c>
      <c r="D33" s="223"/>
      <c r="E33" s="223">
        <v>392</v>
      </c>
      <c r="F33" s="223"/>
      <c r="G33" s="213">
        <v>3348.54</v>
      </c>
      <c r="H33" s="213"/>
      <c r="I33" s="213"/>
      <c r="J33" s="213">
        <v>9245.52</v>
      </c>
      <c r="K33" s="213"/>
      <c r="L33" s="213"/>
      <c r="M33" s="213">
        <v>3348.54</v>
      </c>
      <c r="N33" s="213">
        <v>9245.52</v>
      </c>
      <c r="O33" s="213">
        <v>9245.52</v>
      </c>
      <c r="P33" s="213">
        <v>12594.060000000001</v>
      </c>
      <c r="Q33" s="219">
        <v>8.0481406517591723E-4</v>
      </c>
    </row>
    <row r="34" spans="1:17" ht="15" customHeight="1" x14ac:dyDescent="0.25">
      <c r="A34" s="88" t="s">
        <v>386</v>
      </c>
      <c r="B34" s="116" t="str">
        <f>VLOOKUP(A34,'0 Järjestäjätiedot'!A:H,2,FALSE)</f>
        <v>Helsingin kaupunki</v>
      </c>
      <c r="C34" s="223">
        <v>2560</v>
      </c>
      <c r="D34" s="223">
        <v>995</v>
      </c>
      <c r="E34" s="223">
        <v>25866</v>
      </c>
      <c r="F34" s="223">
        <v>3103</v>
      </c>
      <c r="G34" s="213">
        <v>153822.89055600003</v>
      </c>
      <c r="H34" s="213">
        <v>14216.829252999994</v>
      </c>
      <c r="I34" s="213">
        <v>6768</v>
      </c>
      <c r="J34" s="213">
        <v>468043.38000000053</v>
      </c>
      <c r="K34" s="213">
        <v>70789.074621448468</v>
      </c>
      <c r="L34" s="213">
        <v>20937.95</v>
      </c>
      <c r="M34" s="213">
        <v>174807.71980900003</v>
      </c>
      <c r="N34" s="213">
        <v>559770.40462144895</v>
      </c>
      <c r="O34" s="213">
        <v>559770.40462144895</v>
      </c>
      <c r="P34" s="213">
        <v>734578.12443044898</v>
      </c>
      <c r="Q34" s="219">
        <v>4.6942670315384426E-2</v>
      </c>
    </row>
    <row r="35" spans="1:17" ht="15" customHeight="1" x14ac:dyDescent="0.25">
      <c r="A35" s="88" t="s">
        <v>378</v>
      </c>
      <c r="B35" s="116" t="str">
        <f>VLOOKUP(A35,'0 Järjestäjätiedot'!A:H,2,FALSE)</f>
        <v>Invalidisäätiö sr</v>
      </c>
      <c r="C35" s="223">
        <v>177</v>
      </c>
      <c r="D35" s="223">
        <v>56</v>
      </c>
      <c r="E35" s="223">
        <v>2229</v>
      </c>
      <c r="F35" s="223">
        <v>209</v>
      </c>
      <c r="G35" s="213">
        <v>12316.132566</v>
      </c>
      <c r="H35" s="213">
        <v>1593.198946</v>
      </c>
      <c r="I35" s="213">
        <v>33410.160000000003</v>
      </c>
      <c r="J35" s="213">
        <v>32753.519999999986</v>
      </c>
      <c r="K35" s="213">
        <v>4620.0780000000004</v>
      </c>
      <c r="L35" s="213">
        <v>90613.489999999976</v>
      </c>
      <c r="M35" s="213">
        <v>47319.491512000008</v>
      </c>
      <c r="N35" s="213">
        <v>127987.08799999996</v>
      </c>
      <c r="O35" s="213">
        <v>127987.08799999996</v>
      </c>
      <c r="P35" s="213">
        <v>175306.57951199997</v>
      </c>
      <c r="Q35" s="219">
        <v>1.1202836965135774E-2</v>
      </c>
    </row>
    <row r="36" spans="1:17" ht="15" customHeight="1" x14ac:dyDescent="0.25">
      <c r="A36" s="88" t="s">
        <v>384</v>
      </c>
      <c r="B36" s="116" t="str">
        <f>VLOOKUP(A36,'0 Järjestäjätiedot'!A:H,2,FALSE)</f>
        <v>Hengitysliitto ry</v>
      </c>
      <c r="C36" s="223">
        <v>280</v>
      </c>
      <c r="D36" s="223">
        <v>90</v>
      </c>
      <c r="E36" s="223">
        <v>4020</v>
      </c>
      <c r="F36" s="223">
        <v>311</v>
      </c>
      <c r="G36" s="213">
        <v>19611.345960000006</v>
      </c>
      <c r="H36" s="213">
        <v>1398.7753810000004</v>
      </c>
      <c r="I36" s="213">
        <v>61851.600000000013</v>
      </c>
      <c r="J36" s="213">
        <v>59459.970000000016</v>
      </c>
      <c r="K36" s="213">
        <v>5843.259</v>
      </c>
      <c r="L36" s="213">
        <v>190602.63000000015</v>
      </c>
      <c r="M36" s="213">
        <v>82861.721341000026</v>
      </c>
      <c r="N36" s="213">
        <v>255905.85900000017</v>
      </c>
      <c r="O36" s="213">
        <v>255905.85900000017</v>
      </c>
      <c r="P36" s="213">
        <v>338767.58034100023</v>
      </c>
      <c r="Q36" s="219">
        <v>2.1648691008622281E-2</v>
      </c>
    </row>
    <row r="37" spans="1:17" ht="15" customHeight="1" x14ac:dyDescent="0.25">
      <c r="A37" s="88" t="s">
        <v>326</v>
      </c>
      <c r="B37" s="116" t="str">
        <f>VLOOKUP(A37,'0 Järjestäjätiedot'!A:H,2,FALSE)</f>
        <v>Markkinointi-instituutin Kannatusyhdistys ry</v>
      </c>
      <c r="C37" s="223">
        <v>442</v>
      </c>
      <c r="D37" s="223">
        <v>958</v>
      </c>
      <c r="E37" s="223">
        <v>2619</v>
      </c>
      <c r="F37" s="223">
        <v>2372</v>
      </c>
      <c r="G37" s="213">
        <v>11802.816756</v>
      </c>
      <c r="H37" s="213">
        <v>10121.197482000003</v>
      </c>
      <c r="I37" s="213">
        <v>72</v>
      </c>
      <c r="J37" s="213">
        <v>2993.2</v>
      </c>
      <c r="K37" s="213">
        <v>63413.782199983965</v>
      </c>
      <c r="L37" s="213">
        <v>142.5</v>
      </c>
      <c r="M37" s="213">
        <v>21996.014238000003</v>
      </c>
      <c r="N37" s="213">
        <v>66549.482199983962</v>
      </c>
      <c r="O37" s="213">
        <v>66549.482199983962</v>
      </c>
      <c r="P37" s="213">
        <v>88545.496437983966</v>
      </c>
      <c r="Q37" s="219">
        <v>5.6584342889642869E-3</v>
      </c>
    </row>
    <row r="38" spans="1:17" ht="15" customHeight="1" x14ac:dyDescent="0.25">
      <c r="A38" s="88" t="s">
        <v>260</v>
      </c>
      <c r="B38" s="116" t="str">
        <f>VLOOKUP(A38,'0 Järjestäjätiedot'!A:H,2,FALSE)</f>
        <v>Työtehoseura ry</v>
      </c>
      <c r="C38" s="223">
        <v>318</v>
      </c>
      <c r="D38" s="223">
        <v>218</v>
      </c>
      <c r="E38" s="223">
        <v>3245</v>
      </c>
      <c r="F38" s="223">
        <v>1368</v>
      </c>
      <c r="G38" s="213">
        <v>19640.818853999997</v>
      </c>
      <c r="H38" s="213">
        <v>3464.1754500000006</v>
      </c>
      <c r="I38" s="213">
        <v>324</v>
      </c>
      <c r="J38" s="213">
        <v>91352.050000000017</v>
      </c>
      <c r="K38" s="213">
        <v>27549.906299999991</v>
      </c>
      <c r="L38" s="213">
        <v>847</v>
      </c>
      <c r="M38" s="213">
        <v>23428.994304</v>
      </c>
      <c r="N38" s="213">
        <v>119748.95630000001</v>
      </c>
      <c r="O38" s="213">
        <v>119748.95630000001</v>
      </c>
      <c r="P38" s="213">
        <v>143177.95060400001</v>
      </c>
      <c r="Q38" s="219">
        <v>9.1496807597519717E-3</v>
      </c>
    </row>
    <row r="39" spans="1:17" ht="15" customHeight="1" x14ac:dyDescent="0.25">
      <c r="A39" s="88" t="s">
        <v>281</v>
      </c>
      <c r="B39" s="116" t="str">
        <f>VLOOKUP(A39,'0 Järjestäjätiedot'!A:H,2,FALSE)</f>
        <v>Suomen Urheiluopiston Kannatusosakeyhtiö</v>
      </c>
      <c r="C39" s="223">
        <v>67</v>
      </c>
      <c r="D39" s="223">
        <v>116</v>
      </c>
      <c r="E39" s="223">
        <v>601</v>
      </c>
      <c r="F39" s="223">
        <v>491</v>
      </c>
      <c r="G39" s="213">
        <v>6725.6929620000001</v>
      </c>
      <c r="H39" s="213">
        <v>1886.0675160000001</v>
      </c>
      <c r="I39" s="213">
        <v>36</v>
      </c>
      <c r="J39" s="213">
        <v>16300.400000000001</v>
      </c>
      <c r="K39" s="213">
        <v>12601.858500000002</v>
      </c>
      <c r="L39" s="213">
        <v>91</v>
      </c>
      <c r="M39" s="213">
        <v>8647.7604780000001</v>
      </c>
      <c r="N39" s="213">
        <v>28993.258500000004</v>
      </c>
      <c r="O39" s="213">
        <v>23939.272402318627</v>
      </c>
      <c r="P39" s="213">
        <v>32587.032880318628</v>
      </c>
      <c r="Q39" s="219">
        <v>2.0824501713054022E-3</v>
      </c>
    </row>
    <row r="40" spans="1:17" ht="15" customHeight="1" x14ac:dyDescent="0.25">
      <c r="A40" s="88" t="s">
        <v>330</v>
      </c>
      <c r="B40" s="116" t="str">
        <f>VLOOKUP(A40,'0 Järjestäjätiedot'!A:H,2,FALSE)</f>
        <v>Luksia, Länsi-Uudenmaan koulutuskuntayhtymä</v>
      </c>
      <c r="C40" s="223">
        <v>722</v>
      </c>
      <c r="D40" s="223">
        <v>355</v>
      </c>
      <c r="E40" s="223">
        <v>6979</v>
      </c>
      <c r="F40" s="223">
        <v>1160</v>
      </c>
      <c r="G40" s="213">
        <v>42808.486464000038</v>
      </c>
      <c r="H40" s="213">
        <v>6088.0074540000041</v>
      </c>
      <c r="I40" s="213">
        <v>4536</v>
      </c>
      <c r="J40" s="213">
        <v>132559.29999999999</v>
      </c>
      <c r="K40" s="213">
        <v>23044.724100005355</v>
      </c>
      <c r="L40" s="213">
        <v>14157.25</v>
      </c>
      <c r="M40" s="213">
        <v>53432.493918000044</v>
      </c>
      <c r="N40" s="213">
        <v>169761.27410000534</v>
      </c>
      <c r="O40" s="213">
        <v>169761.27410000534</v>
      </c>
      <c r="P40" s="213">
        <v>223193.76801800539</v>
      </c>
      <c r="Q40" s="219">
        <v>1.4263032235871635E-2</v>
      </c>
    </row>
    <row r="41" spans="1:17" ht="15" customHeight="1" x14ac:dyDescent="0.25">
      <c r="A41" s="88" t="s">
        <v>394</v>
      </c>
      <c r="B41" s="116" t="str">
        <f>VLOOKUP(A41,'0 Järjestäjätiedot'!A:H,2,FALSE)</f>
        <v>Eurajoen kristillisen opiston kannatusyhdistys r.y.</v>
      </c>
      <c r="C41" s="223"/>
      <c r="D41" s="223">
        <v>12</v>
      </c>
      <c r="E41" s="223"/>
      <c r="F41" s="223">
        <v>42</v>
      </c>
      <c r="G41" s="213"/>
      <c r="H41" s="213">
        <v>275.35983399999998</v>
      </c>
      <c r="I41" s="213"/>
      <c r="J41" s="213"/>
      <c r="K41" s="213">
        <v>785.86200000000008</v>
      </c>
      <c r="L41" s="213"/>
      <c r="M41" s="213">
        <v>275.35983399999998</v>
      </c>
      <c r="N41" s="213">
        <v>785.86200000000008</v>
      </c>
      <c r="O41" s="213">
        <v>785.86200000000008</v>
      </c>
      <c r="P41" s="213">
        <v>1061.2218339999999</v>
      </c>
      <c r="Q41" s="219">
        <v>6.7816594352812547E-5</v>
      </c>
    </row>
    <row r="42" spans="1:17" ht="15" customHeight="1" x14ac:dyDescent="0.25">
      <c r="A42" s="88" t="s">
        <v>290</v>
      </c>
      <c r="B42" s="116" t="str">
        <f>VLOOKUP(A42,'0 Järjestäjätiedot'!A:H,2,FALSE)</f>
        <v>Satakunnan koulutuskuntayhtymä</v>
      </c>
      <c r="C42" s="223">
        <v>750</v>
      </c>
      <c r="D42" s="223">
        <v>228</v>
      </c>
      <c r="E42" s="223">
        <v>5642</v>
      </c>
      <c r="F42" s="223">
        <v>790</v>
      </c>
      <c r="G42" s="213">
        <v>38734.505765999995</v>
      </c>
      <c r="H42" s="213">
        <v>4048.31396</v>
      </c>
      <c r="I42" s="213">
        <v>3276</v>
      </c>
      <c r="J42" s="213">
        <v>108889.30000000002</v>
      </c>
      <c r="K42" s="213">
        <v>16973.630999999994</v>
      </c>
      <c r="L42" s="213">
        <v>8600.5</v>
      </c>
      <c r="M42" s="213">
        <v>46058.819725999994</v>
      </c>
      <c r="N42" s="213">
        <v>134463.43100000001</v>
      </c>
      <c r="O42" s="213">
        <v>134463.43100000001</v>
      </c>
      <c r="P42" s="213">
        <v>180522.250726</v>
      </c>
      <c r="Q42" s="219">
        <v>1.1536140566385918E-2</v>
      </c>
    </row>
    <row r="43" spans="1:17" ht="15" customHeight="1" x14ac:dyDescent="0.25">
      <c r="A43" s="88" t="s">
        <v>331</v>
      </c>
      <c r="B43" s="116" t="str">
        <f>VLOOKUP(A43,'0 Järjestäjätiedot'!A:H,2,FALSE)</f>
        <v>Lounais-Suomen koulutuskuntayhtymä</v>
      </c>
      <c r="C43" s="223">
        <v>534</v>
      </c>
      <c r="D43" s="223">
        <v>133</v>
      </c>
      <c r="E43" s="223">
        <v>4895</v>
      </c>
      <c r="F43" s="223">
        <v>478</v>
      </c>
      <c r="G43" s="213">
        <v>33396.600023999992</v>
      </c>
      <c r="H43" s="213">
        <v>1799.3589560000009</v>
      </c>
      <c r="I43" s="213">
        <v>3780</v>
      </c>
      <c r="J43" s="213">
        <v>100546.06999999999</v>
      </c>
      <c r="K43" s="213">
        <v>10436.632071432392</v>
      </c>
      <c r="L43" s="213">
        <v>10527.5</v>
      </c>
      <c r="M43" s="213">
        <v>38975.958979999996</v>
      </c>
      <c r="N43" s="213">
        <v>121510.20207143239</v>
      </c>
      <c r="O43" s="213">
        <v>121510.20207143239</v>
      </c>
      <c r="P43" s="213">
        <v>160486.16105143237</v>
      </c>
      <c r="Q43" s="219">
        <v>1.0255749113493204E-2</v>
      </c>
    </row>
    <row r="44" spans="1:17" ht="15" customHeight="1" x14ac:dyDescent="0.25">
      <c r="A44" s="88" t="s">
        <v>301</v>
      </c>
      <c r="B44" s="116" t="str">
        <f>VLOOKUP(A44,'0 Järjestäjätiedot'!A:H,2,FALSE)</f>
        <v>Raision Seudun Koulutuskuntayhtymä</v>
      </c>
      <c r="C44" s="223">
        <v>662</v>
      </c>
      <c r="D44" s="223">
        <v>290</v>
      </c>
      <c r="E44" s="223">
        <v>5360</v>
      </c>
      <c r="F44" s="223">
        <v>793</v>
      </c>
      <c r="G44" s="213">
        <v>37900.131156000003</v>
      </c>
      <c r="H44" s="213">
        <v>4235.1901600000001</v>
      </c>
      <c r="I44" s="213">
        <v>1980</v>
      </c>
      <c r="J44" s="213">
        <v>93879.890000000043</v>
      </c>
      <c r="K44" s="213">
        <v>20238.270428578304</v>
      </c>
      <c r="L44" s="213">
        <v>3827</v>
      </c>
      <c r="M44" s="213">
        <v>44115.321316000001</v>
      </c>
      <c r="N44" s="213">
        <v>117945.16042857835</v>
      </c>
      <c r="O44" s="213">
        <v>117945.16042857835</v>
      </c>
      <c r="P44" s="213">
        <v>162060.48174457834</v>
      </c>
      <c r="Q44" s="219">
        <v>1.0356354909951326E-2</v>
      </c>
    </row>
    <row r="45" spans="1:17" ht="15" customHeight="1" x14ac:dyDescent="0.25">
      <c r="A45" s="88" t="s">
        <v>262</v>
      </c>
      <c r="B45" s="116" t="str">
        <f>VLOOKUP(A45,'0 Järjestäjätiedot'!A:H,2,FALSE)</f>
        <v>Turun kaupunki</v>
      </c>
      <c r="C45" s="223">
        <v>1504</v>
      </c>
      <c r="D45" s="223">
        <v>521</v>
      </c>
      <c r="E45" s="223">
        <v>16753</v>
      </c>
      <c r="F45" s="223">
        <v>1664</v>
      </c>
      <c r="G45" s="213">
        <v>88994.176002000007</v>
      </c>
      <c r="H45" s="213">
        <v>8366.3508530000054</v>
      </c>
      <c r="I45" s="213">
        <v>2412</v>
      </c>
      <c r="J45" s="213">
        <v>256811.97999999992</v>
      </c>
      <c r="K45" s="213">
        <v>37844.863971432431</v>
      </c>
      <c r="L45" s="213">
        <v>8548</v>
      </c>
      <c r="M45" s="213">
        <v>99772.526855000018</v>
      </c>
      <c r="N45" s="213">
        <v>303204.84397143236</v>
      </c>
      <c r="O45" s="213">
        <v>303204.84397143236</v>
      </c>
      <c r="P45" s="213">
        <v>402977.37082643236</v>
      </c>
      <c r="Q45" s="219">
        <v>2.5751970054829345E-2</v>
      </c>
    </row>
    <row r="46" spans="1:17" ht="15" customHeight="1" x14ac:dyDescent="0.25">
      <c r="A46" s="88" t="s">
        <v>291</v>
      </c>
      <c r="B46" s="116" t="str">
        <f>VLOOKUP(A46,'0 Järjestäjätiedot'!A:H,2,FALSE)</f>
        <v>SASKY koulutuskuntayhtymä</v>
      </c>
      <c r="C46" s="223">
        <v>1055</v>
      </c>
      <c r="D46" s="223">
        <v>325</v>
      </c>
      <c r="E46" s="223">
        <v>10633</v>
      </c>
      <c r="F46" s="223">
        <v>1000</v>
      </c>
      <c r="G46" s="213">
        <v>58038.522588000022</v>
      </c>
      <c r="H46" s="213">
        <v>3436.1725189999984</v>
      </c>
      <c r="I46" s="213">
        <v>4068</v>
      </c>
      <c r="J46" s="213">
        <v>184511.48999999987</v>
      </c>
      <c r="K46" s="213">
        <v>21096.681428642452</v>
      </c>
      <c r="L46" s="213">
        <v>10440</v>
      </c>
      <c r="M46" s="213">
        <v>65542.695107000021</v>
      </c>
      <c r="N46" s="213">
        <v>216048.17142864232</v>
      </c>
      <c r="O46" s="213">
        <v>216048.17142864232</v>
      </c>
      <c r="P46" s="213">
        <v>281590.86653564236</v>
      </c>
      <c r="Q46" s="219">
        <v>1.7994855512277967E-2</v>
      </c>
    </row>
    <row r="47" spans="1:17" ht="15" customHeight="1" x14ac:dyDescent="0.25">
      <c r="A47" s="88" t="s">
        <v>348</v>
      </c>
      <c r="B47" s="116" t="str">
        <f>VLOOKUP(A47,'0 Järjestäjätiedot'!A:H,2,FALSE)</f>
        <v>Koulutuskuntayhtymä Tavastia</v>
      </c>
      <c r="C47" s="223">
        <v>715</v>
      </c>
      <c r="D47" s="223">
        <v>200</v>
      </c>
      <c r="E47" s="223">
        <v>7343</v>
      </c>
      <c r="F47" s="223">
        <v>673</v>
      </c>
      <c r="G47" s="213">
        <v>43128.597905999995</v>
      </c>
      <c r="H47" s="213">
        <v>2882.5526879999989</v>
      </c>
      <c r="I47" s="213">
        <v>3312</v>
      </c>
      <c r="J47" s="213">
        <v>123824.55</v>
      </c>
      <c r="K47" s="213">
        <v>16287.687899999999</v>
      </c>
      <c r="L47" s="213">
        <v>7963.25</v>
      </c>
      <c r="M47" s="213">
        <v>49323.150593999992</v>
      </c>
      <c r="N47" s="213">
        <v>148075.48790000001</v>
      </c>
      <c r="O47" s="213">
        <v>148075.48790000001</v>
      </c>
      <c r="P47" s="213">
        <v>197398.63849400001</v>
      </c>
      <c r="Q47" s="219">
        <v>1.2614613612016096E-2</v>
      </c>
    </row>
    <row r="48" spans="1:17" ht="15" customHeight="1" x14ac:dyDescent="0.25">
      <c r="A48" s="88" t="s">
        <v>273</v>
      </c>
      <c r="B48" s="116" t="str">
        <f>VLOOKUP(A48,'0 Järjestäjätiedot'!A:H,2,FALSE)</f>
        <v>Tampereen Musiikkiopiston Säätiö sr</v>
      </c>
      <c r="C48" s="223">
        <v>30</v>
      </c>
      <c r="D48" s="223"/>
      <c r="E48" s="223">
        <v>323</v>
      </c>
      <c r="F48" s="223"/>
      <c r="G48" s="213">
        <v>2685.9580919999999</v>
      </c>
      <c r="H48" s="213"/>
      <c r="I48" s="213"/>
      <c r="J48" s="213">
        <v>6979.65</v>
      </c>
      <c r="K48" s="213"/>
      <c r="L48" s="213">
        <v>33</v>
      </c>
      <c r="M48" s="213">
        <v>2685.9580919999999</v>
      </c>
      <c r="N48" s="213">
        <v>7012.65</v>
      </c>
      <c r="O48" s="213">
        <v>7012.65</v>
      </c>
      <c r="P48" s="213">
        <v>9698.6080919999986</v>
      </c>
      <c r="Q48" s="219">
        <v>6.1978235811728424E-4</v>
      </c>
    </row>
    <row r="49" spans="1:17" ht="15" customHeight="1" x14ac:dyDescent="0.25">
      <c r="A49" s="88" t="s">
        <v>256</v>
      </c>
      <c r="B49" s="116" t="str">
        <f>VLOOKUP(A49,'0 Järjestäjätiedot'!A:H,2,FALSE)</f>
        <v>Valkeakosken seudun koulutuskuntayhtymä</v>
      </c>
      <c r="C49" s="223">
        <v>405</v>
      </c>
      <c r="D49" s="223">
        <v>91</v>
      </c>
      <c r="E49" s="223">
        <v>3475</v>
      </c>
      <c r="F49" s="223">
        <v>320</v>
      </c>
      <c r="G49" s="213">
        <v>20880.323567999996</v>
      </c>
      <c r="H49" s="213">
        <v>885.08100999999999</v>
      </c>
      <c r="I49" s="213">
        <v>1260</v>
      </c>
      <c r="J49" s="213">
        <v>59178.849999999991</v>
      </c>
      <c r="K49" s="213">
        <v>6870.4496999999992</v>
      </c>
      <c r="L49" s="213">
        <v>3903.25</v>
      </c>
      <c r="M49" s="213">
        <v>23025.404577999998</v>
      </c>
      <c r="N49" s="213">
        <v>69952.549699999989</v>
      </c>
      <c r="O49" s="213">
        <v>69952.549699999989</v>
      </c>
      <c r="P49" s="213">
        <v>92977.95427799999</v>
      </c>
      <c r="Q49" s="219">
        <v>5.9416872203417901E-3</v>
      </c>
    </row>
    <row r="50" spans="1:17" ht="15" customHeight="1" x14ac:dyDescent="0.25">
      <c r="A50" s="88" t="s">
        <v>282</v>
      </c>
      <c r="B50" s="116" t="str">
        <f>VLOOKUP(A50,'0 Järjestäjätiedot'!A:H,2,FALSE)</f>
        <v>Suomen Nuoriso-Opiston kannatusyhdistys ry</v>
      </c>
      <c r="C50" s="223">
        <v>23</v>
      </c>
      <c r="D50" s="223"/>
      <c r="E50" s="223">
        <v>263</v>
      </c>
      <c r="F50" s="223"/>
      <c r="G50" s="213">
        <v>1332.0450000000001</v>
      </c>
      <c r="H50" s="213"/>
      <c r="I50" s="213">
        <v>108</v>
      </c>
      <c r="J50" s="213">
        <v>5452.2000000000007</v>
      </c>
      <c r="K50" s="213"/>
      <c r="L50" s="213">
        <v>592</v>
      </c>
      <c r="M50" s="213">
        <v>1440.0450000000001</v>
      </c>
      <c r="N50" s="213">
        <v>6044.2000000000007</v>
      </c>
      <c r="O50" s="213">
        <v>6044.2000000000007</v>
      </c>
      <c r="P50" s="213">
        <v>7484.2450000000008</v>
      </c>
      <c r="Q50" s="219">
        <v>4.7827512678378005E-4</v>
      </c>
    </row>
    <row r="51" spans="1:17" ht="15" customHeight="1" x14ac:dyDescent="0.25">
      <c r="A51" s="88" t="s">
        <v>377</v>
      </c>
      <c r="B51" s="116" t="str">
        <f>VLOOKUP(A51,'0 Järjestäjätiedot'!A:H,2,FALSE)</f>
        <v>Itä-Karjalan Kansanopistoseura ry</v>
      </c>
      <c r="C51" s="223">
        <v>13</v>
      </c>
      <c r="D51" s="223">
        <v>15</v>
      </c>
      <c r="E51" s="223">
        <v>318</v>
      </c>
      <c r="F51" s="223">
        <v>65</v>
      </c>
      <c r="G51" s="213">
        <v>873.17906399999993</v>
      </c>
      <c r="H51" s="213">
        <v>288.68370800000002</v>
      </c>
      <c r="I51" s="213">
        <v>216</v>
      </c>
      <c r="J51" s="213">
        <v>3843.07</v>
      </c>
      <c r="K51" s="213">
        <v>1307.097</v>
      </c>
      <c r="L51" s="213">
        <v>788.5</v>
      </c>
      <c r="M51" s="213">
        <v>1377.8627719999999</v>
      </c>
      <c r="N51" s="213">
        <v>5938.6670000000004</v>
      </c>
      <c r="O51" s="213">
        <v>4744.3136274965163</v>
      </c>
      <c r="P51" s="213">
        <v>6122.1763994965168</v>
      </c>
      <c r="Q51" s="219">
        <v>3.9123314291045555E-4</v>
      </c>
    </row>
    <row r="52" spans="1:17" ht="15" customHeight="1" x14ac:dyDescent="0.25">
      <c r="A52" s="88" t="s">
        <v>376</v>
      </c>
      <c r="B52" s="116" t="str">
        <f>VLOOKUP(A52,'0 Järjestäjätiedot'!A:H,2,FALSE)</f>
        <v>Itä-Savon koulutuskuntayhtymä</v>
      </c>
      <c r="C52" s="223">
        <v>446</v>
      </c>
      <c r="D52" s="223">
        <v>566</v>
      </c>
      <c r="E52" s="223">
        <v>3265</v>
      </c>
      <c r="F52" s="223">
        <v>2319</v>
      </c>
      <c r="G52" s="213">
        <v>23555.809242000007</v>
      </c>
      <c r="H52" s="213">
        <v>10996.078859000001</v>
      </c>
      <c r="I52" s="213">
        <v>1728</v>
      </c>
      <c r="J52" s="213">
        <v>65283.870000000017</v>
      </c>
      <c r="K52" s="213">
        <v>46810.429200000021</v>
      </c>
      <c r="L52" s="213">
        <v>3928</v>
      </c>
      <c r="M52" s="213">
        <v>36279.888101000004</v>
      </c>
      <c r="N52" s="213">
        <v>116022.29920000004</v>
      </c>
      <c r="O52" s="213">
        <v>116022.29920000004</v>
      </c>
      <c r="P52" s="213">
        <v>152302.18730100006</v>
      </c>
      <c r="Q52" s="219">
        <v>9.732758339796841E-3</v>
      </c>
    </row>
    <row r="53" spans="1:17" ht="15" customHeight="1" x14ac:dyDescent="0.25">
      <c r="A53" s="88" t="s">
        <v>354</v>
      </c>
      <c r="B53" s="116" t="str">
        <f>VLOOKUP(A53,'0 Järjestäjätiedot'!A:H,2,FALSE)</f>
        <v>Kiteen Evankelisen Kansanopiston kannatusyhdistys ry</v>
      </c>
      <c r="C53" s="223"/>
      <c r="D53" s="223">
        <v>13</v>
      </c>
      <c r="E53" s="223"/>
      <c r="F53" s="223">
        <v>42</v>
      </c>
      <c r="G53" s="213"/>
      <c r="H53" s="213">
        <v>182.83307499999995</v>
      </c>
      <c r="I53" s="213"/>
      <c r="J53" s="213"/>
      <c r="K53" s="213">
        <v>900.80100000000016</v>
      </c>
      <c r="L53" s="213"/>
      <c r="M53" s="213">
        <v>182.83307499999995</v>
      </c>
      <c r="N53" s="213">
        <v>900.80100000000016</v>
      </c>
      <c r="O53" s="213">
        <v>900.80100000000016</v>
      </c>
      <c r="P53" s="213">
        <v>1083.6340750000002</v>
      </c>
      <c r="Q53" s="219">
        <v>6.9248831994122223E-5</v>
      </c>
    </row>
    <row r="54" spans="1:17" ht="15" customHeight="1" x14ac:dyDescent="0.25">
      <c r="A54" s="88" t="s">
        <v>341</v>
      </c>
      <c r="B54" s="116" t="str">
        <f>VLOOKUP(A54,'0 Järjestäjätiedot'!A:H,2,FALSE)</f>
        <v>Kuopion Konservatorion kannatusyhdistys r.y.</v>
      </c>
      <c r="C54" s="223">
        <v>29</v>
      </c>
      <c r="D54" s="223"/>
      <c r="E54" s="223">
        <v>351</v>
      </c>
      <c r="F54" s="223"/>
      <c r="G54" s="213">
        <v>2633.03685</v>
      </c>
      <c r="H54" s="213"/>
      <c r="I54" s="213"/>
      <c r="J54" s="213">
        <v>7164.64</v>
      </c>
      <c r="K54" s="213"/>
      <c r="L54" s="213"/>
      <c r="M54" s="213">
        <v>2633.03685</v>
      </c>
      <c r="N54" s="213">
        <v>7164.64</v>
      </c>
      <c r="O54" s="213">
        <v>7164.64</v>
      </c>
      <c r="P54" s="213">
        <v>9797.6768499999998</v>
      </c>
      <c r="Q54" s="219">
        <v>6.2611327363284552E-4</v>
      </c>
    </row>
    <row r="55" spans="1:17" ht="15" customHeight="1" x14ac:dyDescent="0.25">
      <c r="A55" s="88" t="s">
        <v>340</v>
      </c>
      <c r="B55" s="116" t="str">
        <f>VLOOKUP(A55,'0 Järjestäjätiedot'!A:H,2,FALSE)</f>
        <v>Kuopion Talouskoulun Kannatusyhdistys ry</v>
      </c>
      <c r="C55" s="223">
        <v>48</v>
      </c>
      <c r="D55" s="223"/>
      <c r="E55" s="223">
        <v>663</v>
      </c>
      <c r="F55" s="223"/>
      <c r="G55" s="213">
        <v>2352.2382720000001</v>
      </c>
      <c r="H55" s="213"/>
      <c r="I55" s="213">
        <v>216</v>
      </c>
      <c r="J55" s="213">
        <v>8686.590000000002</v>
      </c>
      <c r="K55" s="213"/>
      <c r="L55" s="213">
        <v>530</v>
      </c>
      <c r="M55" s="213">
        <v>2568.2382720000001</v>
      </c>
      <c r="N55" s="213">
        <v>9216.590000000002</v>
      </c>
      <c r="O55" s="213">
        <v>9216.590000000002</v>
      </c>
      <c r="P55" s="213">
        <v>11784.828272000002</v>
      </c>
      <c r="Q55" s="219">
        <v>7.5310071168379386E-4</v>
      </c>
    </row>
    <row r="56" spans="1:17" ht="15" customHeight="1" x14ac:dyDescent="0.25">
      <c r="A56" s="88" t="s">
        <v>307</v>
      </c>
      <c r="B56" s="116" t="str">
        <f>VLOOKUP(A56,'0 Järjestäjätiedot'!A:H,2,FALSE)</f>
        <v>Portaanpää ry</v>
      </c>
      <c r="C56" s="223">
        <v>24</v>
      </c>
      <c r="D56" s="223">
        <v>21</v>
      </c>
      <c r="E56" s="223">
        <v>230</v>
      </c>
      <c r="F56" s="223">
        <v>91</v>
      </c>
      <c r="G56" s="213">
        <v>1049.75892</v>
      </c>
      <c r="H56" s="213">
        <v>259.815338</v>
      </c>
      <c r="I56" s="213"/>
      <c r="J56" s="213">
        <v>5509.45</v>
      </c>
      <c r="K56" s="213">
        <v>1824.3225000000002</v>
      </c>
      <c r="L56" s="213"/>
      <c r="M56" s="213">
        <v>1309.5742580000001</v>
      </c>
      <c r="N56" s="213">
        <v>7333.7725</v>
      </c>
      <c r="O56" s="213">
        <v>7333.7725</v>
      </c>
      <c r="P56" s="213">
        <v>8643.3467579999997</v>
      </c>
      <c r="Q56" s="219">
        <v>5.5234666509696351E-4</v>
      </c>
    </row>
    <row r="57" spans="1:17" ht="15" customHeight="1" x14ac:dyDescent="0.25">
      <c r="A57" s="88" t="s">
        <v>369</v>
      </c>
      <c r="B57" s="116" t="str">
        <f>VLOOKUP(A57,'0 Järjestäjätiedot'!A:H,2,FALSE)</f>
        <v>Jyväskylän Koulutuskuntayhtymä</v>
      </c>
      <c r="C57" s="223">
        <v>2388</v>
      </c>
      <c r="D57" s="223">
        <v>1045</v>
      </c>
      <c r="E57" s="223">
        <v>19152</v>
      </c>
      <c r="F57" s="223">
        <v>3665</v>
      </c>
      <c r="G57" s="213">
        <v>132202.17129599993</v>
      </c>
      <c r="H57" s="213">
        <v>13356.188950999998</v>
      </c>
      <c r="I57" s="213">
        <v>6363.3600000000006</v>
      </c>
      <c r="J57" s="213">
        <v>381134.38999999978</v>
      </c>
      <c r="K57" s="213">
        <v>82909.49940000537</v>
      </c>
      <c r="L57" s="213">
        <v>17143.95</v>
      </c>
      <c r="M57" s="213">
        <v>151921.72024699993</v>
      </c>
      <c r="N57" s="213">
        <v>481187.83940000518</v>
      </c>
      <c r="O57" s="213">
        <v>481187.83940000518</v>
      </c>
      <c r="P57" s="213">
        <v>633109.55964700505</v>
      </c>
      <c r="Q57" s="219">
        <v>4.0458396926903707E-2</v>
      </c>
    </row>
    <row r="58" spans="1:17" ht="15" customHeight="1" x14ac:dyDescent="0.25">
      <c r="A58" s="88" t="s">
        <v>363</v>
      </c>
      <c r="B58" s="116" t="str">
        <f>VLOOKUP(A58,'0 Järjestäjätiedot'!A:H,2,FALSE)</f>
        <v>Karstulan Evankelisen Kansanopiston kannatusyhdistys ry</v>
      </c>
      <c r="C58" s="223"/>
      <c r="D58" s="223">
        <v>13</v>
      </c>
      <c r="E58" s="223"/>
      <c r="F58" s="223">
        <v>54</v>
      </c>
      <c r="G58" s="213"/>
      <c r="H58" s="213">
        <v>151.90242000000001</v>
      </c>
      <c r="I58" s="213"/>
      <c r="J58" s="213"/>
      <c r="K58" s="213">
        <v>1042.47</v>
      </c>
      <c r="L58" s="213"/>
      <c r="M58" s="213">
        <v>151.90242000000001</v>
      </c>
      <c r="N58" s="213">
        <v>1042.47</v>
      </c>
      <c r="O58" s="213">
        <v>1042.47</v>
      </c>
      <c r="P58" s="213">
        <v>1194.3724200000001</v>
      </c>
      <c r="Q58" s="219">
        <v>7.6325483813337238E-5</v>
      </c>
    </row>
    <row r="59" spans="1:17" ht="15" customHeight="1" x14ac:dyDescent="0.25">
      <c r="A59" s="88" t="s">
        <v>239</v>
      </c>
      <c r="B59" s="116" t="str">
        <f>VLOOKUP(A59,'0 Järjestäjätiedot'!A:H,2,FALSE)</f>
        <v>Äänekosken Ammatillisen Koulutuksen kuntayhtymä</v>
      </c>
      <c r="C59" s="223">
        <v>520</v>
      </c>
      <c r="D59" s="223">
        <v>193</v>
      </c>
      <c r="E59" s="223">
        <v>4928</v>
      </c>
      <c r="F59" s="223">
        <v>709</v>
      </c>
      <c r="G59" s="213">
        <v>29950.795403999993</v>
      </c>
      <c r="H59" s="213">
        <v>2069.4938150000003</v>
      </c>
      <c r="I59" s="213">
        <v>1512</v>
      </c>
      <c r="J59" s="213">
        <v>97846.149999999965</v>
      </c>
      <c r="K59" s="213">
        <v>15664.913999999997</v>
      </c>
      <c r="L59" s="213">
        <v>3980.5</v>
      </c>
      <c r="M59" s="213">
        <v>33532.289218999998</v>
      </c>
      <c r="N59" s="213">
        <v>117491.56399999995</v>
      </c>
      <c r="O59" s="213">
        <v>117491.56399999995</v>
      </c>
      <c r="P59" s="213">
        <v>151023.85321899995</v>
      </c>
      <c r="Q59" s="219">
        <v>9.6510673482351501E-3</v>
      </c>
    </row>
    <row r="60" spans="1:17" ht="15" customHeight="1" x14ac:dyDescent="0.25">
      <c r="A60" s="88" t="s">
        <v>279</v>
      </c>
      <c r="B60" s="116" t="str">
        <f>VLOOKUP(A60,'0 Järjestäjätiedot'!A:H,2,FALSE)</f>
        <v>Suomen yrittäjäopiston kannatus Oy</v>
      </c>
      <c r="C60" s="223">
        <v>133</v>
      </c>
      <c r="D60" s="223">
        <v>412</v>
      </c>
      <c r="E60" s="223">
        <v>774</v>
      </c>
      <c r="F60" s="223">
        <v>1574</v>
      </c>
      <c r="G60" s="213">
        <v>4017.963096</v>
      </c>
      <c r="H60" s="213">
        <v>4306.0714399999997</v>
      </c>
      <c r="I60" s="213"/>
      <c r="J60" s="213">
        <v>11995.95</v>
      </c>
      <c r="K60" s="213">
        <v>31314.073499999999</v>
      </c>
      <c r="L60" s="213"/>
      <c r="M60" s="213">
        <v>8324.0345359999992</v>
      </c>
      <c r="N60" s="213">
        <v>43310.023499999996</v>
      </c>
      <c r="O60" s="213">
        <v>38044.898390314731</v>
      </c>
      <c r="P60" s="213">
        <v>46368.93292631473</v>
      </c>
      <c r="Q60" s="219">
        <v>2.9631722737780189E-3</v>
      </c>
    </row>
    <row r="61" spans="1:17" ht="15" customHeight="1" x14ac:dyDescent="0.25">
      <c r="A61" s="88" t="s">
        <v>344</v>
      </c>
      <c r="B61" s="116" t="str">
        <f>VLOOKUP(A61,'0 Järjestäjätiedot'!A:H,2,FALSE)</f>
        <v>Keski-Pohjanmaan Koulutusyhtymä</v>
      </c>
      <c r="C61" s="223">
        <v>853</v>
      </c>
      <c r="D61" s="223">
        <v>349</v>
      </c>
      <c r="E61" s="223">
        <v>7391</v>
      </c>
      <c r="F61" s="223">
        <v>1065</v>
      </c>
      <c r="G61" s="213">
        <v>54042.574284000002</v>
      </c>
      <c r="H61" s="213">
        <v>4639.9314689999983</v>
      </c>
      <c r="I61" s="213">
        <v>6300</v>
      </c>
      <c r="J61" s="213">
        <v>147034.31</v>
      </c>
      <c r="K61" s="213">
        <v>24371.960785777665</v>
      </c>
      <c r="L61" s="213">
        <v>13682</v>
      </c>
      <c r="M61" s="213">
        <v>64982.505752999998</v>
      </c>
      <c r="N61" s="213">
        <v>185088.27078577765</v>
      </c>
      <c r="O61" s="213">
        <v>185088.27078577765</v>
      </c>
      <c r="P61" s="213">
        <v>250070.77653877766</v>
      </c>
      <c r="Q61" s="219">
        <v>1.5980587534748288E-2</v>
      </c>
    </row>
    <row r="62" spans="1:17" ht="15" customHeight="1" x14ac:dyDescent="0.25">
      <c r="A62" s="88" t="s">
        <v>391</v>
      </c>
      <c r="B62" s="116" t="str">
        <f>VLOOKUP(A62,'0 Järjestäjätiedot'!A:H,2,FALSE)</f>
        <v>Fria kristliga Folkhögskolan i Vasa</v>
      </c>
      <c r="C62" s="223">
        <v>9</v>
      </c>
      <c r="D62" s="223"/>
      <c r="E62" s="223">
        <v>104</v>
      </c>
      <c r="F62" s="223"/>
      <c r="G62" s="213">
        <v>641.52</v>
      </c>
      <c r="H62" s="213"/>
      <c r="I62" s="213"/>
      <c r="J62" s="213">
        <v>1488.6</v>
      </c>
      <c r="K62" s="213"/>
      <c r="L62" s="213"/>
      <c r="M62" s="213">
        <v>641.52</v>
      </c>
      <c r="N62" s="213">
        <v>1488.6</v>
      </c>
      <c r="O62" s="213">
        <v>1488.6</v>
      </c>
      <c r="P62" s="213">
        <v>2130.12</v>
      </c>
      <c r="Q62" s="219">
        <v>1.3612373900970175E-4</v>
      </c>
    </row>
    <row r="63" spans="1:17" ht="15" customHeight="1" x14ac:dyDescent="0.25">
      <c r="A63" s="88" t="s">
        <v>257</v>
      </c>
      <c r="B63" s="116" t="str">
        <f>VLOOKUP(A63,'0 Järjestäjätiedot'!A:H,2,FALSE)</f>
        <v>Vaasan kaupunki</v>
      </c>
      <c r="C63" s="223">
        <v>799</v>
      </c>
      <c r="D63" s="223">
        <v>295</v>
      </c>
      <c r="E63" s="223">
        <v>6156</v>
      </c>
      <c r="F63" s="223">
        <v>1063</v>
      </c>
      <c r="G63" s="213">
        <v>44073.255762000037</v>
      </c>
      <c r="H63" s="213">
        <v>4639.4096050000007</v>
      </c>
      <c r="I63" s="213">
        <v>2052</v>
      </c>
      <c r="J63" s="213">
        <v>102421.46000000002</v>
      </c>
      <c r="K63" s="213">
        <v>21665.091600010703</v>
      </c>
      <c r="L63" s="213">
        <v>7636.5</v>
      </c>
      <c r="M63" s="213">
        <v>50764.665367000038</v>
      </c>
      <c r="N63" s="213">
        <v>131723.05160001072</v>
      </c>
      <c r="O63" s="213">
        <v>131723.05160001072</v>
      </c>
      <c r="P63" s="213">
        <v>182487.71696701075</v>
      </c>
      <c r="Q63" s="219">
        <v>1.1661742229026391E-2</v>
      </c>
    </row>
    <row r="64" spans="1:17" ht="15" customHeight="1" x14ac:dyDescent="0.25">
      <c r="A64" s="88" t="s">
        <v>389</v>
      </c>
      <c r="B64" s="116" t="str">
        <f>VLOOKUP(A64,'0 Järjestäjätiedot'!A:H,2,FALSE)</f>
        <v>Haapaveden Opiston kannatusyhdistys ry</v>
      </c>
      <c r="C64" s="223">
        <v>31</v>
      </c>
      <c r="D64" s="223">
        <v>32</v>
      </c>
      <c r="E64" s="223">
        <v>289</v>
      </c>
      <c r="F64" s="223">
        <v>115</v>
      </c>
      <c r="G64" s="213">
        <v>1191.4717319999997</v>
      </c>
      <c r="H64" s="213">
        <v>582.56889899999999</v>
      </c>
      <c r="I64" s="213">
        <v>108</v>
      </c>
      <c r="J64" s="213">
        <v>5088.47</v>
      </c>
      <c r="K64" s="213">
        <v>2072.9115000000002</v>
      </c>
      <c r="L64" s="213">
        <v>288.5</v>
      </c>
      <c r="M64" s="213">
        <v>1882.0406309999998</v>
      </c>
      <c r="N64" s="213">
        <v>7449.8815000000004</v>
      </c>
      <c r="O64" s="213">
        <v>7449.8815000000004</v>
      </c>
      <c r="P64" s="213">
        <v>9331.9221309999994</v>
      </c>
      <c r="Q64" s="219">
        <v>5.9634956369552128E-4</v>
      </c>
    </row>
    <row r="65" spans="1:17" ht="15" customHeight="1" x14ac:dyDescent="0.25">
      <c r="A65" s="88" t="s">
        <v>366</v>
      </c>
      <c r="B65" s="116" t="str">
        <f>VLOOKUP(A65,'0 Järjestäjätiedot'!A:H,2,FALSE)</f>
        <v>Kalajoen Kristillisen Opiston Kannatusyhdistys ry</v>
      </c>
      <c r="C65" s="223">
        <v>22</v>
      </c>
      <c r="D65" s="223">
        <v>26</v>
      </c>
      <c r="E65" s="223">
        <v>215</v>
      </c>
      <c r="F65" s="223">
        <v>99</v>
      </c>
      <c r="G65" s="213">
        <v>819.71917200000007</v>
      </c>
      <c r="H65" s="213">
        <v>361.38925099999994</v>
      </c>
      <c r="I65" s="213">
        <v>72</v>
      </c>
      <c r="J65" s="213">
        <v>3467.6499999999996</v>
      </c>
      <c r="K65" s="213">
        <v>1880.4555000000003</v>
      </c>
      <c r="L65" s="213">
        <v>260.5</v>
      </c>
      <c r="M65" s="213">
        <v>1253.1084230000001</v>
      </c>
      <c r="N65" s="213">
        <v>5608.6054999999997</v>
      </c>
      <c r="O65" s="213">
        <v>5608.6054999999997</v>
      </c>
      <c r="P65" s="213">
        <v>6861.7139229999993</v>
      </c>
      <c r="Q65" s="219">
        <v>4.3849273994596021E-4</v>
      </c>
    </row>
    <row r="66" spans="1:17" ht="15" customHeight="1" x14ac:dyDescent="0.25">
      <c r="A66" s="88" t="s">
        <v>371</v>
      </c>
      <c r="B66" s="116" t="str">
        <f>VLOOKUP(A66,'0 Järjestäjätiedot'!A:H,2,FALSE)</f>
        <v>Jokilaaksojen koulutuskuntayhtymä</v>
      </c>
      <c r="C66" s="223">
        <v>988</v>
      </c>
      <c r="D66" s="223">
        <v>186</v>
      </c>
      <c r="E66" s="223">
        <v>8859</v>
      </c>
      <c r="F66" s="223">
        <v>683</v>
      </c>
      <c r="G66" s="213">
        <v>56609.310473999976</v>
      </c>
      <c r="H66" s="213">
        <v>2628.4929459999994</v>
      </c>
      <c r="I66" s="213">
        <v>1836</v>
      </c>
      <c r="J66" s="213">
        <v>170596.97999999995</v>
      </c>
      <c r="K66" s="213">
        <v>15492.1005</v>
      </c>
      <c r="L66" s="213">
        <v>5212.5</v>
      </c>
      <c r="M66" s="213">
        <v>61073.803419999975</v>
      </c>
      <c r="N66" s="213">
        <v>191301.58049999995</v>
      </c>
      <c r="O66" s="213">
        <v>191301.58049999995</v>
      </c>
      <c r="P66" s="213">
        <v>252375.38391999993</v>
      </c>
      <c r="Q66" s="219">
        <v>1.6127861760463897E-2</v>
      </c>
    </row>
    <row r="67" spans="1:17" ht="15" customHeight="1" x14ac:dyDescent="0.25">
      <c r="A67" s="88" t="s">
        <v>303</v>
      </c>
      <c r="B67" s="116" t="str">
        <f>VLOOKUP(A67,'0 Järjestäjätiedot'!A:H,2,FALSE)</f>
        <v>Raahen Koulutuskuntayhtymä</v>
      </c>
      <c r="C67" s="223">
        <v>269</v>
      </c>
      <c r="D67" s="223">
        <v>111</v>
      </c>
      <c r="E67" s="223">
        <v>3629</v>
      </c>
      <c r="F67" s="223">
        <v>371</v>
      </c>
      <c r="G67" s="213">
        <v>18316.174698000003</v>
      </c>
      <c r="H67" s="213">
        <v>1679.5880570000002</v>
      </c>
      <c r="I67" s="213">
        <v>828</v>
      </c>
      <c r="J67" s="213">
        <v>59617.18</v>
      </c>
      <c r="K67" s="213">
        <v>8105.6946856658933</v>
      </c>
      <c r="L67" s="213">
        <v>3104.5</v>
      </c>
      <c r="M67" s="213">
        <v>20823.762755000003</v>
      </c>
      <c r="N67" s="213">
        <v>70827.374685665898</v>
      </c>
      <c r="O67" s="213">
        <v>70827.374685665898</v>
      </c>
      <c r="P67" s="213">
        <v>91651.137440665902</v>
      </c>
      <c r="Q67" s="219">
        <v>5.8568979742528639E-3</v>
      </c>
    </row>
    <row r="68" spans="1:17" ht="15" customHeight="1" x14ac:dyDescent="0.25">
      <c r="A68" s="88" t="s">
        <v>296</v>
      </c>
      <c r="B68" s="116" t="str">
        <f>VLOOKUP(A68,'0 Järjestäjätiedot'!A:H,2,FALSE)</f>
        <v>Rovalan Setlementti ry</v>
      </c>
      <c r="C68" s="223">
        <v>5</v>
      </c>
      <c r="D68" s="223">
        <v>11</v>
      </c>
      <c r="E68" s="223">
        <v>82</v>
      </c>
      <c r="F68" s="223">
        <v>69</v>
      </c>
      <c r="G68" s="213">
        <v>89.1</v>
      </c>
      <c r="H68" s="213">
        <v>192.455806</v>
      </c>
      <c r="I68" s="213"/>
      <c r="J68" s="213">
        <v>1684.15</v>
      </c>
      <c r="K68" s="213">
        <v>1383.2775000000001</v>
      </c>
      <c r="L68" s="213">
        <v>162.5</v>
      </c>
      <c r="M68" s="213">
        <v>281.55580599999996</v>
      </c>
      <c r="N68" s="213">
        <v>3229.9275000000002</v>
      </c>
      <c r="O68" s="213">
        <v>3229.9275000000002</v>
      </c>
      <c r="P68" s="213">
        <v>3511.4833060000001</v>
      </c>
      <c r="Q68" s="219">
        <v>2.2439873672979398E-4</v>
      </c>
    </row>
    <row r="69" spans="1:17" ht="15" customHeight="1" x14ac:dyDescent="0.25">
      <c r="A69" s="88" t="s">
        <v>402</v>
      </c>
      <c r="B69" s="116" t="str">
        <f>VLOOKUP(A69,'0 Järjestäjätiedot'!A:H,2,FALSE)</f>
        <v>Ava-instituutin kannatusyhdistys ry</v>
      </c>
      <c r="C69" s="223"/>
      <c r="D69" s="223">
        <v>138</v>
      </c>
      <c r="E69" s="223"/>
      <c r="F69" s="223">
        <v>335</v>
      </c>
      <c r="G69" s="213"/>
      <c r="H69" s="213">
        <v>1453.6726279999998</v>
      </c>
      <c r="I69" s="213"/>
      <c r="J69" s="213"/>
      <c r="K69" s="213">
        <v>8925.3360000000011</v>
      </c>
      <c r="L69" s="213"/>
      <c r="M69" s="213">
        <v>1453.6726279999998</v>
      </c>
      <c r="N69" s="213">
        <v>8925.3360000000011</v>
      </c>
      <c r="O69" s="213">
        <v>4035.5352031182333</v>
      </c>
      <c r="P69" s="213">
        <v>5489.2078311182331</v>
      </c>
      <c r="Q69" s="219">
        <v>3.5078375592602741E-4</v>
      </c>
    </row>
    <row r="70" spans="1:17" ht="15" customHeight="1" x14ac:dyDescent="0.25">
      <c r="A70" s="88" t="s">
        <v>274</v>
      </c>
      <c r="B70" s="116" t="str">
        <f>VLOOKUP(A70,'0 Järjestäjätiedot'!A:H,2,FALSE)</f>
        <v>Tampereen kaupunki</v>
      </c>
      <c r="C70" s="223">
        <v>2922</v>
      </c>
      <c r="D70" s="223">
        <v>943</v>
      </c>
      <c r="E70" s="223">
        <v>25280</v>
      </c>
      <c r="F70" s="223">
        <v>3109</v>
      </c>
      <c r="G70" s="213">
        <v>170747.58184199987</v>
      </c>
      <c r="H70" s="213">
        <v>12633.472645999989</v>
      </c>
      <c r="I70" s="213">
        <v>7884</v>
      </c>
      <c r="J70" s="213">
        <v>468298.02999999974</v>
      </c>
      <c r="K70" s="213">
        <v>67830.199585777678</v>
      </c>
      <c r="L70" s="213">
        <v>25775.75</v>
      </c>
      <c r="M70" s="213">
        <v>191265.05448799985</v>
      </c>
      <c r="N70" s="213">
        <v>561903.97958577739</v>
      </c>
      <c r="O70" s="213">
        <v>561903.97958577739</v>
      </c>
      <c r="P70" s="213">
        <v>753169.03407377726</v>
      </c>
      <c r="Q70" s="219">
        <v>4.8130708610053911E-2</v>
      </c>
    </row>
    <row r="71" spans="1:17" ht="15" customHeight="1" x14ac:dyDescent="0.25">
      <c r="A71" s="88" t="s">
        <v>316</v>
      </c>
      <c r="B71" s="116" t="str">
        <f>VLOOKUP(A71,'0 Järjestäjätiedot'!A:H,2,FALSE)</f>
        <v>Pohjois-Karjalan Koulutuskuntayhtymä</v>
      </c>
      <c r="C71" s="223">
        <v>1637</v>
      </c>
      <c r="D71" s="223">
        <v>471</v>
      </c>
      <c r="E71" s="223">
        <v>15483</v>
      </c>
      <c r="F71" s="223">
        <v>1811</v>
      </c>
      <c r="G71" s="213">
        <v>94658.455205999911</v>
      </c>
      <c r="H71" s="213">
        <v>6078.7108419999977</v>
      </c>
      <c r="I71" s="213">
        <v>8172</v>
      </c>
      <c r="J71" s="213">
        <v>307657.49</v>
      </c>
      <c r="K71" s="213">
        <v>39990.066814229118</v>
      </c>
      <c r="L71" s="213">
        <v>20471</v>
      </c>
      <c r="M71" s="213">
        <v>108909.16604799991</v>
      </c>
      <c r="N71" s="213">
        <v>368118.55681422912</v>
      </c>
      <c r="O71" s="213">
        <v>368118.55681422912</v>
      </c>
      <c r="P71" s="213">
        <v>477027.72286222904</v>
      </c>
      <c r="Q71" s="219">
        <v>3.0484102889644909E-2</v>
      </c>
    </row>
    <row r="72" spans="1:17" ht="15" customHeight="1" x14ac:dyDescent="0.25">
      <c r="A72" s="88" t="s">
        <v>364</v>
      </c>
      <c r="B72" s="116" t="str">
        <f>VLOOKUP(A72,'0 Järjestäjätiedot'!A:H,2,FALSE)</f>
        <v>Kansan Sivistystyön Liitto KSL ry</v>
      </c>
      <c r="C72" s="223"/>
      <c r="D72" s="223">
        <v>17</v>
      </c>
      <c r="E72" s="223"/>
      <c r="F72" s="223">
        <v>55</v>
      </c>
      <c r="G72" s="213"/>
      <c r="H72" s="213">
        <v>239.11142699999999</v>
      </c>
      <c r="I72" s="213"/>
      <c r="J72" s="213"/>
      <c r="K72" s="213">
        <v>1853.1180000000002</v>
      </c>
      <c r="L72" s="213"/>
      <c r="M72" s="213">
        <v>239.11142699999999</v>
      </c>
      <c r="N72" s="213">
        <v>1853.1180000000002</v>
      </c>
      <c r="O72" s="213">
        <v>1853.1180000000002</v>
      </c>
      <c r="P72" s="213">
        <v>2092.2294270000002</v>
      </c>
      <c r="Q72" s="219">
        <v>1.3370237003988784E-4</v>
      </c>
    </row>
    <row r="73" spans="1:17" ht="15" customHeight="1" x14ac:dyDescent="0.25">
      <c r="A73" s="88" t="s">
        <v>338</v>
      </c>
      <c r="B73" s="116" t="str">
        <f>VLOOKUP(A73,'0 Järjestäjätiedot'!A:H,2,FALSE)</f>
        <v>Keski-Uudenmaan koulutuskuntayhtymä</v>
      </c>
      <c r="C73" s="223">
        <v>1995</v>
      </c>
      <c r="D73" s="223">
        <v>682</v>
      </c>
      <c r="E73" s="223">
        <v>16021</v>
      </c>
      <c r="F73" s="223">
        <v>2209</v>
      </c>
      <c r="G73" s="213">
        <v>114946.09815600011</v>
      </c>
      <c r="H73" s="213">
        <v>11077.098528999999</v>
      </c>
      <c r="I73" s="213">
        <v>4248</v>
      </c>
      <c r="J73" s="213">
        <v>304664.05999999988</v>
      </c>
      <c r="K73" s="213">
        <v>51298.876800000005</v>
      </c>
      <c r="L73" s="213">
        <v>9387</v>
      </c>
      <c r="M73" s="213">
        <v>130271.1966850001</v>
      </c>
      <c r="N73" s="213">
        <v>365349.93679999991</v>
      </c>
      <c r="O73" s="213">
        <v>365349.93679999991</v>
      </c>
      <c r="P73" s="213">
        <v>495621.133485</v>
      </c>
      <c r="Q73" s="219">
        <v>3.1672301007551078E-2</v>
      </c>
    </row>
    <row r="74" spans="1:17" ht="15" customHeight="1" x14ac:dyDescent="0.25">
      <c r="A74" s="88" t="s">
        <v>365</v>
      </c>
      <c r="B74" s="116" t="str">
        <f>VLOOKUP(A74,'0 Järjestäjätiedot'!A:H,2,FALSE)</f>
        <v>Kanneljärven Kansanopiston kannatusyhdistys r.y.</v>
      </c>
      <c r="C74" s="223">
        <v>39</v>
      </c>
      <c r="D74" s="223">
        <v>7</v>
      </c>
      <c r="E74" s="223">
        <v>391</v>
      </c>
      <c r="F74" s="223">
        <v>28</v>
      </c>
      <c r="G74" s="213">
        <v>1954.629144</v>
      </c>
      <c r="H74" s="213">
        <v>96.227902999999998</v>
      </c>
      <c r="I74" s="213">
        <v>144</v>
      </c>
      <c r="J74" s="213">
        <v>6108.1500000000005</v>
      </c>
      <c r="K74" s="213">
        <v>449.06400000000002</v>
      </c>
      <c r="L74" s="213">
        <v>502</v>
      </c>
      <c r="M74" s="213">
        <v>2194.857047</v>
      </c>
      <c r="N74" s="213">
        <v>7059.2140000000009</v>
      </c>
      <c r="O74" s="213">
        <v>7059.2140000000009</v>
      </c>
      <c r="P74" s="213">
        <v>9254.0710470000013</v>
      </c>
      <c r="Q74" s="219">
        <v>5.9137454790296592E-4</v>
      </c>
    </row>
    <row r="75" spans="1:17" ht="15" customHeight="1" x14ac:dyDescent="0.25">
      <c r="A75" s="88" t="s">
        <v>241</v>
      </c>
      <c r="B75" s="116" t="str">
        <f>VLOOKUP(A75,'0 Järjestäjätiedot'!A:H,2,FALSE)</f>
        <v>Ylä-Savon koulutuskuntayhtymä</v>
      </c>
      <c r="C75" s="223">
        <v>441</v>
      </c>
      <c r="D75" s="223">
        <v>366</v>
      </c>
      <c r="E75" s="223">
        <v>4044</v>
      </c>
      <c r="F75" s="223">
        <v>1295</v>
      </c>
      <c r="G75" s="213">
        <v>30403.320857999995</v>
      </c>
      <c r="H75" s="213">
        <v>5656.3124810000045</v>
      </c>
      <c r="I75" s="213">
        <v>1944</v>
      </c>
      <c r="J75" s="213">
        <v>88592.18</v>
      </c>
      <c r="K75" s="213">
        <v>34615.116257140588</v>
      </c>
      <c r="L75" s="213">
        <v>5062.25</v>
      </c>
      <c r="M75" s="213">
        <v>38003.633339</v>
      </c>
      <c r="N75" s="213">
        <v>128269.54625714058</v>
      </c>
      <c r="O75" s="213">
        <v>128269.54625714058</v>
      </c>
      <c r="P75" s="213">
        <v>166273.17959614057</v>
      </c>
      <c r="Q75" s="219">
        <v>1.062556424222969E-2</v>
      </c>
    </row>
    <row r="76" spans="1:17" ht="15" customHeight="1" x14ac:dyDescent="0.25">
      <c r="A76" s="88" t="s">
        <v>305</v>
      </c>
      <c r="B76" s="116" t="str">
        <f>VLOOKUP(A76,'0 Järjestäjätiedot'!A:H,2,FALSE)</f>
        <v>Pohjois-Savon Kansanopistoseura r.y.</v>
      </c>
      <c r="C76" s="223">
        <v>17</v>
      </c>
      <c r="D76" s="223"/>
      <c r="E76" s="223">
        <v>147</v>
      </c>
      <c r="F76" s="223"/>
      <c r="G76" s="213">
        <v>730.61947799999996</v>
      </c>
      <c r="H76" s="213"/>
      <c r="I76" s="213">
        <v>108</v>
      </c>
      <c r="J76" s="213">
        <v>2291.0899999999997</v>
      </c>
      <c r="K76" s="213"/>
      <c r="L76" s="213">
        <v>146.5</v>
      </c>
      <c r="M76" s="213">
        <v>838.61947799999996</v>
      </c>
      <c r="N76" s="213">
        <v>2437.5899999999997</v>
      </c>
      <c r="O76" s="213">
        <v>2437.5899999999997</v>
      </c>
      <c r="P76" s="213">
        <v>3276.2094779999998</v>
      </c>
      <c r="Q76" s="219">
        <v>2.0936373721874038E-4</v>
      </c>
    </row>
    <row r="77" spans="1:17" ht="15" customHeight="1" x14ac:dyDescent="0.25">
      <c r="A77" s="88" t="s">
        <v>367</v>
      </c>
      <c r="B77" s="116" t="str">
        <f>VLOOKUP(A77,'0 Järjestäjätiedot'!A:H,2,FALSE)</f>
        <v>Kajaanin kaupunki</v>
      </c>
      <c r="C77" s="223">
        <v>1025</v>
      </c>
      <c r="D77" s="223">
        <v>337</v>
      </c>
      <c r="E77" s="223">
        <v>7887</v>
      </c>
      <c r="F77" s="223">
        <v>1101</v>
      </c>
      <c r="G77" s="213">
        <v>58479.070355999997</v>
      </c>
      <c r="H77" s="213">
        <v>4521.5734159999965</v>
      </c>
      <c r="I77" s="213">
        <v>3816</v>
      </c>
      <c r="J77" s="213">
        <v>153923.22000000003</v>
      </c>
      <c r="K77" s="213">
        <v>23331.435171432382</v>
      </c>
      <c r="L77" s="213">
        <v>7368.5</v>
      </c>
      <c r="M77" s="213">
        <v>66816.643771999996</v>
      </c>
      <c r="N77" s="213">
        <v>184623.15517143242</v>
      </c>
      <c r="O77" s="213">
        <v>184623.15517143242</v>
      </c>
      <c r="P77" s="213">
        <v>251439.7989434324</v>
      </c>
      <c r="Q77" s="219">
        <v>1.6068073896319306E-2</v>
      </c>
    </row>
    <row r="78" spans="1:17" ht="15" customHeight="1" x14ac:dyDescent="0.25">
      <c r="A78" s="88" t="s">
        <v>356</v>
      </c>
      <c r="B78" s="116" t="str">
        <f>VLOOKUP(A78,'0 Järjestäjätiedot'!A:H,2,FALSE)</f>
        <v>Kirkkopalvelut ry</v>
      </c>
      <c r="C78" s="223">
        <v>505</v>
      </c>
      <c r="D78" s="223">
        <v>249</v>
      </c>
      <c r="E78" s="223">
        <v>3196</v>
      </c>
      <c r="F78" s="223">
        <v>788</v>
      </c>
      <c r="G78" s="213">
        <v>21204.299628000004</v>
      </c>
      <c r="H78" s="213">
        <v>3093.1739540000008</v>
      </c>
      <c r="I78" s="213">
        <v>2196</v>
      </c>
      <c r="J78" s="213">
        <v>68616.120000000024</v>
      </c>
      <c r="K78" s="213">
        <v>17334.931499999999</v>
      </c>
      <c r="L78" s="213">
        <v>4512.7700000000004</v>
      </c>
      <c r="M78" s="213">
        <v>26493.473582000006</v>
      </c>
      <c r="N78" s="213">
        <v>90463.821500000035</v>
      </c>
      <c r="O78" s="213">
        <v>90463.821500000035</v>
      </c>
      <c r="P78" s="213">
        <v>116957.29508200004</v>
      </c>
      <c r="Q78" s="219">
        <v>7.4740692125433543E-3</v>
      </c>
    </row>
    <row r="79" spans="1:17" ht="15" customHeight="1" x14ac:dyDescent="0.25">
      <c r="A79" s="88" t="s">
        <v>300</v>
      </c>
      <c r="B79" s="116" t="str">
        <f>VLOOKUP(A79,'0 Järjestäjätiedot'!A:H,2,FALSE)</f>
        <v>Rakennusteollisuus RT ry</v>
      </c>
      <c r="C79" s="223"/>
      <c r="D79" s="223">
        <v>58</v>
      </c>
      <c r="E79" s="223"/>
      <c r="F79" s="223">
        <v>794</v>
      </c>
      <c r="G79" s="213"/>
      <c r="H79" s="213">
        <v>657.30942000000005</v>
      </c>
      <c r="I79" s="213"/>
      <c r="J79" s="213"/>
      <c r="K79" s="213">
        <v>8653.2057000000004</v>
      </c>
      <c r="L79" s="213"/>
      <c r="M79" s="213">
        <v>657.30942000000005</v>
      </c>
      <c r="N79" s="213">
        <v>8653.2057000000004</v>
      </c>
      <c r="O79" s="213">
        <v>7814.3299661659894</v>
      </c>
      <c r="P79" s="213">
        <v>8471.639386165989</v>
      </c>
      <c r="Q79" s="219">
        <v>5.4137383282949747E-4</v>
      </c>
    </row>
    <row r="80" spans="1:17" ht="15" customHeight="1" x14ac:dyDescent="0.25">
      <c r="A80" s="88" t="s">
        <v>327</v>
      </c>
      <c r="B80" s="116" t="str">
        <f>VLOOKUP(A80,'0 Järjestäjätiedot'!A:H,2,FALSE)</f>
        <v>Maalariammattikoulun kannatusyhdistys r.y.</v>
      </c>
      <c r="C80" s="223">
        <v>51</v>
      </c>
      <c r="D80" s="223">
        <v>16</v>
      </c>
      <c r="E80" s="223">
        <v>684</v>
      </c>
      <c r="F80" s="223">
        <v>86</v>
      </c>
      <c r="G80" s="213">
        <v>2833.3781100000001</v>
      </c>
      <c r="H80" s="213">
        <v>249.90093700000003</v>
      </c>
      <c r="I80" s="213">
        <v>36</v>
      </c>
      <c r="J80" s="213">
        <v>11954.500000000002</v>
      </c>
      <c r="K80" s="213">
        <v>1930.2462000000003</v>
      </c>
      <c r="L80" s="213">
        <v>157.5</v>
      </c>
      <c r="M80" s="213">
        <v>3119.279047</v>
      </c>
      <c r="N80" s="213">
        <v>14042.246200000001</v>
      </c>
      <c r="O80" s="213">
        <v>14042.246200000001</v>
      </c>
      <c r="P80" s="213">
        <v>17161.525247000001</v>
      </c>
      <c r="Q80" s="219">
        <v>1.096694544782001E-3</v>
      </c>
    </row>
    <row r="81" spans="1:17" ht="15" customHeight="1" x14ac:dyDescent="0.25">
      <c r="A81" s="88" t="s">
        <v>283</v>
      </c>
      <c r="B81" s="116" t="str">
        <f>VLOOKUP(A81,'0 Järjestäjätiedot'!A:H,2,FALSE)</f>
        <v>Suomen Luterilainen Evankeliumiyhdistys ry</v>
      </c>
      <c r="C81" s="223"/>
      <c r="D81" s="223">
        <v>19</v>
      </c>
      <c r="E81" s="223"/>
      <c r="F81" s="223">
        <v>116</v>
      </c>
      <c r="G81" s="213"/>
      <c r="H81" s="213">
        <v>330.408995</v>
      </c>
      <c r="I81" s="213"/>
      <c r="J81" s="213"/>
      <c r="K81" s="213">
        <v>2317.248</v>
      </c>
      <c r="L81" s="213"/>
      <c r="M81" s="213">
        <v>330.408995</v>
      </c>
      <c r="N81" s="213">
        <v>2317.248</v>
      </c>
      <c r="O81" s="213">
        <v>1678.0071724137931</v>
      </c>
      <c r="P81" s="213">
        <v>2008.4161674137931</v>
      </c>
      <c r="Q81" s="219">
        <v>1.2834634583774654E-4</v>
      </c>
    </row>
    <row r="82" spans="1:17" ht="15" customHeight="1" x14ac:dyDescent="0.25">
      <c r="A82" s="88" t="s">
        <v>372</v>
      </c>
      <c r="B82" s="116" t="str">
        <f>VLOOKUP(A82,'0 Järjestäjätiedot'!A:H,2,FALSE)</f>
        <v>Joensuun kaupunki</v>
      </c>
      <c r="C82" s="223">
        <v>17</v>
      </c>
      <c r="D82" s="223"/>
      <c r="E82" s="223">
        <v>315</v>
      </c>
      <c r="F82" s="223"/>
      <c r="G82" s="213">
        <v>1602.718218</v>
      </c>
      <c r="H82" s="213"/>
      <c r="I82" s="213"/>
      <c r="J82" s="213">
        <v>9179.4800000000014</v>
      </c>
      <c r="K82" s="213"/>
      <c r="L82" s="213"/>
      <c r="M82" s="213">
        <v>1602.718218</v>
      </c>
      <c r="N82" s="213">
        <v>9179.4800000000014</v>
      </c>
      <c r="O82" s="213">
        <v>9179.4800000000014</v>
      </c>
      <c r="P82" s="213">
        <v>10782.198218000001</v>
      </c>
      <c r="Q82" s="219">
        <v>6.8902838158315196E-4</v>
      </c>
    </row>
    <row r="83" spans="1:17" ht="15" customHeight="1" x14ac:dyDescent="0.25">
      <c r="A83" s="88" t="s">
        <v>263</v>
      </c>
      <c r="B83" s="116" t="str">
        <f>VLOOKUP(A83,'0 Järjestäjätiedot'!A:H,2,FALSE)</f>
        <v>Turun Ammattiopistosäätiö sr</v>
      </c>
      <c r="C83" s="223">
        <v>74</v>
      </c>
      <c r="D83" s="223">
        <v>10</v>
      </c>
      <c r="E83" s="223">
        <v>677</v>
      </c>
      <c r="F83" s="223">
        <v>10</v>
      </c>
      <c r="G83" s="213">
        <v>3404.3733360000006</v>
      </c>
      <c r="H83" s="213">
        <v>150.52392</v>
      </c>
      <c r="I83" s="213">
        <v>612</v>
      </c>
      <c r="J83" s="213">
        <v>12420.909999999996</v>
      </c>
      <c r="K83" s="213">
        <v>294.84810000000004</v>
      </c>
      <c r="L83" s="213">
        <v>1863.5</v>
      </c>
      <c r="M83" s="213">
        <v>4166.8972560000002</v>
      </c>
      <c r="N83" s="213">
        <v>14579.258099999995</v>
      </c>
      <c r="O83" s="213">
        <v>14579.258099999995</v>
      </c>
      <c r="P83" s="213">
        <v>18746.155355999996</v>
      </c>
      <c r="Q83" s="219">
        <v>1.197959156815328E-3</v>
      </c>
    </row>
    <row r="84" spans="1:17" ht="15" customHeight="1" x14ac:dyDescent="0.25">
      <c r="A84" s="88" t="s">
        <v>306</v>
      </c>
      <c r="B84" s="116" t="str">
        <f>VLOOKUP(A84,'0 Järjestäjätiedot'!A:H,2,FALSE)</f>
        <v>Pohjois-Satakunnan Kansanopiston kannatusyhdistys r.y.</v>
      </c>
      <c r="C84" s="223">
        <v>30</v>
      </c>
      <c r="D84" s="223">
        <v>50</v>
      </c>
      <c r="E84" s="223">
        <v>301</v>
      </c>
      <c r="F84" s="223">
        <v>116</v>
      </c>
      <c r="G84" s="213">
        <v>1414.5290279999999</v>
      </c>
      <c r="H84" s="213">
        <v>777.69407100000001</v>
      </c>
      <c r="I84" s="213">
        <v>108</v>
      </c>
      <c r="J84" s="213">
        <v>5451.2000000000007</v>
      </c>
      <c r="K84" s="213">
        <v>2343.1275000000001</v>
      </c>
      <c r="L84" s="213">
        <v>206.5</v>
      </c>
      <c r="M84" s="213">
        <v>2300.2230989999998</v>
      </c>
      <c r="N84" s="213">
        <v>8000.8275000000012</v>
      </c>
      <c r="O84" s="213">
        <v>8000.8275000000012</v>
      </c>
      <c r="P84" s="213">
        <v>10301.050599000002</v>
      </c>
      <c r="Q84" s="219">
        <v>6.5828099978593147E-4</v>
      </c>
    </row>
    <row r="85" spans="1:17" ht="15" customHeight="1" x14ac:dyDescent="0.25">
      <c r="A85" s="88" t="s">
        <v>314</v>
      </c>
      <c r="B85" s="116" t="str">
        <f>VLOOKUP(A85,'0 Järjestäjätiedot'!A:H,2,FALSE)</f>
        <v>Paasikiviopistoyhdistys r.y.</v>
      </c>
      <c r="C85" s="223">
        <v>14</v>
      </c>
      <c r="D85" s="223"/>
      <c r="E85" s="223">
        <v>207</v>
      </c>
      <c r="F85" s="223"/>
      <c r="G85" s="213">
        <v>1239.8400000000001</v>
      </c>
      <c r="H85" s="213"/>
      <c r="I85" s="213">
        <v>72</v>
      </c>
      <c r="J85" s="213">
        <v>3287.92</v>
      </c>
      <c r="K85" s="213"/>
      <c r="L85" s="213">
        <v>184</v>
      </c>
      <c r="M85" s="213">
        <v>1311.8400000000001</v>
      </c>
      <c r="N85" s="213">
        <v>3471.92</v>
      </c>
      <c r="O85" s="213">
        <v>3471.92</v>
      </c>
      <c r="P85" s="213">
        <v>4783.76</v>
      </c>
      <c r="Q85" s="219">
        <v>3.0570263540319369E-4</v>
      </c>
    </row>
    <row r="86" spans="1:17" ht="15" customHeight="1" x14ac:dyDescent="0.25">
      <c r="A86" s="88" t="s">
        <v>398</v>
      </c>
      <c r="B86" s="116" t="str">
        <f>VLOOKUP(A86,'0 Järjestäjätiedot'!A:H,2,FALSE)</f>
        <v>Espoon seudun koulutuskuntayhtymä Omnia</v>
      </c>
      <c r="C86" s="223">
        <v>2183</v>
      </c>
      <c r="D86" s="223">
        <v>1011</v>
      </c>
      <c r="E86" s="223">
        <v>17917</v>
      </c>
      <c r="F86" s="223">
        <v>2929</v>
      </c>
      <c r="G86" s="213">
        <v>122578.48785599998</v>
      </c>
      <c r="H86" s="213">
        <v>14997.969262999986</v>
      </c>
      <c r="I86" s="213">
        <v>7380</v>
      </c>
      <c r="J86" s="213">
        <v>339784.2</v>
      </c>
      <c r="K86" s="213">
        <v>66771.553499983958</v>
      </c>
      <c r="L86" s="213">
        <v>24473</v>
      </c>
      <c r="M86" s="213">
        <v>144956.45711899997</v>
      </c>
      <c r="N86" s="213">
        <v>431028.75349998398</v>
      </c>
      <c r="O86" s="213">
        <v>431028.75349998398</v>
      </c>
      <c r="P86" s="213">
        <v>575985.21061898395</v>
      </c>
      <c r="Q86" s="219">
        <v>3.6807907762824006E-2</v>
      </c>
    </row>
    <row r="87" spans="1:17" ht="15" customHeight="1" x14ac:dyDescent="0.25">
      <c r="A87" s="88" t="s">
        <v>362</v>
      </c>
      <c r="B87" s="116" t="str">
        <f>VLOOKUP(A87,'0 Järjestäjätiedot'!A:H,2,FALSE)</f>
        <v>Kauppiaitten Kauppaoppilaitos Oy</v>
      </c>
      <c r="C87" s="223">
        <v>218</v>
      </c>
      <c r="D87" s="223">
        <v>6</v>
      </c>
      <c r="E87" s="223">
        <v>3713</v>
      </c>
      <c r="F87" s="223">
        <v>19</v>
      </c>
      <c r="G87" s="213">
        <v>10684.791036000001</v>
      </c>
      <c r="H87" s="213">
        <v>69.344745000000003</v>
      </c>
      <c r="I87" s="213">
        <v>252</v>
      </c>
      <c r="J87" s="213">
        <v>31194.799999999999</v>
      </c>
      <c r="K87" s="213">
        <v>366.66</v>
      </c>
      <c r="L87" s="213">
        <v>1574</v>
      </c>
      <c r="M87" s="213">
        <v>11006.135781000001</v>
      </c>
      <c r="N87" s="213">
        <v>33135.46</v>
      </c>
      <c r="O87" s="213">
        <v>33135.46</v>
      </c>
      <c r="P87" s="213">
        <v>44141.595780999996</v>
      </c>
      <c r="Q87" s="219">
        <v>2.8208359451883445E-3</v>
      </c>
    </row>
    <row r="88" spans="1:17" ht="15" customHeight="1" x14ac:dyDescent="0.25">
      <c r="A88" s="88" t="s">
        <v>351</v>
      </c>
      <c r="B88" s="116" t="str">
        <f>VLOOKUP(A88,'0 Järjestäjätiedot'!A:H,2,FALSE)</f>
        <v>Korpisaaren Säätiö sr</v>
      </c>
      <c r="C88" s="223">
        <v>28</v>
      </c>
      <c r="D88" s="223">
        <v>20</v>
      </c>
      <c r="E88" s="223">
        <v>330</v>
      </c>
      <c r="F88" s="223">
        <v>139</v>
      </c>
      <c r="G88" s="213">
        <v>1512.9744660000001</v>
      </c>
      <c r="H88" s="213">
        <v>297.43171800000005</v>
      </c>
      <c r="I88" s="213"/>
      <c r="J88" s="213">
        <v>5241.76</v>
      </c>
      <c r="K88" s="213">
        <v>2710.4220000000005</v>
      </c>
      <c r="L88" s="213"/>
      <c r="M88" s="213">
        <v>1810.4061840000002</v>
      </c>
      <c r="N88" s="213">
        <v>7952.1820000000007</v>
      </c>
      <c r="O88" s="213">
        <v>7952.1820000000007</v>
      </c>
      <c r="P88" s="213">
        <v>9762.5881840000002</v>
      </c>
      <c r="Q88" s="219">
        <v>6.2387095845211271E-4</v>
      </c>
    </row>
    <row r="89" spans="1:17" ht="15" customHeight="1" x14ac:dyDescent="0.25">
      <c r="A89" s="88" t="s">
        <v>333</v>
      </c>
      <c r="B89" s="116" t="str">
        <f>VLOOKUP(A89,'0 Järjestäjätiedot'!A:H,2,FALSE)</f>
        <v>Lounais-Hämeen koulutuskuntayhtymä</v>
      </c>
      <c r="C89" s="223">
        <v>392</v>
      </c>
      <c r="D89" s="223">
        <v>171</v>
      </c>
      <c r="E89" s="223">
        <v>3714</v>
      </c>
      <c r="F89" s="223">
        <v>658</v>
      </c>
      <c r="G89" s="213">
        <v>19296.262763999988</v>
      </c>
      <c r="H89" s="213">
        <v>2083.5060040000003</v>
      </c>
      <c r="I89" s="213">
        <v>756</v>
      </c>
      <c r="J89" s="213">
        <v>53390.159999999996</v>
      </c>
      <c r="K89" s="213">
        <v>14763.961800005343</v>
      </c>
      <c r="L89" s="213">
        <v>2352.5</v>
      </c>
      <c r="M89" s="213">
        <v>22135.768767999987</v>
      </c>
      <c r="N89" s="213">
        <v>70506.621800005334</v>
      </c>
      <c r="O89" s="213">
        <v>70506.621800005334</v>
      </c>
      <c r="P89" s="213">
        <v>92642.390568005329</v>
      </c>
      <c r="Q89" s="219">
        <v>5.9202432702918214E-3</v>
      </c>
    </row>
    <row r="90" spans="1:17" ht="15" customHeight="1" x14ac:dyDescent="0.25">
      <c r="A90" s="88" t="s">
        <v>280</v>
      </c>
      <c r="B90" s="116" t="str">
        <f>VLOOKUP(A90,'0 Järjestäjätiedot'!A:H,2,FALSE)</f>
        <v>Suomen ympäristöopisto SYKLI Oy</v>
      </c>
      <c r="C90" s="223"/>
      <c r="D90" s="223">
        <v>155</v>
      </c>
      <c r="E90" s="223"/>
      <c r="F90" s="223">
        <v>681</v>
      </c>
      <c r="G90" s="213"/>
      <c r="H90" s="213">
        <v>1941.6371949999998</v>
      </c>
      <c r="I90" s="213"/>
      <c r="J90" s="213"/>
      <c r="K90" s="213">
        <v>16047.355500000001</v>
      </c>
      <c r="L90" s="213"/>
      <c r="M90" s="213">
        <v>1941.6371949999998</v>
      </c>
      <c r="N90" s="213">
        <v>16047.355500000001</v>
      </c>
      <c r="O90" s="213">
        <v>14498.352000000001</v>
      </c>
      <c r="P90" s="213">
        <v>16439.989195000002</v>
      </c>
      <c r="Q90" s="219">
        <v>1.0505853184339367E-3</v>
      </c>
    </row>
    <row r="91" spans="1:17" ht="15" customHeight="1" x14ac:dyDescent="0.25">
      <c r="A91" s="88" t="s">
        <v>390</v>
      </c>
      <c r="B91" s="116" t="str">
        <f>VLOOKUP(A91,'0 Järjestäjätiedot'!A:H,2,FALSE)</f>
        <v>Fysikaalinen hoitolaitos Arcus Lumio &amp; Pirttimaa</v>
      </c>
      <c r="C91" s="223"/>
      <c r="D91" s="223">
        <v>105</v>
      </c>
      <c r="E91" s="223"/>
      <c r="F91" s="223">
        <v>445</v>
      </c>
      <c r="G91" s="213"/>
      <c r="H91" s="213">
        <v>1841.1611559999999</v>
      </c>
      <c r="I91" s="213"/>
      <c r="J91" s="213"/>
      <c r="K91" s="213">
        <v>8933.2875000000004</v>
      </c>
      <c r="L91" s="213"/>
      <c r="M91" s="213">
        <v>1841.1611559999999</v>
      </c>
      <c r="N91" s="213">
        <v>8933.2875000000004</v>
      </c>
      <c r="O91" s="213">
        <v>2312.6173483146072</v>
      </c>
      <c r="P91" s="213">
        <v>4153.7785043146068</v>
      </c>
      <c r="Q91" s="219">
        <v>2.6544413508414124E-4</v>
      </c>
    </row>
    <row r="92" spans="1:17" ht="15" customHeight="1" x14ac:dyDescent="0.25">
      <c r="A92" s="88" t="s">
        <v>358</v>
      </c>
      <c r="B92" s="116" t="str">
        <f>VLOOKUP(A92,'0 Järjestäjätiedot'!A:H,2,FALSE)</f>
        <v>Kiinteistöalan Koulutussäätiö sr</v>
      </c>
      <c r="C92" s="223"/>
      <c r="D92" s="223">
        <v>79</v>
      </c>
      <c r="E92" s="223"/>
      <c r="F92" s="223">
        <v>413</v>
      </c>
      <c r="G92" s="213"/>
      <c r="H92" s="213">
        <v>671.89389200000005</v>
      </c>
      <c r="I92" s="213"/>
      <c r="J92" s="213"/>
      <c r="K92" s="213">
        <v>6373.08</v>
      </c>
      <c r="L92" s="213"/>
      <c r="M92" s="213">
        <v>671.89389200000005</v>
      </c>
      <c r="N92" s="213">
        <v>6373.08</v>
      </c>
      <c r="O92" s="213">
        <v>6373.08</v>
      </c>
      <c r="P92" s="213">
        <v>7044.973892</v>
      </c>
      <c r="Q92" s="219">
        <v>4.5020383236849139E-4</v>
      </c>
    </row>
    <row r="93" spans="1:17" ht="15" customHeight="1" x14ac:dyDescent="0.25">
      <c r="A93" s="88" t="s">
        <v>319</v>
      </c>
      <c r="B93" s="116" t="str">
        <f>VLOOKUP(A93,'0 Järjestäjätiedot'!A:H,2,FALSE)</f>
        <v>Optima samkommun</v>
      </c>
      <c r="C93" s="223">
        <v>355</v>
      </c>
      <c r="D93" s="223">
        <v>86</v>
      </c>
      <c r="E93" s="223">
        <v>3823</v>
      </c>
      <c r="F93" s="223">
        <v>448</v>
      </c>
      <c r="G93" s="213">
        <v>22806.051155999998</v>
      </c>
      <c r="H93" s="213">
        <v>1086.8412370000001</v>
      </c>
      <c r="I93" s="213">
        <v>312.48</v>
      </c>
      <c r="J93" s="213">
        <v>73008.530000000013</v>
      </c>
      <c r="K93" s="213">
        <v>9889.8867000000009</v>
      </c>
      <c r="L93" s="213">
        <v>15256.59</v>
      </c>
      <c r="M93" s="213">
        <v>24205.372392999998</v>
      </c>
      <c r="N93" s="213">
        <v>98155.006700000013</v>
      </c>
      <c r="O93" s="213">
        <v>98155.006700000013</v>
      </c>
      <c r="P93" s="213">
        <v>122360.37909300001</v>
      </c>
      <c r="Q93" s="219">
        <v>7.8193492896098359E-3</v>
      </c>
    </row>
    <row r="94" spans="1:17" ht="15" customHeight="1" x14ac:dyDescent="0.25">
      <c r="A94" s="88" t="s">
        <v>311</v>
      </c>
      <c r="B94" s="116" t="str">
        <f>VLOOKUP(A94,'0 Järjestäjätiedot'!A:H,2,FALSE)</f>
        <v>Peimarin koulutuskuntayhtymä</v>
      </c>
      <c r="C94" s="223">
        <v>313</v>
      </c>
      <c r="D94" s="223">
        <v>111</v>
      </c>
      <c r="E94" s="223">
        <v>2563</v>
      </c>
      <c r="F94" s="223">
        <v>473</v>
      </c>
      <c r="G94" s="213">
        <v>18646.298837999995</v>
      </c>
      <c r="H94" s="213">
        <v>1855.325431</v>
      </c>
      <c r="I94" s="213">
        <v>1116</v>
      </c>
      <c r="J94" s="213">
        <v>64396.650000000009</v>
      </c>
      <c r="K94" s="213">
        <v>12117.397500000003</v>
      </c>
      <c r="L94" s="213">
        <v>2806.5</v>
      </c>
      <c r="M94" s="213">
        <v>21617.624268999996</v>
      </c>
      <c r="N94" s="213">
        <v>79320.547500000015</v>
      </c>
      <c r="O94" s="213">
        <v>79320.547500000015</v>
      </c>
      <c r="P94" s="213">
        <v>100938.17176900001</v>
      </c>
      <c r="Q94" s="219">
        <v>6.4503790162055681E-3</v>
      </c>
    </row>
    <row r="95" spans="1:17" ht="15" customHeight="1" x14ac:dyDescent="0.25">
      <c r="A95" s="88" t="s">
        <v>304</v>
      </c>
      <c r="B95" s="116" t="str">
        <f>VLOOKUP(A95,'0 Järjestäjätiedot'!A:H,2,FALSE)</f>
        <v>Pohjois-Suomen Koulutuskeskussäätiö sr</v>
      </c>
      <c r="C95" s="223">
        <v>70</v>
      </c>
      <c r="D95" s="223">
        <v>99</v>
      </c>
      <c r="E95" s="223">
        <v>236</v>
      </c>
      <c r="F95" s="223">
        <v>341</v>
      </c>
      <c r="G95" s="213">
        <v>1909.9611540000003</v>
      </c>
      <c r="H95" s="213">
        <v>1084.4604000000002</v>
      </c>
      <c r="I95" s="213"/>
      <c r="J95" s="213">
        <v>5867.4</v>
      </c>
      <c r="K95" s="213">
        <v>7010.3879999999999</v>
      </c>
      <c r="L95" s="213"/>
      <c r="M95" s="213">
        <v>2994.4215540000005</v>
      </c>
      <c r="N95" s="213">
        <v>12877.788</v>
      </c>
      <c r="O95" s="213">
        <v>12877.788</v>
      </c>
      <c r="P95" s="213">
        <v>15872.209554000001</v>
      </c>
      <c r="Q95" s="219">
        <v>1.0143017815127744E-3</v>
      </c>
    </row>
    <row r="96" spans="1:17" ht="15" customHeight="1" x14ac:dyDescent="0.25">
      <c r="A96" s="88" t="s">
        <v>342</v>
      </c>
      <c r="B96" s="116" t="str">
        <f>VLOOKUP(A96,'0 Järjestäjätiedot'!A:H,2,FALSE)</f>
        <v>KSAK Oy</v>
      </c>
      <c r="C96" s="223">
        <v>21</v>
      </c>
      <c r="D96" s="223">
        <v>52</v>
      </c>
      <c r="E96" s="223">
        <v>123</v>
      </c>
      <c r="F96" s="223">
        <v>144</v>
      </c>
      <c r="G96" s="213">
        <v>880.07423399999993</v>
      </c>
      <c r="H96" s="213">
        <v>684.28720099999998</v>
      </c>
      <c r="I96" s="213"/>
      <c r="J96" s="213">
        <v>2430.4499999999998</v>
      </c>
      <c r="K96" s="213">
        <v>2861.0819999999999</v>
      </c>
      <c r="L96" s="213"/>
      <c r="M96" s="213">
        <v>1564.3614349999998</v>
      </c>
      <c r="N96" s="213">
        <v>5291.5319999999992</v>
      </c>
      <c r="O96" s="213">
        <v>5291.5319999999992</v>
      </c>
      <c r="P96" s="213">
        <v>6855.893434999999</v>
      </c>
      <c r="Q96" s="219">
        <v>4.3812078597650254E-4</v>
      </c>
    </row>
    <row r="97" spans="1:17" ht="15" customHeight="1" x14ac:dyDescent="0.25">
      <c r="A97" s="88" t="s">
        <v>265</v>
      </c>
      <c r="B97" s="116" t="str">
        <f>VLOOKUP(A97,'0 Järjestäjätiedot'!A:H,2,FALSE)</f>
        <v>TUL:n Kisakeskussäätiö sr</v>
      </c>
      <c r="C97" s="223"/>
      <c r="D97" s="223">
        <v>5</v>
      </c>
      <c r="E97" s="223"/>
      <c r="F97" s="223">
        <v>23</v>
      </c>
      <c r="G97" s="213"/>
      <c r="H97" s="213">
        <v>76.982399999999998</v>
      </c>
      <c r="I97" s="213"/>
      <c r="J97" s="213"/>
      <c r="K97" s="213">
        <v>461.09250000000003</v>
      </c>
      <c r="L97" s="213"/>
      <c r="M97" s="213">
        <v>76.982399999999998</v>
      </c>
      <c r="N97" s="213">
        <v>461.09250000000003</v>
      </c>
      <c r="O97" s="213">
        <v>320.76</v>
      </c>
      <c r="P97" s="213">
        <v>397.74239999999998</v>
      </c>
      <c r="Q97" s="219">
        <v>2.5417433126158339E-5</v>
      </c>
    </row>
    <row r="98" spans="1:17" ht="15" customHeight="1" x14ac:dyDescent="0.25">
      <c r="A98" s="88" t="s">
        <v>328</v>
      </c>
      <c r="B98" s="116" t="str">
        <f>VLOOKUP(A98,'0 Järjestäjätiedot'!A:H,2,FALSE)</f>
        <v>TYA-oppilaitos Oy</v>
      </c>
      <c r="C98" s="223"/>
      <c r="D98" s="223">
        <v>51</v>
      </c>
      <c r="E98" s="223"/>
      <c r="F98" s="223">
        <v>282</v>
      </c>
      <c r="G98" s="213"/>
      <c r="H98" s="213">
        <v>1270.2079670000001</v>
      </c>
      <c r="I98" s="213"/>
      <c r="J98" s="213"/>
      <c r="K98" s="213">
        <v>5653.3950000000004</v>
      </c>
      <c r="L98" s="213"/>
      <c r="M98" s="213">
        <v>1270.2079670000001</v>
      </c>
      <c r="N98" s="213">
        <v>5653.3950000000004</v>
      </c>
      <c r="O98" s="213">
        <v>1796.2560000000003</v>
      </c>
      <c r="P98" s="213">
        <v>3066.4639670000006</v>
      </c>
      <c r="Q98" s="219">
        <v>1.9596010587505063E-4</v>
      </c>
    </row>
    <row r="99" spans="1:17" ht="15" customHeight="1" x14ac:dyDescent="0.25">
      <c r="A99" s="88" t="s">
        <v>313</v>
      </c>
      <c r="B99" s="116" t="str">
        <f>VLOOKUP(A99,'0 Järjestäjätiedot'!A:H,2,FALSE)</f>
        <v>Palkansaajien koulutussäätiö sr</v>
      </c>
      <c r="C99" s="223"/>
      <c r="D99" s="223">
        <v>98</v>
      </c>
      <c r="E99" s="223"/>
      <c r="F99" s="223">
        <v>438</v>
      </c>
      <c r="G99" s="213"/>
      <c r="H99" s="213">
        <v>1626.8333379999999</v>
      </c>
      <c r="I99" s="213"/>
      <c r="J99" s="213"/>
      <c r="K99" s="213">
        <v>9884.8755000000001</v>
      </c>
      <c r="L99" s="213"/>
      <c r="M99" s="213">
        <v>1626.8333379999999</v>
      </c>
      <c r="N99" s="213">
        <v>9884.8755000000001</v>
      </c>
      <c r="O99" s="213">
        <v>5890.6837106972716</v>
      </c>
      <c r="P99" s="213">
        <v>7517.5170486972711</v>
      </c>
      <c r="Q99" s="219">
        <v>4.8040135238289433E-4</v>
      </c>
    </row>
    <row r="100" spans="1:17" ht="15" customHeight="1" x14ac:dyDescent="0.25">
      <c r="A100" s="88" t="s">
        <v>308</v>
      </c>
      <c r="B100" s="116" t="str">
        <f>VLOOKUP(A100,'0 Järjestäjätiedot'!A:H,2,FALSE)</f>
        <v>Pop &amp; Jazz Konservatorion Säätiö sr</v>
      </c>
      <c r="C100" s="223">
        <v>59</v>
      </c>
      <c r="D100" s="223"/>
      <c r="E100" s="223">
        <v>409</v>
      </c>
      <c r="F100" s="223"/>
      <c r="G100" s="213">
        <v>6153.2936280000004</v>
      </c>
      <c r="H100" s="213"/>
      <c r="I100" s="213"/>
      <c r="J100" s="213">
        <v>10687.9</v>
      </c>
      <c r="K100" s="213"/>
      <c r="L100" s="213"/>
      <c r="M100" s="213">
        <v>6153.2936280000004</v>
      </c>
      <c r="N100" s="213">
        <v>10687.9</v>
      </c>
      <c r="O100" s="213">
        <v>10687.9</v>
      </c>
      <c r="P100" s="213">
        <v>16841.193628000001</v>
      </c>
      <c r="Q100" s="219">
        <v>1.0762239902116898E-3</v>
      </c>
    </row>
    <row r="101" spans="1:17" ht="15" customHeight="1" x14ac:dyDescent="0.25">
      <c r="A101" s="88" t="s">
        <v>261</v>
      </c>
      <c r="B101" s="116" t="str">
        <f>VLOOKUP(A101,'0 Järjestäjätiedot'!A:H,2,FALSE)</f>
        <v>Turun kristillisen opiston säätiö sr</v>
      </c>
      <c r="C101" s="223">
        <v>82</v>
      </c>
      <c r="D101" s="223">
        <v>25</v>
      </c>
      <c r="E101" s="223">
        <v>765</v>
      </c>
      <c r="F101" s="223">
        <v>127</v>
      </c>
      <c r="G101" s="213">
        <v>3677.7218759999996</v>
      </c>
      <c r="H101" s="213">
        <v>564.09433899999999</v>
      </c>
      <c r="I101" s="213">
        <v>216</v>
      </c>
      <c r="J101" s="213">
        <v>13617.949999999999</v>
      </c>
      <c r="K101" s="213">
        <v>2546.0325000000003</v>
      </c>
      <c r="L101" s="213">
        <v>384.5</v>
      </c>
      <c r="M101" s="213">
        <v>4457.8162149999998</v>
      </c>
      <c r="N101" s="213">
        <v>16548.482499999998</v>
      </c>
      <c r="O101" s="213">
        <v>16548.482499999998</v>
      </c>
      <c r="P101" s="213">
        <v>21006.298714999997</v>
      </c>
      <c r="Q101" s="219">
        <v>1.3423919421631145E-3</v>
      </c>
    </row>
    <row r="102" spans="1:17" ht="15" customHeight="1" x14ac:dyDescent="0.25">
      <c r="A102" s="88" t="s">
        <v>383</v>
      </c>
      <c r="B102" s="116" t="str">
        <f>VLOOKUP(A102,'0 Järjestäjätiedot'!A:H,2,FALSE)</f>
        <v>Hevosopisto Oy</v>
      </c>
      <c r="C102" s="223">
        <v>81</v>
      </c>
      <c r="D102" s="223">
        <v>27</v>
      </c>
      <c r="E102" s="223">
        <v>566</v>
      </c>
      <c r="F102" s="223">
        <v>98</v>
      </c>
      <c r="G102" s="213">
        <v>7223.0820839999997</v>
      </c>
      <c r="H102" s="213">
        <v>422.98025299999995</v>
      </c>
      <c r="I102" s="213">
        <v>396</v>
      </c>
      <c r="J102" s="213">
        <v>10850.5</v>
      </c>
      <c r="K102" s="213">
        <v>2794.4190000000003</v>
      </c>
      <c r="L102" s="213">
        <v>462.5</v>
      </c>
      <c r="M102" s="213">
        <v>8042.0623369999994</v>
      </c>
      <c r="N102" s="213">
        <v>14107.419</v>
      </c>
      <c r="O102" s="213">
        <v>14107.419</v>
      </c>
      <c r="P102" s="213">
        <v>22149.481336999997</v>
      </c>
      <c r="Q102" s="219">
        <v>1.4154461798950519E-3</v>
      </c>
    </row>
    <row r="103" spans="1:17" ht="15" customHeight="1" x14ac:dyDescent="0.25">
      <c r="A103" s="88" t="s">
        <v>373</v>
      </c>
      <c r="B103" s="116" t="str">
        <f>VLOOKUP(A103,'0 Järjestäjätiedot'!A:H,2,FALSE)</f>
        <v>Jyväskylän Talouskouluyhdistys r.y.</v>
      </c>
      <c r="C103" s="223">
        <v>49</v>
      </c>
      <c r="D103" s="223"/>
      <c r="E103" s="223">
        <v>634</v>
      </c>
      <c r="F103" s="223"/>
      <c r="G103" s="213">
        <v>3230.7660000000001</v>
      </c>
      <c r="H103" s="213"/>
      <c r="I103" s="213">
        <v>432</v>
      </c>
      <c r="J103" s="213">
        <v>9773.98</v>
      </c>
      <c r="K103" s="213"/>
      <c r="L103" s="213">
        <v>757</v>
      </c>
      <c r="M103" s="213">
        <v>3662.7660000000001</v>
      </c>
      <c r="N103" s="213">
        <v>10530.98</v>
      </c>
      <c r="O103" s="213">
        <v>10530.98</v>
      </c>
      <c r="P103" s="213">
        <v>14193.745999999999</v>
      </c>
      <c r="Q103" s="219">
        <v>9.0704081275890479E-4</v>
      </c>
    </row>
    <row r="104" spans="1:17" ht="15" customHeight="1" x14ac:dyDescent="0.25">
      <c r="A104" s="88" t="s">
        <v>295</v>
      </c>
      <c r="B104" s="116" t="str">
        <f>VLOOKUP(A104,'0 Järjestäjätiedot'!A:H,2,FALSE)</f>
        <v>Rovaniemen Koulutuskuntayhtymä</v>
      </c>
      <c r="C104" s="223">
        <v>1024</v>
      </c>
      <c r="D104" s="223">
        <v>382</v>
      </c>
      <c r="E104" s="223">
        <v>8302</v>
      </c>
      <c r="F104" s="223">
        <v>1047</v>
      </c>
      <c r="G104" s="213">
        <v>63994.259573999989</v>
      </c>
      <c r="H104" s="213">
        <v>5535.1222610000013</v>
      </c>
      <c r="I104" s="213">
        <v>468</v>
      </c>
      <c r="J104" s="213">
        <v>182664.85</v>
      </c>
      <c r="K104" s="213">
        <v>26618.606099999994</v>
      </c>
      <c r="L104" s="213">
        <v>3796.75</v>
      </c>
      <c r="M104" s="213">
        <v>69997.381834999993</v>
      </c>
      <c r="N104" s="213">
        <v>213080.20610000001</v>
      </c>
      <c r="O104" s="213">
        <v>213080.20610000001</v>
      </c>
      <c r="P104" s="213">
        <v>283077.58793500002</v>
      </c>
      <c r="Q104" s="219">
        <v>1.8089863340825796E-2</v>
      </c>
    </row>
    <row r="105" spans="1:17" ht="15" customHeight="1" x14ac:dyDescent="0.25">
      <c r="A105" s="88" t="s">
        <v>278</v>
      </c>
      <c r="B105" s="116" t="str">
        <f>VLOOKUP(A105,'0 Järjestäjätiedot'!A:H,2,FALSE)</f>
        <v>Suupohjan Koulutuskuntayhtymä</v>
      </c>
      <c r="C105" s="223">
        <v>159</v>
      </c>
      <c r="D105" s="223">
        <v>46</v>
      </c>
      <c r="E105" s="223">
        <v>1707</v>
      </c>
      <c r="F105" s="223">
        <v>133</v>
      </c>
      <c r="G105" s="213">
        <v>11100.541193999996</v>
      </c>
      <c r="H105" s="213">
        <v>469.20869999999991</v>
      </c>
      <c r="I105" s="213">
        <v>612</v>
      </c>
      <c r="J105" s="213">
        <v>33104.689999999988</v>
      </c>
      <c r="K105" s="213">
        <v>3031.789499999999</v>
      </c>
      <c r="L105" s="213">
        <v>1721.5</v>
      </c>
      <c r="M105" s="213">
        <v>12181.749893999995</v>
      </c>
      <c r="N105" s="213">
        <v>37857.979499999987</v>
      </c>
      <c r="O105" s="213">
        <v>37857.979499999987</v>
      </c>
      <c r="P105" s="213">
        <v>50039.72939399998</v>
      </c>
      <c r="Q105" s="219">
        <v>3.1977517999666476E-3</v>
      </c>
    </row>
    <row r="106" spans="1:17" ht="15" customHeight="1" x14ac:dyDescent="0.25">
      <c r="A106" s="88" t="s">
        <v>276</v>
      </c>
      <c r="B106" s="116" t="str">
        <f>VLOOKUP(A106,'0 Järjestäjätiedot'!A:H,2,FALSE)</f>
        <v>Svenska Österbottens förbund för Utbildning och Kultur</v>
      </c>
      <c r="C106" s="223">
        <v>513</v>
      </c>
      <c r="D106" s="223">
        <v>169</v>
      </c>
      <c r="E106" s="223">
        <v>5141</v>
      </c>
      <c r="F106" s="223">
        <v>601</v>
      </c>
      <c r="G106" s="213">
        <v>32495.727780000001</v>
      </c>
      <c r="H106" s="213">
        <v>2656.5610859999997</v>
      </c>
      <c r="I106" s="213">
        <v>2304</v>
      </c>
      <c r="J106" s="213">
        <v>96761.739999999962</v>
      </c>
      <c r="K106" s="213">
        <v>13249.210499999999</v>
      </c>
      <c r="L106" s="213">
        <v>6466.5</v>
      </c>
      <c r="M106" s="213">
        <v>37456.288866000003</v>
      </c>
      <c r="N106" s="213">
        <v>116477.45049999996</v>
      </c>
      <c r="O106" s="213">
        <v>116477.45049999996</v>
      </c>
      <c r="P106" s="213">
        <v>153933.73936599997</v>
      </c>
      <c r="Q106" s="219">
        <v>9.8370214646333696E-3</v>
      </c>
    </row>
    <row r="107" spans="1:17" ht="15" customHeight="1" x14ac:dyDescent="0.25">
      <c r="A107" s="88" t="s">
        <v>317</v>
      </c>
      <c r="B107" s="116" t="str">
        <f>VLOOKUP(A107,'0 Järjestäjätiedot'!A:H,2,FALSE)</f>
        <v>Oulun seudun koulutuskuntayhtymä (OSEKK)</v>
      </c>
      <c r="C107" s="223">
        <v>2478</v>
      </c>
      <c r="D107" s="223">
        <v>796</v>
      </c>
      <c r="E107" s="223">
        <v>20749</v>
      </c>
      <c r="F107" s="223">
        <v>2812</v>
      </c>
      <c r="G107" s="213">
        <v>148398.21140400009</v>
      </c>
      <c r="H107" s="213">
        <v>10768.309150000005</v>
      </c>
      <c r="I107" s="213">
        <v>10476</v>
      </c>
      <c r="J107" s="213">
        <v>363122.72999999975</v>
      </c>
      <c r="K107" s="213">
        <v>56636.999742926833</v>
      </c>
      <c r="L107" s="213">
        <v>24962.75</v>
      </c>
      <c r="M107" s="213">
        <v>169642.5205540001</v>
      </c>
      <c r="N107" s="213">
        <v>444722.4797429266</v>
      </c>
      <c r="O107" s="213">
        <v>444722.4797429266</v>
      </c>
      <c r="P107" s="213">
        <v>614365.00029692671</v>
      </c>
      <c r="Q107" s="219">
        <v>3.9260539761663285E-2</v>
      </c>
    </row>
    <row r="108" spans="1:17" ht="15" customHeight="1" x14ac:dyDescent="0.25">
      <c r="A108" s="88" t="s">
        <v>349</v>
      </c>
      <c r="B108" s="116" t="str">
        <f>VLOOKUP(A108,'0 Järjestäjätiedot'!A:H,2,FALSE)</f>
        <v>Koulutuskeskus Salpaus -kuntayhtymä</v>
      </c>
      <c r="C108" s="223">
        <v>2079</v>
      </c>
      <c r="D108" s="223">
        <v>722</v>
      </c>
      <c r="E108" s="223">
        <v>17302</v>
      </c>
      <c r="F108" s="223">
        <v>2299</v>
      </c>
      <c r="G108" s="213">
        <v>120276.66531600004</v>
      </c>
      <c r="H108" s="213">
        <v>8879.2818049999842</v>
      </c>
      <c r="I108" s="213">
        <v>11536.560000000001</v>
      </c>
      <c r="J108" s="213">
        <v>322835.80000000016</v>
      </c>
      <c r="K108" s="213">
        <v>56898.211628572943</v>
      </c>
      <c r="L108" s="213">
        <v>28330.85</v>
      </c>
      <c r="M108" s="213">
        <v>140692.50712100003</v>
      </c>
      <c r="N108" s="213">
        <v>408064.8616285731</v>
      </c>
      <c r="O108" s="213">
        <v>408064.8616285731</v>
      </c>
      <c r="P108" s="213">
        <v>548757.36874957313</v>
      </c>
      <c r="Q108" s="219">
        <v>3.5067932718963045E-2</v>
      </c>
    </row>
    <row r="109" spans="1:17" ht="15" customHeight="1" x14ac:dyDescent="0.25">
      <c r="A109" s="88" t="s">
        <v>288</v>
      </c>
      <c r="B109" s="116" t="str">
        <f>VLOOKUP(A109,'0 Järjestäjätiedot'!A:H,2,FALSE)</f>
        <v>Seinäjoen koulutuskuntayhtymä</v>
      </c>
      <c r="C109" s="223">
        <v>1431</v>
      </c>
      <c r="D109" s="223">
        <v>702</v>
      </c>
      <c r="E109" s="223">
        <v>12468</v>
      </c>
      <c r="F109" s="223">
        <v>2464</v>
      </c>
      <c r="G109" s="213">
        <v>87056.153208000032</v>
      </c>
      <c r="H109" s="213">
        <v>10877.497506000012</v>
      </c>
      <c r="I109" s="213">
        <v>6552</v>
      </c>
      <c r="J109" s="213">
        <v>246852.08000000019</v>
      </c>
      <c r="K109" s="213">
        <v>59776.722900005363</v>
      </c>
      <c r="L109" s="213">
        <v>15822</v>
      </c>
      <c r="M109" s="213">
        <v>104485.65071400005</v>
      </c>
      <c r="N109" s="213">
        <v>322450.80290000554</v>
      </c>
      <c r="O109" s="213">
        <v>322450.80290000554</v>
      </c>
      <c r="P109" s="213">
        <v>426936.45361400559</v>
      </c>
      <c r="Q109" s="219">
        <v>2.7283057473513485E-2</v>
      </c>
    </row>
    <row r="110" spans="1:17" ht="15" customHeight="1" x14ac:dyDescent="0.25">
      <c r="A110" s="88" t="s">
        <v>268</v>
      </c>
      <c r="B110" s="116" t="str">
        <f>VLOOKUP(A110,'0 Järjestäjätiedot'!A:H,2,FALSE)</f>
        <v>Toyota Auto Finland Oy</v>
      </c>
      <c r="C110" s="223"/>
      <c r="D110" s="223">
        <v>25</v>
      </c>
      <c r="E110" s="223"/>
      <c r="F110" s="223">
        <v>108</v>
      </c>
      <c r="G110" s="213"/>
      <c r="H110" s="213">
        <v>383.93506100000002</v>
      </c>
      <c r="I110" s="213"/>
      <c r="J110" s="213"/>
      <c r="K110" s="213">
        <v>1881.2574000000002</v>
      </c>
      <c r="L110" s="213"/>
      <c r="M110" s="213">
        <v>383.93506100000002</v>
      </c>
      <c r="N110" s="213">
        <v>1881.2574000000002</v>
      </c>
      <c r="O110" s="213">
        <v>1881.2574000000002</v>
      </c>
      <c r="P110" s="213">
        <v>2265.1924610000001</v>
      </c>
      <c r="Q110" s="219">
        <v>1.4475544446693523E-4</v>
      </c>
    </row>
    <row r="111" spans="1:17" ht="15" customHeight="1" x14ac:dyDescent="0.25">
      <c r="A111" s="88" t="s">
        <v>397</v>
      </c>
      <c r="B111" s="116" t="str">
        <f>VLOOKUP(A111,'0 Järjestäjätiedot'!A:H,2,FALSE)</f>
        <v>Etelä-Karjalan Koulutuskuntayhtymä</v>
      </c>
      <c r="C111" s="223">
        <v>1037</v>
      </c>
      <c r="D111" s="223">
        <v>305</v>
      </c>
      <c r="E111" s="223">
        <v>9376</v>
      </c>
      <c r="F111" s="223">
        <v>1366</v>
      </c>
      <c r="G111" s="213">
        <v>58526.400996000011</v>
      </c>
      <c r="H111" s="213">
        <v>4814.8930109999983</v>
      </c>
      <c r="I111" s="213">
        <v>3852</v>
      </c>
      <c r="J111" s="213">
        <v>168441.37000000005</v>
      </c>
      <c r="K111" s="213">
        <v>28000.449513906904</v>
      </c>
      <c r="L111" s="213">
        <v>9684.75</v>
      </c>
      <c r="M111" s="213">
        <v>67193.294007000019</v>
      </c>
      <c r="N111" s="213">
        <v>206126.56951390696</v>
      </c>
      <c r="O111" s="213">
        <v>206126.56951390696</v>
      </c>
      <c r="P111" s="213">
        <v>273319.86352090701</v>
      </c>
      <c r="Q111" s="219">
        <v>1.7466303197982862E-2</v>
      </c>
    </row>
    <row r="112" spans="1:17" ht="15" customHeight="1" x14ac:dyDescent="0.25">
      <c r="A112" s="88" t="s">
        <v>251</v>
      </c>
      <c r="B112" s="116" t="str">
        <f>VLOOKUP(A112,'0 Järjestäjätiedot'!A:H,2,FALSE)</f>
        <v>Valtakunnallinen valmennus- ja liikuntakeskus Oy</v>
      </c>
      <c r="C112" s="223">
        <v>66</v>
      </c>
      <c r="D112" s="223">
        <v>24</v>
      </c>
      <c r="E112" s="223">
        <v>511</v>
      </c>
      <c r="F112" s="223">
        <v>90</v>
      </c>
      <c r="G112" s="213">
        <v>6819.7302899999995</v>
      </c>
      <c r="H112" s="213">
        <v>404.1576</v>
      </c>
      <c r="I112" s="213"/>
      <c r="J112" s="213">
        <v>17151.3</v>
      </c>
      <c r="K112" s="213">
        <v>2455.1505000000002</v>
      </c>
      <c r="L112" s="213"/>
      <c r="M112" s="213">
        <v>7223.88789</v>
      </c>
      <c r="N112" s="213">
        <v>19606.450499999999</v>
      </c>
      <c r="O112" s="213">
        <v>19606.450499999999</v>
      </c>
      <c r="P112" s="213">
        <v>26830.338389999997</v>
      </c>
      <c r="Q112" s="219">
        <v>1.7145728787778818E-3</v>
      </c>
    </row>
    <row r="113" spans="1:17" ht="15" customHeight="1" x14ac:dyDescent="0.25">
      <c r="A113" s="88" t="s">
        <v>388</v>
      </c>
      <c r="B113" s="116" t="str">
        <f>VLOOKUP(A113,'0 Järjestäjätiedot'!A:H,2,FALSE)</f>
        <v>Harjun Oppimiskeskus Oy</v>
      </c>
      <c r="C113" s="223">
        <v>62</v>
      </c>
      <c r="D113" s="223">
        <v>12</v>
      </c>
      <c r="E113" s="223">
        <v>496</v>
      </c>
      <c r="F113" s="223">
        <v>55</v>
      </c>
      <c r="G113" s="213">
        <v>3882.7560419999995</v>
      </c>
      <c r="H113" s="213">
        <v>286.93414699999994</v>
      </c>
      <c r="I113" s="213">
        <v>144</v>
      </c>
      <c r="J113" s="213">
        <v>13897.229999999998</v>
      </c>
      <c r="K113" s="213">
        <v>1121.4045000000001</v>
      </c>
      <c r="L113" s="213">
        <v>332.5</v>
      </c>
      <c r="M113" s="213">
        <v>4313.690188999999</v>
      </c>
      <c r="N113" s="213">
        <v>15351.134499999998</v>
      </c>
      <c r="O113" s="213">
        <v>15351.134499999998</v>
      </c>
      <c r="P113" s="213">
        <v>19664.824688999997</v>
      </c>
      <c r="Q113" s="219">
        <v>1.2566660393015302E-3</v>
      </c>
    </row>
    <row r="114" spans="1:17" ht="15" customHeight="1" x14ac:dyDescent="0.25">
      <c r="A114" s="88" t="s">
        <v>267</v>
      </c>
      <c r="B114" s="116" t="str">
        <f>VLOOKUP(A114,'0 Järjestäjätiedot'!A:H,2,FALSE)</f>
        <v>Traffica Oy</v>
      </c>
      <c r="C114" s="223"/>
      <c r="D114" s="223"/>
      <c r="E114" s="223">
        <v>8</v>
      </c>
      <c r="F114" s="223"/>
      <c r="G114" s="213"/>
      <c r="H114" s="213"/>
      <c r="I114" s="213"/>
      <c r="J114" s="213">
        <v>282.39999999999998</v>
      </c>
      <c r="K114" s="213"/>
      <c r="L114" s="213"/>
      <c r="M114" s="213"/>
      <c r="N114" s="213">
        <v>282.39999999999998</v>
      </c>
      <c r="O114" s="213">
        <v>282.39999999999998</v>
      </c>
      <c r="P114" s="213">
        <v>282.39999999999998</v>
      </c>
      <c r="Q114" s="219">
        <v>1.8046562586304893E-5</v>
      </c>
    </row>
    <row r="115" spans="1:17" ht="15" customHeight="1" x14ac:dyDescent="0.25">
      <c r="A115" s="88" t="s">
        <v>374</v>
      </c>
      <c r="B115" s="116" t="str">
        <f>VLOOKUP(A115,'0 Järjestäjätiedot'!A:H,2,FALSE)</f>
        <v>Jyväskylän kristillisen opiston säätiö sr</v>
      </c>
      <c r="C115" s="223">
        <v>70</v>
      </c>
      <c r="D115" s="223">
        <v>50</v>
      </c>
      <c r="E115" s="223">
        <v>384</v>
      </c>
      <c r="F115" s="223">
        <v>201</v>
      </c>
      <c r="G115" s="213">
        <v>2806.6462200000001</v>
      </c>
      <c r="H115" s="213">
        <v>815.84548900000004</v>
      </c>
      <c r="I115" s="213">
        <v>252</v>
      </c>
      <c r="J115" s="213">
        <v>8499.27</v>
      </c>
      <c r="K115" s="213">
        <v>3981.4335000000005</v>
      </c>
      <c r="L115" s="213">
        <v>520.75</v>
      </c>
      <c r="M115" s="213">
        <v>3874.4917089999999</v>
      </c>
      <c r="N115" s="213">
        <v>13001.453500000001</v>
      </c>
      <c r="O115" s="213">
        <v>13001.453500000001</v>
      </c>
      <c r="P115" s="213">
        <v>16875.945209000001</v>
      </c>
      <c r="Q115" s="219">
        <v>1.0784447642254629E-3</v>
      </c>
    </row>
    <row r="116" spans="1:17" ht="15" customHeight="1" x14ac:dyDescent="0.25">
      <c r="A116" s="88" t="s">
        <v>370</v>
      </c>
      <c r="B116" s="116" t="str">
        <f>VLOOKUP(A116,'0 Järjestäjätiedot'!A:H,2,FALSE)</f>
        <v>Jollas-Opisto Oy</v>
      </c>
      <c r="C116" s="223"/>
      <c r="D116" s="223">
        <v>224</v>
      </c>
      <c r="E116" s="223"/>
      <c r="F116" s="223">
        <v>747</v>
      </c>
      <c r="G116" s="213"/>
      <c r="H116" s="213">
        <v>2797.1671580000002</v>
      </c>
      <c r="I116" s="213"/>
      <c r="J116" s="213"/>
      <c r="K116" s="213">
        <v>15173.675999999999</v>
      </c>
      <c r="L116" s="213"/>
      <c r="M116" s="213">
        <v>2797.1671580000002</v>
      </c>
      <c r="N116" s="213">
        <v>15173.675999999999</v>
      </c>
      <c r="O116" s="213">
        <v>7527.3896611726559</v>
      </c>
      <c r="P116" s="213">
        <v>10324.556819172656</v>
      </c>
      <c r="Q116" s="219">
        <v>6.5978314735502949E-4</v>
      </c>
    </row>
    <row r="117" spans="1:17" ht="15" customHeight="1" x14ac:dyDescent="0.25">
      <c r="A117" s="88" t="s">
        <v>277</v>
      </c>
      <c r="B117" s="116" t="str">
        <f>VLOOKUP(A117,'0 Järjestäjätiedot'!A:H,2,FALSE)</f>
        <v>Svenska Framtidsskolan i Helsingforsregionen Ab</v>
      </c>
      <c r="C117" s="223">
        <v>348</v>
      </c>
      <c r="D117" s="223">
        <v>29</v>
      </c>
      <c r="E117" s="223">
        <v>4178</v>
      </c>
      <c r="F117" s="223">
        <v>115</v>
      </c>
      <c r="G117" s="213">
        <v>21693.100373999994</v>
      </c>
      <c r="H117" s="213">
        <v>462.08808999999997</v>
      </c>
      <c r="I117" s="213">
        <v>1620</v>
      </c>
      <c r="J117" s="213">
        <v>58003.479999999989</v>
      </c>
      <c r="K117" s="213">
        <v>2251.395</v>
      </c>
      <c r="L117" s="213">
        <v>3621.25</v>
      </c>
      <c r="M117" s="213">
        <v>23775.188463999995</v>
      </c>
      <c r="N117" s="213">
        <v>63876.124999999985</v>
      </c>
      <c r="O117" s="213">
        <v>63876.124999999985</v>
      </c>
      <c r="P117" s="213">
        <v>87651.313463999977</v>
      </c>
      <c r="Q117" s="219">
        <v>5.6012921890931456E-3</v>
      </c>
    </row>
    <row r="118" spans="1:17" ht="15" customHeight="1" x14ac:dyDescent="0.25">
      <c r="A118" s="88" t="s">
        <v>387</v>
      </c>
      <c r="B118" s="116" t="str">
        <f>VLOOKUP(A118,'0 Järjestäjätiedot'!A:H,2,FALSE)</f>
        <v>HAUS Kehittämiskeskus Oy</v>
      </c>
      <c r="C118" s="223"/>
      <c r="D118" s="223">
        <v>4</v>
      </c>
      <c r="E118" s="223"/>
      <c r="F118" s="223">
        <v>7</v>
      </c>
      <c r="G118" s="213"/>
      <c r="H118" s="213">
        <v>33.496559000000005</v>
      </c>
      <c r="I118" s="213"/>
      <c r="J118" s="213"/>
      <c r="K118" s="213">
        <v>226.79999999999995</v>
      </c>
      <c r="L118" s="213"/>
      <c r="M118" s="213">
        <v>33.496559000000005</v>
      </c>
      <c r="N118" s="213">
        <v>226.79999999999995</v>
      </c>
      <c r="O118" s="213">
        <v>226.79999999999995</v>
      </c>
      <c r="P118" s="213">
        <v>260.29655899999995</v>
      </c>
      <c r="Q118" s="219">
        <v>1.6634058580004614E-5</v>
      </c>
    </row>
    <row r="119" spans="1:17" ht="15" customHeight="1" x14ac:dyDescent="0.25">
      <c r="A119" s="88" t="s">
        <v>368</v>
      </c>
      <c r="B119" s="116" t="str">
        <f>VLOOKUP(A119,'0 Järjestäjätiedot'!A:H,2,FALSE)</f>
        <v>Järviseudun Koulutuskuntayhtymä</v>
      </c>
      <c r="C119" s="223">
        <v>167</v>
      </c>
      <c r="D119" s="223">
        <v>100</v>
      </c>
      <c r="E119" s="223">
        <v>2039</v>
      </c>
      <c r="F119" s="223">
        <v>345</v>
      </c>
      <c r="G119" s="213">
        <v>10441.443978000003</v>
      </c>
      <c r="H119" s="213">
        <v>1447.0225169999999</v>
      </c>
      <c r="I119" s="213">
        <v>396</v>
      </c>
      <c r="J119" s="213">
        <v>40161.750000000015</v>
      </c>
      <c r="K119" s="213">
        <v>8660.7495000000035</v>
      </c>
      <c r="L119" s="213">
        <v>1404.5</v>
      </c>
      <c r="M119" s="213">
        <v>12284.466495000002</v>
      </c>
      <c r="N119" s="213">
        <v>50226.99950000002</v>
      </c>
      <c r="O119" s="213">
        <v>50226.99950000002</v>
      </c>
      <c r="P119" s="213">
        <v>62511.46599500002</v>
      </c>
      <c r="Q119" s="219">
        <v>3.9947488790383779E-3</v>
      </c>
    </row>
    <row r="120" spans="1:17" ht="15" customHeight="1" x14ac:dyDescent="0.25">
      <c r="A120" s="88" t="s">
        <v>289</v>
      </c>
      <c r="B120" s="116" t="str">
        <f>VLOOKUP(A120,'0 Järjestäjätiedot'!A:H,2,FALSE)</f>
        <v>Savon Koulutuskuntayhtymä</v>
      </c>
      <c r="C120" s="223">
        <v>1888</v>
      </c>
      <c r="D120" s="223">
        <v>753</v>
      </c>
      <c r="E120" s="223">
        <v>17429</v>
      </c>
      <c r="F120" s="223">
        <v>2887</v>
      </c>
      <c r="G120" s="213">
        <v>104385.05063999999</v>
      </c>
      <c r="H120" s="213">
        <v>8892.5659709999982</v>
      </c>
      <c r="I120" s="213">
        <v>8928</v>
      </c>
      <c r="J120" s="213">
        <v>316818.54000000021</v>
      </c>
      <c r="K120" s="213">
        <v>60659.533800074882</v>
      </c>
      <c r="L120" s="213">
        <v>20401</v>
      </c>
      <c r="M120" s="213">
        <v>122205.61661099999</v>
      </c>
      <c r="N120" s="213">
        <v>397879.0738000751</v>
      </c>
      <c r="O120" s="213">
        <v>397879.0738000751</v>
      </c>
      <c r="P120" s="213">
        <v>520084.69041107508</v>
      </c>
      <c r="Q120" s="219">
        <v>3.3235626471963424E-2</v>
      </c>
    </row>
    <row r="121" spans="1:17" ht="15" customHeight="1" x14ac:dyDescent="0.25">
      <c r="A121" s="88" t="s">
        <v>353</v>
      </c>
      <c r="B121" s="116" t="str">
        <f>VLOOKUP(A121,'0 Järjestäjätiedot'!A:H,2,FALSE)</f>
        <v>KONE Hissit Oy</v>
      </c>
      <c r="C121" s="223"/>
      <c r="D121" s="223">
        <v>20</v>
      </c>
      <c r="E121" s="223"/>
      <c r="F121" s="223">
        <v>40</v>
      </c>
      <c r="G121" s="213"/>
      <c r="H121" s="213">
        <v>221.3244</v>
      </c>
      <c r="I121" s="213"/>
      <c r="J121" s="213"/>
      <c r="K121" s="213">
        <v>1603.8000000000002</v>
      </c>
      <c r="L121" s="213"/>
      <c r="M121" s="213">
        <v>221.3244</v>
      </c>
      <c r="N121" s="213">
        <v>1603.8000000000002</v>
      </c>
      <c r="O121" s="213">
        <v>1603.8000000000002</v>
      </c>
      <c r="P121" s="213">
        <v>1825.1244000000002</v>
      </c>
      <c r="Q121" s="219">
        <v>1.1663322136116207E-4</v>
      </c>
    </row>
    <row r="122" spans="1:17" ht="15" customHeight="1" x14ac:dyDescent="0.25">
      <c r="A122" s="88" t="s">
        <v>345</v>
      </c>
      <c r="B122" s="116" t="str">
        <f>VLOOKUP(A122,'0 Järjestäjätiedot'!A:H,2,FALSE)</f>
        <v>Keski-Pohjanmaan Konservatorion Kannatusyhdistys Ry</v>
      </c>
      <c r="C122" s="223">
        <v>25</v>
      </c>
      <c r="D122" s="223"/>
      <c r="E122" s="223">
        <v>175</v>
      </c>
      <c r="F122" s="223"/>
      <c r="G122" s="213">
        <v>2432.6999999999998</v>
      </c>
      <c r="H122" s="213"/>
      <c r="I122" s="213"/>
      <c r="J122" s="213">
        <v>5654.5199999999995</v>
      </c>
      <c r="K122" s="213"/>
      <c r="L122" s="213"/>
      <c r="M122" s="213">
        <v>2432.6999999999998</v>
      </c>
      <c r="N122" s="213">
        <v>5654.5199999999995</v>
      </c>
      <c r="O122" s="213">
        <v>5654.5199999999995</v>
      </c>
      <c r="P122" s="213">
        <v>8087.2199999999993</v>
      </c>
      <c r="Q122" s="219">
        <v>5.168077970227219E-4</v>
      </c>
    </row>
    <row r="123" spans="1:17" ht="15" customHeight="1" x14ac:dyDescent="0.25">
      <c r="A123" s="88" t="s">
        <v>350</v>
      </c>
      <c r="B123" s="116" t="str">
        <f>VLOOKUP(A123,'0 Järjestäjätiedot'!A:H,2,FALSE)</f>
        <v>Kotkan-Haminan seudun koulutuskuntayhtymä</v>
      </c>
      <c r="C123" s="223">
        <v>748</v>
      </c>
      <c r="D123" s="223">
        <v>223</v>
      </c>
      <c r="E123" s="223">
        <v>6463</v>
      </c>
      <c r="F123" s="223">
        <v>933</v>
      </c>
      <c r="G123" s="213">
        <v>46182.492413999978</v>
      </c>
      <c r="H123" s="213">
        <v>3903.4750979999994</v>
      </c>
      <c r="I123" s="213">
        <v>6012</v>
      </c>
      <c r="J123" s="213">
        <v>123683.31</v>
      </c>
      <c r="K123" s="213">
        <v>18814.342114302508</v>
      </c>
      <c r="L123" s="213">
        <v>13352</v>
      </c>
      <c r="M123" s="213">
        <v>56097.967511999981</v>
      </c>
      <c r="N123" s="213">
        <v>155849.6521143025</v>
      </c>
      <c r="O123" s="213">
        <v>155849.6521143025</v>
      </c>
      <c r="P123" s="213">
        <v>211947.61962630248</v>
      </c>
      <c r="Q123" s="219">
        <v>1.354435546248021E-2</v>
      </c>
    </row>
    <row r="124" spans="1:17" ht="15" customHeight="1" x14ac:dyDescent="0.25">
      <c r="A124" s="88" t="s">
        <v>401</v>
      </c>
      <c r="B124" s="116" t="str">
        <f>VLOOKUP(A124,'0 Järjestäjätiedot'!A:H,2,FALSE)</f>
        <v>Axxell Utbildning Ab</v>
      </c>
      <c r="C124" s="223">
        <v>478</v>
      </c>
      <c r="D124" s="223">
        <v>215</v>
      </c>
      <c r="E124" s="223">
        <v>4103</v>
      </c>
      <c r="F124" s="223">
        <v>669</v>
      </c>
      <c r="G124" s="213">
        <v>27084.468023999991</v>
      </c>
      <c r="H124" s="213">
        <v>3165.4000369999999</v>
      </c>
      <c r="I124" s="213">
        <v>1548</v>
      </c>
      <c r="J124" s="213">
        <v>82832.200000000012</v>
      </c>
      <c r="K124" s="213">
        <v>18105.592500000006</v>
      </c>
      <c r="L124" s="213">
        <v>4154.5</v>
      </c>
      <c r="M124" s="213">
        <v>31797.86806099999</v>
      </c>
      <c r="N124" s="213">
        <v>105092.29250000001</v>
      </c>
      <c r="O124" s="213">
        <v>105092.29250000001</v>
      </c>
      <c r="P124" s="213">
        <v>136890.160561</v>
      </c>
      <c r="Q124" s="219">
        <v>8.7478641997642079E-3</v>
      </c>
    </row>
    <row r="125" spans="1:17" ht="15" customHeight="1" x14ac:dyDescent="0.25">
      <c r="A125" s="88" t="s">
        <v>359</v>
      </c>
      <c r="B125" s="116" t="str">
        <f>VLOOKUP(A125,'0 Järjestäjätiedot'!A:H,2,FALSE)</f>
        <v>Kemi-Tornionlaakson koulutuskuntayhtymä Lappia</v>
      </c>
      <c r="C125" s="223">
        <v>725</v>
      </c>
      <c r="D125" s="223">
        <v>317</v>
      </c>
      <c r="E125" s="223">
        <v>6395</v>
      </c>
      <c r="F125" s="223">
        <v>1244</v>
      </c>
      <c r="G125" s="213">
        <v>42119.348112000051</v>
      </c>
      <c r="H125" s="213">
        <v>4000.8423650000032</v>
      </c>
      <c r="I125" s="213">
        <v>1152</v>
      </c>
      <c r="J125" s="213">
        <v>124668.07999999997</v>
      </c>
      <c r="K125" s="213">
        <v>27511.129285692139</v>
      </c>
      <c r="L125" s="213">
        <v>3609</v>
      </c>
      <c r="M125" s="213">
        <v>47272.190477000055</v>
      </c>
      <c r="N125" s="213">
        <v>155788.20928569211</v>
      </c>
      <c r="O125" s="213">
        <v>155788.20928569211</v>
      </c>
      <c r="P125" s="213">
        <v>203060.39976269216</v>
      </c>
      <c r="Q125" s="219">
        <v>1.2976424267413298E-2</v>
      </c>
    </row>
    <row r="126" spans="1:17" ht="15" customHeight="1" x14ac:dyDescent="0.25">
      <c r="A126" s="88" t="s">
        <v>385</v>
      </c>
      <c r="B126" s="116" t="str">
        <f>VLOOKUP(A126,'0 Järjestäjätiedot'!A:H,2,FALSE)</f>
        <v>Helsinki Business College Oy</v>
      </c>
      <c r="C126" s="223">
        <v>646</v>
      </c>
      <c r="D126" s="223">
        <v>133</v>
      </c>
      <c r="E126" s="223">
        <v>7837</v>
      </c>
      <c r="F126" s="223">
        <v>392</v>
      </c>
      <c r="G126" s="213">
        <v>29822.986511999999</v>
      </c>
      <c r="H126" s="213">
        <v>1360.2051269999999</v>
      </c>
      <c r="I126" s="213">
        <v>756</v>
      </c>
      <c r="J126" s="213">
        <v>83030.349999999991</v>
      </c>
      <c r="K126" s="213">
        <v>8109.99</v>
      </c>
      <c r="L126" s="213">
        <v>2208.75</v>
      </c>
      <c r="M126" s="213">
        <v>31939.191639000001</v>
      </c>
      <c r="N126" s="213">
        <v>93349.09</v>
      </c>
      <c r="O126" s="213">
        <v>93349.09</v>
      </c>
      <c r="P126" s="213">
        <v>125288.28163899999</v>
      </c>
      <c r="Q126" s="219">
        <v>8.0064547306260888E-3</v>
      </c>
    </row>
    <row r="127" spans="1:17" ht="15" customHeight="1" x14ac:dyDescent="0.25">
      <c r="A127" s="88" t="s">
        <v>399</v>
      </c>
      <c r="B127" s="116" t="str">
        <f>VLOOKUP(A127,'0 Järjestäjätiedot'!A:H,2,FALSE)</f>
        <v>Cimson Koulutuspalvelut Oy</v>
      </c>
      <c r="C127" s="223"/>
      <c r="D127" s="223">
        <v>13</v>
      </c>
      <c r="E127" s="223"/>
      <c r="F127" s="223">
        <v>39</v>
      </c>
      <c r="G127" s="213"/>
      <c r="H127" s="213">
        <v>149.68785399999999</v>
      </c>
      <c r="I127" s="213"/>
      <c r="J127" s="213"/>
      <c r="K127" s="213">
        <v>737.1</v>
      </c>
      <c r="L127" s="213"/>
      <c r="M127" s="213">
        <v>149.68785399999999</v>
      </c>
      <c r="N127" s="213">
        <v>737.1</v>
      </c>
      <c r="O127" s="213">
        <v>544.32000000000005</v>
      </c>
      <c r="P127" s="213">
        <v>694.00785400000007</v>
      </c>
      <c r="Q127" s="219">
        <v>4.4350057268407045E-5</v>
      </c>
    </row>
    <row r="128" spans="1:17" ht="15" customHeight="1" x14ac:dyDescent="0.25">
      <c r="A128" s="88" t="s">
        <v>329</v>
      </c>
      <c r="B128" s="116" t="str">
        <f>VLOOKUP(A128,'0 Järjestäjätiedot'!A:H,2,FALSE)</f>
        <v>Länsirannikon Koulutus Oy</v>
      </c>
      <c r="C128" s="223">
        <v>1236</v>
      </c>
      <c r="D128" s="223">
        <v>633</v>
      </c>
      <c r="E128" s="223">
        <v>10724</v>
      </c>
      <c r="F128" s="223">
        <v>2328</v>
      </c>
      <c r="G128" s="213">
        <v>77929.013826000024</v>
      </c>
      <c r="H128" s="213">
        <v>8101.9931789999919</v>
      </c>
      <c r="I128" s="213">
        <v>5724</v>
      </c>
      <c r="J128" s="213">
        <v>200294.50000000003</v>
      </c>
      <c r="K128" s="213">
        <v>47462.311414170341</v>
      </c>
      <c r="L128" s="213">
        <v>13840.5</v>
      </c>
      <c r="M128" s="213">
        <v>91755.007005000021</v>
      </c>
      <c r="N128" s="213">
        <v>261597.31141417037</v>
      </c>
      <c r="O128" s="213">
        <v>261597.31141417037</v>
      </c>
      <c r="P128" s="213">
        <v>353352.31841917039</v>
      </c>
      <c r="Q128" s="219">
        <v>2.258071788019651E-2</v>
      </c>
    </row>
    <row r="129" spans="1:17" ht="15" customHeight="1" x14ac:dyDescent="0.25">
      <c r="A129" s="88" t="s">
        <v>395</v>
      </c>
      <c r="B129" s="116" t="str">
        <f>VLOOKUP(A129,'0 Järjestäjätiedot'!A:H,2,FALSE)</f>
        <v>Etelä-Savon Koulutus Oy</v>
      </c>
      <c r="C129" s="223">
        <v>917</v>
      </c>
      <c r="D129" s="223">
        <v>303</v>
      </c>
      <c r="E129" s="223">
        <v>7503</v>
      </c>
      <c r="F129" s="223">
        <v>963</v>
      </c>
      <c r="G129" s="213">
        <v>55119.716802000039</v>
      </c>
      <c r="H129" s="213">
        <v>3748.7858329999976</v>
      </c>
      <c r="I129" s="213">
        <v>3384</v>
      </c>
      <c r="J129" s="213">
        <v>154510.71999999997</v>
      </c>
      <c r="K129" s="213">
        <v>21265.958700000003</v>
      </c>
      <c r="L129" s="213">
        <v>9131</v>
      </c>
      <c r="M129" s="213">
        <v>62252.502635000033</v>
      </c>
      <c r="N129" s="213">
        <v>184907.67869999999</v>
      </c>
      <c r="O129" s="213">
        <v>184907.67869999999</v>
      </c>
      <c r="P129" s="213">
        <v>247160.18133500003</v>
      </c>
      <c r="Q129" s="219">
        <v>1.5794588106602496E-2</v>
      </c>
    </row>
    <row r="130" spans="1:17" ht="15" customHeight="1" x14ac:dyDescent="0.25">
      <c r="A130" s="88" t="s">
        <v>380</v>
      </c>
      <c r="B130" s="116" t="str">
        <f>VLOOKUP(A130,'0 Järjestäjätiedot'!A:H,2,FALSE)</f>
        <v>Hyria koulutus Oy</v>
      </c>
      <c r="C130" s="223">
        <v>1046</v>
      </c>
      <c r="D130" s="223">
        <v>364</v>
      </c>
      <c r="E130" s="223">
        <v>9988</v>
      </c>
      <c r="F130" s="223">
        <v>1741</v>
      </c>
      <c r="G130" s="213">
        <v>60199.793765999995</v>
      </c>
      <c r="H130" s="213">
        <v>5371.5367670000078</v>
      </c>
      <c r="I130" s="213">
        <v>4608</v>
      </c>
      <c r="J130" s="213">
        <v>187969.26000000018</v>
      </c>
      <c r="K130" s="213">
        <v>32455.415378578295</v>
      </c>
      <c r="L130" s="213">
        <v>14081.625</v>
      </c>
      <c r="M130" s="213">
        <v>70179.330533</v>
      </c>
      <c r="N130" s="213">
        <v>234506.30037857848</v>
      </c>
      <c r="O130" s="213">
        <v>234506.30037857848</v>
      </c>
      <c r="P130" s="213">
        <v>304685.63091157848</v>
      </c>
      <c r="Q130" s="219">
        <v>1.9470709303801677E-2</v>
      </c>
    </row>
    <row r="131" spans="1:17" ht="15" customHeight="1" x14ac:dyDescent="0.25">
      <c r="A131" s="88" t="s">
        <v>392</v>
      </c>
      <c r="B131" s="116" t="str">
        <f>VLOOKUP(A131,'0 Järjestäjätiedot'!A:H,2,FALSE)</f>
        <v>Folkhälsan Utbildning Ab</v>
      </c>
      <c r="C131" s="223">
        <v>24</v>
      </c>
      <c r="D131" s="223">
        <v>23</v>
      </c>
      <c r="E131" s="223">
        <v>379</v>
      </c>
      <c r="F131" s="223">
        <v>1</v>
      </c>
      <c r="G131" s="213">
        <v>2747.52</v>
      </c>
      <c r="H131" s="213">
        <v>365.66597200000001</v>
      </c>
      <c r="I131" s="213">
        <v>72</v>
      </c>
      <c r="J131" s="213">
        <v>11175.650000000001</v>
      </c>
      <c r="K131" s="213">
        <v>20.047500000000003</v>
      </c>
      <c r="L131" s="213">
        <v>552.5</v>
      </c>
      <c r="M131" s="213">
        <v>3185.1859720000002</v>
      </c>
      <c r="N131" s="213">
        <v>11748.197500000002</v>
      </c>
      <c r="O131" s="213">
        <v>11748.197500000002</v>
      </c>
      <c r="P131" s="213">
        <v>14933.383472000001</v>
      </c>
      <c r="Q131" s="219">
        <v>9.5430679692896285E-4</v>
      </c>
    </row>
    <row r="132" spans="1:17" ht="15" customHeight="1" x14ac:dyDescent="0.25">
      <c r="A132" s="88" t="s">
        <v>323</v>
      </c>
      <c r="B132" s="116" t="str">
        <f>VLOOKUP(A132,'0 Järjestäjätiedot'!A:H,2,FALSE)</f>
        <v>Management Institute of Finland MIF Oy</v>
      </c>
      <c r="C132" s="223"/>
      <c r="D132" s="223">
        <v>105</v>
      </c>
      <c r="E132" s="223"/>
      <c r="F132" s="223">
        <v>284</v>
      </c>
      <c r="G132" s="213"/>
      <c r="H132" s="213">
        <v>925.67639600000007</v>
      </c>
      <c r="I132" s="213"/>
      <c r="J132" s="213"/>
      <c r="K132" s="213">
        <v>6056.2079999999996</v>
      </c>
      <c r="L132" s="213"/>
      <c r="M132" s="213">
        <v>925.67639600000007</v>
      </c>
      <c r="N132" s="213">
        <v>6056.2079999999996</v>
      </c>
      <c r="O132" s="213">
        <v>3669.0036815533986</v>
      </c>
      <c r="P132" s="213">
        <v>4594.6800775533984</v>
      </c>
      <c r="Q132" s="219">
        <v>2.9361962317144344E-4</v>
      </c>
    </row>
    <row r="133" spans="1:17" ht="15" customHeight="1" x14ac:dyDescent="0.25">
      <c r="A133" s="88" t="s">
        <v>379</v>
      </c>
      <c r="B133" s="116" t="str">
        <f>VLOOKUP(A133,'0 Järjestäjätiedot'!A:H,2,FALSE)</f>
        <v>Hämeen ammatti-instituutti Oy</v>
      </c>
      <c r="C133" s="223">
        <v>98</v>
      </c>
      <c r="D133" s="223">
        <v>131</v>
      </c>
      <c r="E133" s="223">
        <v>924</v>
      </c>
      <c r="F133" s="223">
        <v>618</v>
      </c>
      <c r="G133" s="213">
        <v>6649.0125659999994</v>
      </c>
      <c r="H133" s="213">
        <v>2184.4396549999997</v>
      </c>
      <c r="I133" s="213">
        <v>252</v>
      </c>
      <c r="J133" s="213">
        <v>29016.270000000004</v>
      </c>
      <c r="K133" s="213">
        <v>16773.1155</v>
      </c>
      <c r="L133" s="213">
        <v>575</v>
      </c>
      <c r="M133" s="213">
        <v>9085.4522209999996</v>
      </c>
      <c r="N133" s="213">
        <v>46364.385500000004</v>
      </c>
      <c r="O133" s="213">
        <v>46364.385500000004</v>
      </c>
      <c r="P133" s="213">
        <v>55449.837721000004</v>
      </c>
      <c r="Q133" s="219">
        <v>3.543480760738231E-3</v>
      </c>
    </row>
    <row r="134" spans="1:17" ht="15" customHeight="1" x14ac:dyDescent="0.25">
      <c r="A134" s="88" t="s">
        <v>310</v>
      </c>
      <c r="B134" s="116" t="str">
        <f>VLOOKUP(A134,'0 Järjestäjätiedot'!A:H,2,FALSE)</f>
        <v>Perho Liiketalousopisto Oy</v>
      </c>
      <c r="C134" s="223">
        <v>507</v>
      </c>
      <c r="D134" s="223">
        <v>90</v>
      </c>
      <c r="E134" s="223">
        <v>6120</v>
      </c>
      <c r="F134" s="223">
        <v>312</v>
      </c>
      <c r="G134" s="213">
        <v>27758.725073999998</v>
      </c>
      <c r="H134" s="213">
        <v>1316.7713160000001</v>
      </c>
      <c r="I134" s="213">
        <v>1368</v>
      </c>
      <c r="J134" s="213">
        <v>85833.46</v>
      </c>
      <c r="K134" s="213">
        <v>8056.0440000000008</v>
      </c>
      <c r="L134" s="213">
        <v>3240.75</v>
      </c>
      <c r="M134" s="213">
        <v>30443.496389999997</v>
      </c>
      <c r="N134" s="213">
        <v>97130.254000000001</v>
      </c>
      <c r="O134" s="213">
        <v>97130.254000000001</v>
      </c>
      <c r="P134" s="213">
        <v>127573.75039</v>
      </c>
      <c r="Q134" s="219">
        <v>8.1525059163695939E-3</v>
      </c>
    </row>
    <row r="135" spans="1:17" ht="15" customHeight="1" x14ac:dyDescent="0.25">
      <c r="A135" s="88" t="s">
        <v>287</v>
      </c>
      <c r="B135" s="116" t="str">
        <f>VLOOKUP(A135,'0 Järjestäjätiedot'!A:H,2,FALSE)</f>
        <v>Suomen Diakoniaopisto - SDO Oy</v>
      </c>
      <c r="C135" s="223">
        <v>769</v>
      </c>
      <c r="D135" s="223">
        <v>110</v>
      </c>
      <c r="E135" s="223">
        <v>5059</v>
      </c>
      <c r="F135" s="223">
        <v>315</v>
      </c>
      <c r="G135" s="213">
        <v>41075.343648000009</v>
      </c>
      <c r="H135" s="213">
        <v>1383.959601</v>
      </c>
      <c r="I135" s="213">
        <v>4233.6000000000004</v>
      </c>
      <c r="J135" s="213">
        <v>108144.45</v>
      </c>
      <c r="K135" s="213">
        <v>7270.0470000000005</v>
      </c>
      <c r="L135" s="213">
        <v>8418.18</v>
      </c>
      <c r="M135" s="213">
        <v>46692.90324900001</v>
      </c>
      <c r="N135" s="213">
        <v>123832.677</v>
      </c>
      <c r="O135" s="213">
        <v>123832.677</v>
      </c>
      <c r="P135" s="213">
        <v>170525.58024899999</v>
      </c>
      <c r="Q135" s="219">
        <v>1.0897310752583343E-2</v>
      </c>
    </row>
    <row r="136" spans="1:17" ht="15" customHeight="1" x14ac:dyDescent="0.25">
      <c r="A136" s="88" t="s">
        <v>403</v>
      </c>
      <c r="B136" s="116" t="str">
        <f>VLOOKUP(A136,'0 Järjestäjätiedot'!A:H,2,FALSE)</f>
        <v>Air Navigation Services Finland Oy</v>
      </c>
      <c r="C136" s="223">
        <v>8</v>
      </c>
      <c r="D136" s="223"/>
      <c r="E136" s="223">
        <v>16</v>
      </c>
      <c r="F136" s="223"/>
      <c r="G136" s="213">
        <v>409.86</v>
      </c>
      <c r="H136" s="213"/>
      <c r="I136" s="213"/>
      <c r="J136" s="213">
        <v>1069.2</v>
      </c>
      <c r="K136" s="213"/>
      <c r="L136" s="213"/>
      <c r="M136" s="213">
        <v>409.86</v>
      </c>
      <c r="N136" s="213">
        <v>1069.2</v>
      </c>
      <c r="O136" s="213">
        <v>1069.2</v>
      </c>
      <c r="P136" s="213">
        <v>1479.06</v>
      </c>
      <c r="Q136" s="219">
        <v>9.4518232503187376E-5</v>
      </c>
    </row>
    <row r="137" spans="1:17" ht="15" customHeight="1" x14ac:dyDescent="0.25">
      <c r="A137" s="88" t="s">
        <v>404</v>
      </c>
      <c r="B137" s="116" t="str">
        <f>VLOOKUP(A137,'0 Järjestäjätiedot'!A:H,2,FALSE)</f>
        <v>Ammattiopisto Spesia Oy</v>
      </c>
      <c r="C137" s="223">
        <v>219</v>
      </c>
      <c r="D137" s="223">
        <v>1</v>
      </c>
      <c r="E137" s="223">
        <v>2733</v>
      </c>
      <c r="F137" s="223">
        <v>4</v>
      </c>
      <c r="G137" s="213">
        <v>14916.515562000001</v>
      </c>
      <c r="H137" s="213">
        <v>9.5907820000000008</v>
      </c>
      <c r="I137" s="213">
        <v>44035.200000000004</v>
      </c>
      <c r="J137" s="213">
        <v>37946.969999999994</v>
      </c>
      <c r="K137" s="213">
        <v>56.7</v>
      </c>
      <c r="L137" s="213">
        <v>119201.87500000006</v>
      </c>
      <c r="M137" s="213">
        <v>58961.306344000004</v>
      </c>
      <c r="N137" s="213">
        <v>157205.54500000004</v>
      </c>
      <c r="O137" s="213">
        <v>157205.54500000004</v>
      </c>
      <c r="P137" s="213">
        <v>216166.85134400005</v>
      </c>
      <c r="Q137" s="219">
        <v>1.3813982336628764E-2</v>
      </c>
    </row>
    <row r="138" spans="1:17" ht="15" customHeight="1" x14ac:dyDescent="0.25">
      <c r="A138" s="88" t="s">
        <v>237</v>
      </c>
      <c r="B138" s="116" t="str">
        <f>VLOOKUP(A138,'0 Järjestäjätiedot'!A:H,2,FALSE)</f>
        <v>Careeria Oy</v>
      </c>
      <c r="C138" s="223">
        <v>1013</v>
      </c>
      <c r="D138" s="223">
        <v>644</v>
      </c>
      <c r="E138" s="223">
        <v>7383</v>
      </c>
      <c r="F138" s="223">
        <v>1962</v>
      </c>
      <c r="G138" s="213">
        <v>50543.994438000031</v>
      </c>
      <c r="H138" s="213">
        <v>8499.7551679999924</v>
      </c>
      <c r="I138" s="213">
        <v>2628</v>
      </c>
      <c r="J138" s="213">
        <v>142917.70000000001</v>
      </c>
      <c r="K138" s="213">
        <v>43698.05087149654</v>
      </c>
      <c r="L138" s="213">
        <v>6864.25</v>
      </c>
      <c r="M138" s="213">
        <v>61671.749606000027</v>
      </c>
      <c r="N138" s="213">
        <v>193480.00087149657</v>
      </c>
      <c r="O138" s="213">
        <v>193480.00087149657</v>
      </c>
      <c r="P138" s="213">
        <v>255151.75047749659</v>
      </c>
      <c r="Q138" s="219">
        <v>1.6305283406506346E-2</v>
      </c>
    </row>
    <row r="139" spans="1:17" ht="15" customHeight="1" x14ac:dyDescent="0.25">
      <c r="A139" s="88" t="s">
        <v>585</v>
      </c>
      <c r="B139" s="116" t="str">
        <f>VLOOKUP(A139,'0 Järjestäjätiedot'!A:H,2,FALSE)</f>
        <v>Turun musiikinopetus Oy</v>
      </c>
      <c r="C139" s="223">
        <v>34</v>
      </c>
      <c r="D139" s="223"/>
      <c r="E139" s="223">
        <v>456</v>
      </c>
      <c r="F139" s="223"/>
      <c r="G139" s="213">
        <v>3377.1578399999999</v>
      </c>
      <c r="H139" s="213"/>
      <c r="I139" s="213"/>
      <c r="J139" s="213">
        <v>10542.49</v>
      </c>
      <c r="K139" s="213"/>
      <c r="L139" s="213"/>
      <c r="M139" s="213">
        <v>3377.1578399999999</v>
      </c>
      <c r="N139" s="213">
        <v>10542.49</v>
      </c>
      <c r="O139" s="213">
        <v>10542.49</v>
      </c>
      <c r="P139" s="213">
        <v>13919.64784</v>
      </c>
      <c r="Q139" s="219">
        <v>8.8952477310157119E-4</v>
      </c>
    </row>
    <row r="140" spans="1:17" ht="15" customHeight="1" x14ac:dyDescent="0.25">
      <c r="A140" s="88" t="s">
        <v>583</v>
      </c>
      <c r="B140" s="116" t="str">
        <f>VLOOKUP(A140,'0 Järjestäjätiedot'!A:H,2,FALSE)</f>
        <v>AEL-Amiedu Oy</v>
      </c>
      <c r="C140" s="223">
        <v>844</v>
      </c>
      <c r="D140" s="223">
        <v>1648</v>
      </c>
      <c r="E140" s="223">
        <v>4933</v>
      </c>
      <c r="F140" s="223">
        <v>6142</v>
      </c>
      <c r="G140" s="213">
        <v>37970.354321999985</v>
      </c>
      <c r="H140" s="213">
        <v>26237.725430999984</v>
      </c>
      <c r="I140" s="213">
        <v>144</v>
      </c>
      <c r="J140" s="213">
        <v>102203.84999999998</v>
      </c>
      <c r="K140" s="213">
        <v>127491.4002860365</v>
      </c>
      <c r="L140" s="213">
        <v>300</v>
      </c>
      <c r="M140" s="213">
        <v>64352.079752999969</v>
      </c>
      <c r="N140" s="213">
        <v>229995.25028603646</v>
      </c>
      <c r="O140" s="213">
        <v>229995.25028603646</v>
      </c>
      <c r="P140" s="213">
        <v>294347.33003903646</v>
      </c>
      <c r="Q140" s="219">
        <v>1.881004785290798E-2</v>
      </c>
    </row>
    <row r="141" spans="1:17" x14ac:dyDescent="0.25">
      <c r="A141" s="39" t="s">
        <v>21</v>
      </c>
      <c r="B141" s="39"/>
      <c r="C141" s="225">
        <v>54279</v>
      </c>
      <c r="D141" s="225">
        <v>25165</v>
      </c>
      <c r="E141" s="225">
        <v>483364</v>
      </c>
      <c r="F141" s="225">
        <v>88944</v>
      </c>
      <c r="G141" s="215">
        <v>3142787.3681400036</v>
      </c>
      <c r="H141" s="215">
        <v>358189.31727500103</v>
      </c>
      <c r="I141" s="215">
        <v>345718.08</v>
      </c>
      <c r="J141" s="215">
        <v>8933154.8500000238</v>
      </c>
      <c r="K141" s="215">
        <v>1949351.1201643776</v>
      </c>
      <c r="L141" s="215">
        <v>977180.06</v>
      </c>
      <c r="M141" s="215">
        <v>3846694.7654150054</v>
      </c>
      <c r="N141" s="215">
        <v>11859686.030164402</v>
      </c>
      <c r="O141" s="215">
        <v>11801714.656017231</v>
      </c>
      <c r="P141" s="215">
        <v>15648409.421432236</v>
      </c>
      <c r="Q141" s="222">
        <v>1</v>
      </c>
    </row>
    <row r="143" spans="1:17" x14ac:dyDescent="0.25">
      <c r="A143" t="s">
        <v>645</v>
      </c>
    </row>
    <row r="144" spans="1:17" x14ac:dyDescent="0.25">
      <c r="A144" s="193" t="s">
        <v>647</v>
      </c>
    </row>
  </sheetData>
  <hyperlinks>
    <hyperlink ref="A14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2"/>
  <sheetViews>
    <sheetView zoomScale="90" zoomScaleNormal="90" workbookViewId="0">
      <pane xSplit="2" ySplit="4" topLeftCell="C5" activePane="bottomRight" state="frozen"/>
      <selection pane="topRight" activeCell="C1" sqref="C1"/>
      <selection pane="bottomLeft" activeCell="A5" sqref="A5"/>
      <selection pane="bottomRight"/>
    </sheetView>
  </sheetViews>
  <sheetFormatPr defaultRowHeight="15" x14ac:dyDescent="0.25"/>
  <cols>
    <col min="1" max="1" width="11.7109375" customWidth="1"/>
    <col min="2" max="2" width="45.7109375" customWidth="1"/>
    <col min="3" max="10" width="17.42578125" customWidth="1"/>
    <col min="13" max="13" width="9.140625" customWidth="1"/>
  </cols>
  <sheetData>
    <row r="1" spans="1:11" ht="19.5" x14ac:dyDescent="0.3">
      <c r="A1" s="5" t="s">
        <v>459</v>
      </c>
      <c r="C1" s="5"/>
    </row>
    <row r="2" spans="1:11" ht="15.75" x14ac:dyDescent="0.25">
      <c r="A2" s="6" t="s">
        <v>435</v>
      </c>
      <c r="C2" s="6"/>
    </row>
    <row r="3" spans="1:11" x14ac:dyDescent="0.25">
      <c r="A3" s="14" t="s">
        <v>696</v>
      </c>
    </row>
    <row r="4" spans="1:11" ht="54" customHeight="1" x14ac:dyDescent="0.25">
      <c r="A4" s="38"/>
      <c r="B4" s="135"/>
      <c r="C4" s="38" t="s">
        <v>13</v>
      </c>
      <c r="D4" s="38" t="s">
        <v>14</v>
      </c>
      <c r="E4" s="38" t="s">
        <v>15</v>
      </c>
      <c r="F4" s="38" t="s">
        <v>16</v>
      </c>
      <c r="G4" s="38" t="s">
        <v>17</v>
      </c>
      <c r="H4" s="38" t="s">
        <v>18</v>
      </c>
      <c r="I4" s="38" t="s">
        <v>19</v>
      </c>
      <c r="J4" s="38" t="s">
        <v>20</v>
      </c>
    </row>
    <row r="5" spans="1:11" ht="15" customHeight="1" x14ac:dyDescent="0.25">
      <c r="A5" s="88" t="s">
        <v>583</v>
      </c>
      <c r="B5" s="136" t="s">
        <v>584</v>
      </c>
      <c r="C5" s="223">
        <v>2148</v>
      </c>
      <c r="D5" s="223">
        <v>1856</v>
      </c>
      <c r="E5" s="223">
        <v>14</v>
      </c>
      <c r="F5" s="223">
        <v>1870</v>
      </c>
      <c r="G5" s="213">
        <v>4624.2137750557231</v>
      </c>
      <c r="H5" s="218">
        <v>46.238750000000017</v>
      </c>
      <c r="I5" s="213">
        <v>4670.4525250557235</v>
      </c>
      <c r="J5" s="219">
        <v>2.465546253418768E-2</v>
      </c>
    </row>
    <row r="6" spans="1:11" ht="15" customHeight="1" x14ac:dyDescent="0.25">
      <c r="A6" s="88" t="s">
        <v>406</v>
      </c>
      <c r="B6" s="136" t="s">
        <v>23</v>
      </c>
      <c r="C6" s="223">
        <v>126</v>
      </c>
      <c r="D6" s="223">
        <v>87</v>
      </c>
      <c r="E6" s="223">
        <v>5</v>
      </c>
      <c r="F6" s="223">
        <v>92</v>
      </c>
      <c r="G6" s="213">
        <v>313.21471999337416</v>
      </c>
      <c r="H6" s="218">
        <v>22.702705000000002</v>
      </c>
      <c r="I6" s="213">
        <v>335.91742499337414</v>
      </c>
      <c r="J6" s="219">
        <v>1.7733184187341934E-3</v>
      </c>
      <c r="K6" s="163"/>
    </row>
    <row r="7" spans="1:11" ht="15" customHeight="1" x14ac:dyDescent="0.25">
      <c r="A7" s="88" t="s">
        <v>403</v>
      </c>
      <c r="B7" s="136" t="s">
        <v>189</v>
      </c>
      <c r="C7" s="223">
        <v>13</v>
      </c>
      <c r="D7" s="223">
        <v>12</v>
      </c>
      <c r="E7" s="223">
        <v>0</v>
      </c>
      <c r="F7" s="223">
        <v>12</v>
      </c>
      <c r="G7" s="213">
        <v>32.499999999989996</v>
      </c>
      <c r="H7" s="218">
        <v>0</v>
      </c>
      <c r="I7" s="213">
        <v>32.499999999989996</v>
      </c>
      <c r="J7" s="219">
        <v>1.7156849963939898E-4</v>
      </c>
    </row>
    <row r="8" spans="1:11" ht="15" customHeight="1" x14ac:dyDescent="0.25">
      <c r="A8" s="88" t="s">
        <v>405</v>
      </c>
      <c r="B8" s="136" t="s">
        <v>24</v>
      </c>
      <c r="C8" s="223">
        <v>17</v>
      </c>
      <c r="D8" s="223">
        <v>0</v>
      </c>
      <c r="E8" s="223">
        <v>0</v>
      </c>
      <c r="F8" s="223">
        <v>0</v>
      </c>
      <c r="G8" s="213">
        <v>0</v>
      </c>
      <c r="H8" s="218">
        <v>0</v>
      </c>
      <c r="I8" s="213">
        <v>0</v>
      </c>
      <c r="J8" s="219">
        <v>0</v>
      </c>
    </row>
    <row r="9" spans="1:11" ht="15" customHeight="1" x14ac:dyDescent="0.25">
      <c r="A9" s="88" t="s">
        <v>404</v>
      </c>
      <c r="B9" s="136" t="s">
        <v>27</v>
      </c>
      <c r="C9" s="223">
        <v>179</v>
      </c>
      <c r="D9" s="223">
        <v>64</v>
      </c>
      <c r="E9" s="223">
        <v>1</v>
      </c>
      <c r="F9" s="223">
        <v>65</v>
      </c>
      <c r="G9" s="213">
        <v>408.3000996583994</v>
      </c>
      <c r="H9" s="218">
        <v>6.8846150000000002</v>
      </c>
      <c r="I9" s="213">
        <v>415.1847146583994</v>
      </c>
      <c r="J9" s="219">
        <v>2.1917728789900151E-3</v>
      </c>
    </row>
    <row r="10" spans="1:11" ht="15" customHeight="1" x14ac:dyDescent="0.25">
      <c r="A10" s="88" t="s">
        <v>402</v>
      </c>
      <c r="B10" s="136" t="s">
        <v>28</v>
      </c>
      <c r="C10" s="223">
        <v>62</v>
      </c>
      <c r="D10" s="223">
        <v>60</v>
      </c>
      <c r="E10" s="223">
        <v>0</v>
      </c>
      <c r="F10" s="223">
        <v>60</v>
      </c>
      <c r="G10" s="213">
        <v>124.57534316410526</v>
      </c>
      <c r="H10" s="218">
        <v>0</v>
      </c>
      <c r="I10" s="213">
        <v>124.57534316410526</v>
      </c>
      <c r="J10" s="219">
        <v>6.5763706826878091E-4</v>
      </c>
    </row>
    <row r="11" spans="1:11" ht="15" customHeight="1" x14ac:dyDescent="0.25">
      <c r="A11" s="88" t="s">
        <v>401</v>
      </c>
      <c r="B11" s="136" t="s">
        <v>29</v>
      </c>
      <c r="C11" s="223">
        <v>669</v>
      </c>
      <c r="D11" s="223">
        <v>493</v>
      </c>
      <c r="E11" s="223">
        <v>19</v>
      </c>
      <c r="F11" s="223">
        <v>512</v>
      </c>
      <c r="G11" s="213">
        <v>1689.9887264424624</v>
      </c>
      <c r="H11" s="218">
        <v>84.625641000000016</v>
      </c>
      <c r="I11" s="213">
        <v>1774.6143674424625</v>
      </c>
      <c r="J11" s="219">
        <v>9.3682438295605575E-3</v>
      </c>
    </row>
    <row r="12" spans="1:11" ht="15" customHeight="1" x14ac:dyDescent="0.25">
      <c r="A12" s="88" t="s">
        <v>237</v>
      </c>
      <c r="B12" s="136" t="s">
        <v>208</v>
      </c>
      <c r="C12" s="223">
        <v>1215</v>
      </c>
      <c r="D12" s="223">
        <v>970</v>
      </c>
      <c r="E12" s="223">
        <v>23</v>
      </c>
      <c r="F12" s="223">
        <v>993</v>
      </c>
      <c r="G12" s="213">
        <v>2838.8055628304292</v>
      </c>
      <c r="H12" s="218">
        <v>90.639428000000009</v>
      </c>
      <c r="I12" s="213">
        <v>2929.4449908304291</v>
      </c>
      <c r="J12" s="219">
        <v>1.5464630210864133E-2</v>
      </c>
    </row>
    <row r="13" spans="1:11" ht="15" customHeight="1" x14ac:dyDescent="0.25">
      <c r="A13" s="88" t="s">
        <v>398</v>
      </c>
      <c r="B13" s="136" t="s">
        <v>31</v>
      </c>
      <c r="C13" s="223">
        <v>2926</v>
      </c>
      <c r="D13" s="223">
        <v>2240</v>
      </c>
      <c r="E13" s="223">
        <v>63</v>
      </c>
      <c r="F13" s="223">
        <v>2303</v>
      </c>
      <c r="G13" s="213">
        <v>7201.2164056141146</v>
      </c>
      <c r="H13" s="218">
        <v>245.03996099999981</v>
      </c>
      <c r="I13" s="213">
        <v>7446.2563666141141</v>
      </c>
      <c r="J13" s="219">
        <v>3.9309016392329206E-2</v>
      </c>
    </row>
    <row r="14" spans="1:11" ht="15" customHeight="1" x14ac:dyDescent="0.25">
      <c r="A14" s="88" t="s">
        <v>397</v>
      </c>
      <c r="B14" s="136" t="s">
        <v>32</v>
      </c>
      <c r="C14" s="223">
        <v>1350</v>
      </c>
      <c r="D14" s="223">
        <v>857</v>
      </c>
      <c r="E14" s="223">
        <v>55</v>
      </c>
      <c r="F14" s="223">
        <v>912</v>
      </c>
      <c r="G14" s="213">
        <v>3208.4251161471598</v>
      </c>
      <c r="H14" s="218">
        <v>234</v>
      </c>
      <c r="I14" s="213">
        <v>3442.4251161471598</v>
      </c>
      <c r="J14" s="219">
        <v>1.8172668070724117E-2</v>
      </c>
    </row>
    <row r="15" spans="1:11" ht="15" customHeight="1" x14ac:dyDescent="0.25">
      <c r="A15" s="88" t="s">
        <v>395</v>
      </c>
      <c r="B15" s="136" t="s">
        <v>33</v>
      </c>
      <c r="C15" s="223">
        <v>1178</v>
      </c>
      <c r="D15" s="223">
        <v>829</v>
      </c>
      <c r="E15" s="223">
        <v>44</v>
      </c>
      <c r="F15" s="223">
        <v>873</v>
      </c>
      <c r="G15" s="213">
        <v>2922.4610777397384</v>
      </c>
      <c r="H15" s="218">
        <v>183.26898000000008</v>
      </c>
      <c r="I15" s="213">
        <v>3105.7300577397386</v>
      </c>
      <c r="J15" s="219">
        <v>1.6395244501278616E-2</v>
      </c>
    </row>
    <row r="16" spans="1:11" ht="15" customHeight="1" x14ac:dyDescent="0.25">
      <c r="A16" s="88" t="s">
        <v>394</v>
      </c>
      <c r="B16" s="136" t="s">
        <v>34</v>
      </c>
      <c r="C16" s="223">
        <v>25</v>
      </c>
      <c r="D16" s="223">
        <v>17</v>
      </c>
      <c r="E16" s="223">
        <v>0</v>
      </c>
      <c r="F16" s="223">
        <v>17</v>
      </c>
      <c r="G16" s="213">
        <v>62.543148077114978</v>
      </c>
      <c r="H16" s="218">
        <v>0</v>
      </c>
      <c r="I16" s="213">
        <v>62.543148077114978</v>
      </c>
      <c r="J16" s="219">
        <v>3.3016720240980558E-4</v>
      </c>
    </row>
    <row r="17" spans="1:10" ht="15" customHeight="1" x14ac:dyDescent="0.25">
      <c r="A17" s="88" t="s">
        <v>392</v>
      </c>
      <c r="B17" s="136" t="s">
        <v>35</v>
      </c>
      <c r="C17" s="223">
        <v>40</v>
      </c>
      <c r="D17" s="223">
        <v>32</v>
      </c>
      <c r="E17" s="223">
        <v>3</v>
      </c>
      <c r="F17" s="223">
        <v>35</v>
      </c>
      <c r="G17" s="213">
        <v>92.493434753584168</v>
      </c>
      <c r="H17" s="218">
        <v>10.81081</v>
      </c>
      <c r="I17" s="213">
        <v>103.30424475358417</v>
      </c>
      <c r="J17" s="219">
        <v>5.4534628550028145E-4</v>
      </c>
    </row>
    <row r="18" spans="1:10" ht="15" customHeight="1" x14ac:dyDescent="0.25">
      <c r="A18" s="88" t="s">
        <v>391</v>
      </c>
      <c r="B18" s="136" t="s">
        <v>169</v>
      </c>
      <c r="C18" s="223">
        <v>10</v>
      </c>
      <c r="D18" s="223">
        <v>3</v>
      </c>
      <c r="E18" s="223">
        <v>7</v>
      </c>
      <c r="F18" s="223">
        <v>10</v>
      </c>
      <c r="G18" s="213">
        <v>11.474962393192982</v>
      </c>
      <c r="H18" s="218">
        <v>28</v>
      </c>
      <c r="I18" s="213">
        <v>39.474962393192982</v>
      </c>
      <c r="J18" s="219">
        <v>2.0838954064996627E-4</v>
      </c>
    </row>
    <row r="19" spans="1:10" ht="15" customHeight="1" x14ac:dyDescent="0.25">
      <c r="A19" s="88" t="s">
        <v>390</v>
      </c>
      <c r="B19" s="136" t="s">
        <v>153</v>
      </c>
      <c r="C19" s="223">
        <v>19</v>
      </c>
      <c r="D19" s="223">
        <v>13</v>
      </c>
      <c r="E19" s="223">
        <v>2</v>
      </c>
      <c r="F19" s="223">
        <v>15</v>
      </c>
      <c r="G19" s="213">
        <v>34.26547590340239</v>
      </c>
      <c r="H19" s="218">
        <v>6.7058820000000008</v>
      </c>
      <c r="I19" s="213">
        <v>40.971357903402392</v>
      </c>
      <c r="J19" s="219">
        <v>2.1628905857469982E-4</v>
      </c>
    </row>
    <row r="20" spans="1:10" ht="15" customHeight="1" x14ac:dyDescent="0.25">
      <c r="A20" s="88" t="s">
        <v>389</v>
      </c>
      <c r="B20" s="136" t="s">
        <v>36</v>
      </c>
      <c r="C20" s="223">
        <v>53</v>
      </c>
      <c r="D20" s="223">
        <v>32</v>
      </c>
      <c r="E20" s="223">
        <v>3</v>
      </c>
      <c r="F20" s="223">
        <v>35</v>
      </c>
      <c r="G20" s="213">
        <v>144.13785876914912</v>
      </c>
      <c r="H20" s="218">
        <v>10.095238999999999</v>
      </c>
      <c r="I20" s="213">
        <v>154.23309776914911</v>
      </c>
      <c r="J20" s="219">
        <v>8.1420126704608595E-4</v>
      </c>
    </row>
    <row r="21" spans="1:10" ht="15" customHeight="1" x14ac:dyDescent="0.25">
      <c r="A21" s="88" t="s">
        <v>388</v>
      </c>
      <c r="B21" s="136" t="s">
        <v>37</v>
      </c>
      <c r="C21" s="223">
        <v>58</v>
      </c>
      <c r="D21" s="223">
        <v>41</v>
      </c>
      <c r="E21" s="223">
        <v>1</v>
      </c>
      <c r="F21" s="223">
        <v>42</v>
      </c>
      <c r="G21" s="213">
        <v>152.13597849610048</v>
      </c>
      <c r="H21" s="218">
        <v>4.3773580000000001</v>
      </c>
      <c r="I21" s="213">
        <v>156.51333649610046</v>
      </c>
      <c r="J21" s="219">
        <v>8.2623871742155725E-4</v>
      </c>
    </row>
    <row r="22" spans="1:10" ht="15" customHeight="1" x14ac:dyDescent="0.25">
      <c r="A22" s="88" t="s">
        <v>387</v>
      </c>
      <c r="B22" s="136" t="s">
        <v>170</v>
      </c>
      <c r="C22" s="223">
        <v>8</v>
      </c>
      <c r="D22" s="223">
        <v>8</v>
      </c>
      <c r="E22" s="223">
        <v>0</v>
      </c>
      <c r="F22" s="223">
        <v>8</v>
      </c>
      <c r="G22" s="213">
        <v>15.555714026740326</v>
      </c>
      <c r="H22" s="218">
        <v>0</v>
      </c>
      <c r="I22" s="213">
        <v>15.555714026740326</v>
      </c>
      <c r="J22" s="219">
        <v>8.211909281194501E-5</v>
      </c>
    </row>
    <row r="23" spans="1:10" ht="15" customHeight="1" x14ac:dyDescent="0.25">
      <c r="A23" s="88" t="s">
        <v>386</v>
      </c>
      <c r="B23" s="136" t="s">
        <v>38</v>
      </c>
      <c r="C23" s="223">
        <v>3658</v>
      </c>
      <c r="D23" s="223">
        <v>2913</v>
      </c>
      <c r="E23" s="223">
        <v>93</v>
      </c>
      <c r="F23" s="223">
        <v>3006</v>
      </c>
      <c r="G23" s="213">
        <v>8908.0588563219699</v>
      </c>
      <c r="H23" s="218">
        <v>327.77775199999957</v>
      </c>
      <c r="I23" s="213">
        <v>9235.8366083219698</v>
      </c>
      <c r="J23" s="219">
        <v>4.8756265532459188E-2</v>
      </c>
    </row>
    <row r="24" spans="1:10" ht="15" customHeight="1" x14ac:dyDescent="0.25">
      <c r="A24" s="88" t="s">
        <v>382</v>
      </c>
      <c r="B24" s="136" t="s">
        <v>39</v>
      </c>
      <c r="C24" s="223">
        <v>31</v>
      </c>
      <c r="D24" s="223">
        <v>20</v>
      </c>
      <c r="E24" s="223">
        <v>5</v>
      </c>
      <c r="F24" s="223">
        <v>25</v>
      </c>
      <c r="G24" s="213">
        <v>69.551990600288946</v>
      </c>
      <c r="H24" s="218">
        <v>23.846155000000003</v>
      </c>
      <c r="I24" s="213">
        <v>93.398145600288956</v>
      </c>
      <c r="J24" s="219">
        <v>4.9305168337688133E-4</v>
      </c>
    </row>
    <row r="25" spans="1:10" ht="15" customHeight="1" x14ac:dyDescent="0.25">
      <c r="A25" s="88" t="s">
        <v>385</v>
      </c>
      <c r="B25" s="136" t="s">
        <v>40</v>
      </c>
      <c r="C25" s="223">
        <v>676</v>
      </c>
      <c r="D25" s="223">
        <v>475</v>
      </c>
      <c r="E25" s="223">
        <v>39</v>
      </c>
      <c r="F25" s="223">
        <v>514</v>
      </c>
      <c r="G25" s="213">
        <v>1600.7753835337533</v>
      </c>
      <c r="H25" s="218">
        <v>153.94058799999996</v>
      </c>
      <c r="I25" s="213">
        <v>1754.7159715337532</v>
      </c>
      <c r="J25" s="219">
        <v>9.2631995855208937E-3</v>
      </c>
    </row>
    <row r="26" spans="1:10" ht="15" customHeight="1" x14ac:dyDescent="0.25">
      <c r="A26" s="88" t="s">
        <v>384</v>
      </c>
      <c r="B26" s="136" t="s">
        <v>41</v>
      </c>
      <c r="C26" s="223">
        <v>346</v>
      </c>
      <c r="D26" s="223">
        <v>116</v>
      </c>
      <c r="E26" s="223">
        <v>6</v>
      </c>
      <c r="F26" s="223">
        <v>122</v>
      </c>
      <c r="G26" s="213">
        <v>630.93054725809395</v>
      </c>
      <c r="H26" s="218">
        <v>35.078339999999997</v>
      </c>
      <c r="I26" s="213">
        <v>666.00888725809398</v>
      </c>
      <c r="J26" s="219">
        <v>3.5158814010280612E-3</v>
      </c>
    </row>
    <row r="27" spans="1:10" ht="15" customHeight="1" x14ac:dyDescent="0.25">
      <c r="A27" s="88" t="s">
        <v>383</v>
      </c>
      <c r="B27" s="136" t="s">
        <v>42</v>
      </c>
      <c r="C27" s="223">
        <v>124</v>
      </c>
      <c r="D27" s="223">
        <v>95</v>
      </c>
      <c r="E27" s="223">
        <v>10</v>
      </c>
      <c r="F27" s="223">
        <v>105</v>
      </c>
      <c r="G27" s="213">
        <v>308.61173373450532</v>
      </c>
      <c r="H27" s="218">
        <v>25.435896</v>
      </c>
      <c r="I27" s="213">
        <v>334.04762973450534</v>
      </c>
      <c r="J27" s="219">
        <v>1.7634477120512064E-3</v>
      </c>
    </row>
    <row r="28" spans="1:10" ht="15" customHeight="1" x14ac:dyDescent="0.25">
      <c r="A28" s="88" t="s">
        <v>380</v>
      </c>
      <c r="B28" s="136" t="s">
        <v>43</v>
      </c>
      <c r="C28" s="223">
        <v>1254</v>
      </c>
      <c r="D28" s="223">
        <v>890</v>
      </c>
      <c r="E28" s="223">
        <v>50</v>
      </c>
      <c r="F28" s="223">
        <v>940</v>
      </c>
      <c r="G28" s="213">
        <v>3127.4593966902589</v>
      </c>
      <c r="H28" s="218">
        <v>215.81520999999992</v>
      </c>
      <c r="I28" s="213">
        <v>3343.2746066902587</v>
      </c>
      <c r="J28" s="219">
        <v>1.7649249481616183E-2</v>
      </c>
    </row>
    <row r="29" spans="1:10" ht="15" customHeight="1" x14ac:dyDescent="0.25">
      <c r="A29" s="88" t="s">
        <v>379</v>
      </c>
      <c r="B29" s="136" t="s">
        <v>44</v>
      </c>
      <c r="C29" s="223">
        <v>237</v>
      </c>
      <c r="D29" s="223">
        <v>182</v>
      </c>
      <c r="E29" s="223">
        <v>4</v>
      </c>
      <c r="F29" s="223">
        <v>186</v>
      </c>
      <c r="G29" s="213">
        <v>523.55613662233816</v>
      </c>
      <c r="H29" s="218">
        <v>17.474656</v>
      </c>
      <c r="I29" s="213">
        <v>541.03079262233814</v>
      </c>
      <c r="J29" s="219">
        <v>2.8561181953525522E-3</v>
      </c>
    </row>
    <row r="30" spans="1:10" ht="15" customHeight="1" x14ac:dyDescent="0.25">
      <c r="A30" s="88" t="s">
        <v>378</v>
      </c>
      <c r="B30" s="136" t="s">
        <v>45</v>
      </c>
      <c r="C30" s="223">
        <v>218</v>
      </c>
      <c r="D30" s="223">
        <v>104</v>
      </c>
      <c r="E30" s="223">
        <v>6</v>
      </c>
      <c r="F30" s="223">
        <v>110</v>
      </c>
      <c r="G30" s="213">
        <v>464.75038382895946</v>
      </c>
      <c r="H30" s="218">
        <v>23.638553999999999</v>
      </c>
      <c r="I30" s="213">
        <v>488.38893782895946</v>
      </c>
      <c r="J30" s="219">
        <v>2.5782202247329254E-3</v>
      </c>
    </row>
    <row r="31" spans="1:10" ht="15" customHeight="1" x14ac:dyDescent="0.25">
      <c r="A31" s="88" t="s">
        <v>377</v>
      </c>
      <c r="B31" s="136" t="s">
        <v>46</v>
      </c>
      <c r="C31" s="223">
        <v>23</v>
      </c>
      <c r="D31" s="223">
        <v>10</v>
      </c>
      <c r="E31" s="223">
        <v>0</v>
      </c>
      <c r="F31" s="223">
        <v>10</v>
      </c>
      <c r="G31" s="213">
        <v>32.093032778202343</v>
      </c>
      <c r="H31" s="218">
        <v>0</v>
      </c>
      <c r="I31" s="213">
        <v>32.093032778202343</v>
      </c>
      <c r="J31" s="219">
        <v>1.6942010715802842E-4</v>
      </c>
    </row>
    <row r="32" spans="1:10" ht="15" customHeight="1" x14ac:dyDescent="0.25">
      <c r="A32" s="88" t="s">
        <v>376</v>
      </c>
      <c r="B32" s="136" t="s">
        <v>47</v>
      </c>
      <c r="C32" s="223">
        <v>950</v>
      </c>
      <c r="D32" s="223">
        <v>645</v>
      </c>
      <c r="E32" s="223">
        <v>50</v>
      </c>
      <c r="F32" s="223">
        <v>695</v>
      </c>
      <c r="G32" s="213">
        <v>2234.916328856254</v>
      </c>
      <c r="H32" s="218">
        <v>187.73811300000011</v>
      </c>
      <c r="I32" s="213">
        <v>2422.6544418562544</v>
      </c>
      <c r="J32" s="219">
        <v>1.2789267314896342E-2</v>
      </c>
    </row>
    <row r="33" spans="1:10" ht="15" customHeight="1" x14ac:dyDescent="0.25">
      <c r="A33" s="88" t="s">
        <v>375</v>
      </c>
      <c r="B33" s="136" t="s">
        <v>48</v>
      </c>
      <c r="C33" s="223">
        <v>37</v>
      </c>
      <c r="D33" s="223">
        <v>26</v>
      </c>
      <c r="E33" s="223">
        <v>4</v>
      </c>
      <c r="F33" s="223">
        <v>30</v>
      </c>
      <c r="G33" s="213">
        <v>87.623240881729473</v>
      </c>
      <c r="H33" s="218">
        <v>15.696968000000002</v>
      </c>
      <c r="I33" s="213">
        <v>103.32020888172947</v>
      </c>
      <c r="J33" s="219">
        <v>5.4543056062378726E-4</v>
      </c>
    </row>
    <row r="34" spans="1:10" ht="15" customHeight="1" x14ac:dyDescent="0.25">
      <c r="A34" s="88" t="s">
        <v>372</v>
      </c>
      <c r="B34" s="136" t="s">
        <v>49</v>
      </c>
      <c r="C34" s="223">
        <v>32</v>
      </c>
      <c r="D34" s="223">
        <v>16</v>
      </c>
      <c r="E34" s="223">
        <v>10</v>
      </c>
      <c r="F34" s="223">
        <v>26</v>
      </c>
      <c r="G34" s="213">
        <v>55.936208581815372</v>
      </c>
      <c r="H34" s="218">
        <v>39.724138000000004</v>
      </c>
      <c r="I34" s="213">
        <v>95.660346581815375</v>
      </c>
      <c r="J34" s="219">
        <v>5.0499391193944694E-4</v>
      </c>
    </row>
    <row r="35" spans="1:10" ht="15" customHeight="1" x14ac:dyDescent="0.25">
      <c r="A35" s="88" t="s">
        <v>371</v>
      </c>
      <c r="B35" s="136" t="s">
        <v>50</v>
      </c>
      <c r="C35" s="223">
        <v>1154</v>
      </c>
      <c r="D35" s="223">
        <v>818</v>
      </c>
      <c r="E35" s="223">
        <v>45</v>
      </c>
      <c r="F35" s="223">
        <v>863</v>
      </c>
      <c r="G35" s="213">
        <v>3028.599728560228</v>
      </c>
      <c r="H35" s="218">
        <v>192.89408200000005</v>
      </c>
      <c r="I35" s="213">
        <v>3221.4938105602282</v>
      </c>
      <c r="J35" s="219">
        <v>1.7006364913095345E-2</v>
      </c>
    </row>
    <row r="36" spans="1:10" ht="15" customHeight="1" x14ac:dyDescent="0.25">
      <c r="A36" s="88" t="s">
        <v>370</v>
      </c>
      <c r="B36" s="136" t="s">
        <v>51</v>
      </c>
      <c r="C36" s="223">
        <v>139</v>
      </c>
      <c r="D36" s="223">
        <v>137</v>
      </c>
      <c r="E36" s="223">
        <v>1</v>
      </c>
      <c r="F36" s="223">
        <v>138</v>
      </c>
      <c r="G36" s="213">
        <v>272.23908578847141</v>
      </c>
      <c r="H36" s="218">
        <v>2.0144929999999999</v>
      </c>
      <c r="I36" s="213">
        <v>274.25357878847143</v>
      </c>
      <c r="J36" s="219">
        <v>1.4477930779534839E-3</v>
      </c>
    </row>
    <row r="37" spans="1:10" ht="15" customHeight="1" x14ac:dyDescent="0.25">
      <c r="A37" s="88" t="s">
        <v>369</v>
      </c>
      <c r="B37" s="136" t="s">
        <v>52</v>
      </c>
      <c r="C37" s="223">
        <v>3244</v>
      </c>
      <c r="D37" s="223">
        <v>2285</v>
      </c>
      <c r="E37" s="223">
        <v>134</v>
      </c>
      <c r="F37" s="223">
        <v>2419</v>
      </c>
      <c r="G37" s="213">
        <v>8104.9762958770898</v>
      </c>
      <c r="H37" s="218">
        <v>533.32066499999951</v>
      </c>
      <c r="I37" s="213">
        <v>8638.2969608770891</v>
      </c>
      <c r="J37" s="219">
        <v>4.5601835354391336E-2</v>
      </c>
    </row>
    <row r="38" spans="1:10" ht="15" customHeight="1" x14ac:dyDescent="0.25">
      <c r="A38" s="88" t="s">
        <v>374</v>
      </c>
      <c r="B38" s="136" t="s">
        <v>53</v>
      </c>
      <c r="C38" s="223">
        <v>92</v>
      </c>
      <c r="D38" s="223">
        <v>58</v>
      </c>
      <c r="E38" s="223">
        <v>4</v>
      </c>
      <c r="F38" s="223">
        <v>62</v>
      </c>
      <c r="G38" s="213">
        <v>220.19506203328589</v>
      </c>
      <c r="H38" s="218">
        <v>18.632912000000001</v>
      </c>
      <c r="I38" s="213">
        <v>238.8279740332859</v>
      </c>
      <c r="J38" s="219">
        <v>1.2607802208252558E-3</v>
      </c>
    </row>
    <row r="39" spans="1:10" ht="15" customHeight="1" x14ac:dyDescent="0.25">
      <c r="A39" s="88" t="s">
        <v>373</v>
      </c>
      <c r="B39" s="136" t="s">
        <v>54</v>
      </c>
      <c r="C39" s="223">
        <v>68</v>
      </c>
      <c r="D39" s="223">
        <v>30</v>
      </c>
      <c r="E39" s="223">
        <v>0</v>
      </c>
      <c r="F39" s="223">
        <v>30</v>
      </c>
      <c r="G39" s="213">
        <v>149.28855597181123</v>
      </c>
      <c r="H39" s="218">
        <v>0</v>
      </c>
      <c r="I39" s="213">
        <v>149.28855597181123</v>
      </c>
      <c r="J39" s="219">
        <v>7.8809887881304544E-4</v>
      </c>
    </row>
    <row r="40" spans="1:10" ht="15" customHeight="1" x14ac:dyDescent="0.25">
      <c r="A40" s="88" t="s">
        <v>368</v>
      </c>
      <c r="B40" s="136" t="s">
        <v>55</v>
      </c>
      <c r="C40" s="223">
        <v>314</v>
      </c>
      <c r="D40" s="223">
        <v>229</v>
      </c>
      <c r="E40" s="223">
        <v>11</v>
      </c>
      <c r="F40" s="223">
        <v>240</v>
      </c>
      <c r="G40" s="213">
        <v>713.93160199928525</v>
      </c>
      <c r="H40" s="218">
        <v>43.310341000000001</v>
      </c>
      <c r="I40" s="213">
        <v>757.24194299928524</v>
      </c>
      <c r="J40" s="219">
        <v>3.9975035084446357E-3</v>
      </c>
    </row>
    <row r="41" spans="1:10" ht="15" customHeight="1" x14ac:dyDescent="0.25">
      <c r="A41" s="88" t="s">
        <v>367</v>
      </c>
      <c r="B41" s="136" t="s">
        <v>56</v>
      </c>
      <c r="C41" s="223">
        <v>1272</v>
      </c>
      <c r="D41" s="223">
        <v>844</v>
      </c>
      <c r="E41" s="223">
        <v>78</v>
      </c>
      <c r="F41" s="223">
        <v>922</v>
      </c>
      <c r="G41" s="213">
        <v>3100.3040265447498</v>
      </c>
      <c r="H41" s="218">
        <v>325.00439500000022</v>
      </c>
      <c r="I41" s="213">
        <v>3425.3084215447502</v>
      </c>
      <c r="J41" s="219">
        <v>1.8082308513440358E-2</v>
      </c>
    </row>
    <row r="42" spans="1:10" ht="15" customHeight="1" x14ac:dyDescent="0.25">
      <c r="A42" s="88" t="s">
        <v>366</v>
      </c>
      <c r="B42" s="136" t="s">
        <v>57</v>
      </c>
      <c r="C42" s="223">
        <v>43</v>
      </c>
      <c r="D42" s="223">
        <v>31</v>
      </c>
      <c r="E42" s="223">
        <v>2</v>
      </c>
      <c r="F42" s="223">
        <v>33</v>
      </c>
      <c r="G42" s="213">
        <v>91.984894453783156</v>
      </c>
      <c r="H42" s="218">
        <v>8.3902439999999991</v>
      </c>
      <c r="I42" s="213">
        <v>100.37513845378315</v>
      </c>
      <c r="J42" s="219">
        <v>5.2988344324977909E-4</v>
      </c>
    </row>
    <row r="43" spans="1:10" ht="15" customHeight="1" x14ac:dyDescent="0.25">
      <c r="A43" s="88" t="s">
        <v>365</v>
      </c>
      <c r="B43" s="136" t="s">
        <v>58</v>
      </c>
      <c r="C43" s="223">
        <v>41</v>
      </c>
      <c r="D43" s="223">
        <v>27</v>
      </c>
      <c r="E43" s="223">
        <v>3</v>
      </c>
      <c r="F43" s="223">
        <v>30</v>
      </c>
      <c r="G43" s="213">
        <v>99.653792983727456</v>
      </c>
      <c r="H43" s="218">
        <v>11.38889</v>
      </c>
      <c r="I43" s="213">
        <v>111.04268298372746</v>
      </c>
      <c r="J43" s="219">
        <v>5.8619773893715094E-4</v>
      </c>
    </row>
    <row r="44" spans="1:10" ht="15" customHeight="1" x14ac:dyDescent="0.25">
      <c r="A44" s="88" t="s">
        <v>364</v>
      </c>
      <c r="B44" s="136" t="s">
        <v>59</v>
      </c>
      <c r="C44" s="223">
        <v>10</v>
      </c>
      <c r="D44" s="223">
        <v>8</v>
      </c>
      <c r="E44" s="223">
        <v>0</v>
      </c>
      <c r="F44" s="223">
        <v>8</v>
      </c>
      <c r="G44" s="213">
        <v>35</v>
      </c>
      <c r="H44" s="218">
        <v>0</v>
      </c>
      <c r="I44" s="213">
        <v>35</v>
      </c>
      <c r="J44" s="219">
        <v>1.8476607653479423E-4</v>
      </c>
    </row>
    <row r="45" spans="1:10" ht="15" customHeight="1" x14ac:dyDescent="0.25">
      <c r="A45" s="88" t="s">
        <v>363</v>
      </c>
      <c r="B45" s="136" t="s">
        <v>60</v>
      </c>
      <c r="C45" s="223">
        <v>13</v>
      </c>
      <c r="D45" s="223">
        <v>8</v>
      </c>
      <c r="E45" s="223">
        <v>0</v>
      </c>
      <c r="F45" s="223">
        <v>8</v>
      </c>
      <c r="G45" s="213">
        <v>31.922688976314404</v>
      </c>
      <c r="H45" s="218">
        <v>0</v>
      </c>
      <c r="I45" s="213">
        <v>31.922688976314404</v>
      </c>
      <c r="J45" s="219">
        <v>1.6852085698840398E-4</v>
      </c>
    </row>
    <row r="46" spans="1:10" ht="15" customHeight="1" x14ac:dyDescent="0.25">
      <c r="A46" s="88" t="s">
        <v>362</v>
      </c>
      <c r="B46" s="136" t="s">
        <v>61</v>
      </c>
      <c r="C46" s="223">
        <v>279</v>
      </c>
      <c r="D46" s="223">
        <v>206</v>
      </c>
      <c r="E46" s="223">
        <v>12</v>
      </c>
      <c r="F46" s="223">
        <v>218</v>
      </c>
      <c r="G46" s="213">
        <v>740.17960523058127</v>
      </c>
      <c r="H46" s="218">
        <v>47.441297000000006</v>
      </c>
      <c r="I46" s="213">
        <v>787.62090223058124</v>
      </c>
      <c r="J46" s="219">
        <v>4.1578749686268365E-3</v>
      </c>
    </row>
    <row r="47" spans="1:10" ht="15" customHeight="1" x14ac:dyDescent="0.25">
      <c r="A47" s="88" t="s">
        <v>361</v>
      </c>
      <c r="B47" s="136" t="s">
        <v>62</v>
      </c>
      <c r="C47" s="223">
        <v>34</v>
      </c>
      <c r="D47" s="223">
        <v>23</v>
      </c>
      <c r="E47" s="223">
        <v>2</v>
      </c>
      <c r="F47" s="223">
        <v>25</v>
      </c>
      <c r="G47" s="213">
        <v>78.225437951361357</v>
      </c>
      <c r="H47" s="218">
        <v>9.7142859999999995</v>
      </c>
      <c r="I47" s="213">
        <v>87.939723951361358</v>
      </c>
      <c r="J47" s="219">
        <v>4.6423650760131176E-4</v>
      </c>
    </row>
    <row r="48" spans="1:10" ht="15" customHeight="1" x14ac:dyDescent="0.25">
      <c r="A48" s="88" t="s">
        <v>360</v>
      </c>
      <c r="B48" s="136" t="s">
        <v>63</v>
      </c>
      <c r="C48" s="223">
        <v>19</v>
      </c>
      <c r="D48" s="223">
        <v>14</v>
      </c>
      <c r="E48" s="223">
        <v>1</v>
      </c>
      <c r="F48" s="223">
        <v>15</v>
      </c>
      <c r="G48" s="213">
        <v>41.049800903876481</v>
      </c>
      <c r="H48" s="218">
        <v>4.2222220000000004</v>
      </c>
      <c r="I48" s="213">
        <v>45.272022903876483</v>
      </c>
      <c r="J48" s="219">
        <v>2.3899240139264573E-4</v>
      </c>
    </row>
    <row r="49" spans="1:10" ht="15" customHeight="1" x14ac:dyDescent="0.25">
      <c r="A49" s="88" t="s">
        <v>359</v>
      </c>
      <c r="B49" s="136" t="s">
        <v>64</v>
      </c>
      <c r="C49" s="223">
        <v>1065</v>
      </c>
      <c r="D49" s="223">
        <v>659</v>
      </c>
      <c r="E49" s="223">
        <v>40</v>
      </c>
      <c r="F49" s="223">
        <v>699</v>
      </c>
      <c r="G49" s="213">
        <v>2518.3341727111219</v>
      </c>
      <c r="H49" s="218">
        <v>177.50000699999993</v>
      </c>
      <c r="I49" s="213">
        <v>2695.834179711122</v>
      </c>
      <c r="J49" s="219">
        <v>1.4231391553531984E-2</v>
      </c>
    </row>
    <row r="50" spans="1:10" ht="15" customHeight="1" x14ac:dyDescent="0.25">
      <c r="A50" s="88" t="s">
        <v>345</v>
      </c>
      <c r="B50" s="136" t="s">
        <v>65</v>
      </c>
      <c r="C50" s="223">
        <v>18</v>
      </c>
      <c r="D50" s="223">
        <v>12</v>
      </c>
      <c r="E50" s="223">
        <v>4</v>
      </c>
      <c r="F50" s="223">
        <v>16</v>
      </c>
      <c r="G50" s="213">
        <v>45.473610989020585</v>
      </c>
      <c r="H50" s="218">
        <v>16.941175999999999</v>
      </c>
      <c r="I50" s="213">
        <v>62.414786989020584</v>
      </c>
      <c r="J50" s="219">
        <v>3.2948958027760735E-4</v>
      </c>
    </row>
    <row r="51" spans="1:10" ht="15" customHeight="1" x14ac:dyDescent="0.25">
      <c r="A51" s="88" t="s">
        <v>344</v>
      </c>
      <c r="B51" s="136" t="s">
        <v>66</v>
      </c>
      <c r="C51" s="223">
        <v>1119</v>
      </c>
      <c r="D51" s="223">
        <v>810</v>
      </c>
      <c r="E51" s="223">
        <v>50</v>
      </c>
      <c r="F51" s="223">
        <v>860</v>
      </c>
      <c r="G51" s="213">
        <v>2784.7977311829532</v>
      </c>
      <c r="H51" s="218">
        <v>215.494472</v>
      </c>
      <c r="I51" s="213">
        <v>3000.292203182953</v>
      </c>
      <c r="J51" s="219">
        <v>1.5838634824001371E-2</v>
      </c>
    </row>
    <row r="52" spans="1:10" ht="15" customHeight="1" x14ac:dyDescent="0.25">
      <c r="A52" s="88" t="s">
        <v>338</v>
      </c>
      <c r="B52" s="136" t="s">
        <v>67</v>
      </c>
      <c r="C52" s="223">
        <v>2021</v>
      </c>
      <c r="D52" s="223">
        <v>1493</v>
      </c>
      <c r="E52" s="223">
        <v>47</v>
      </c>
      <c r="F52" s="223">
        <v>1540</v>
      </c>
      <c r="G52" s="213">
        <v>5113.5588815453748</v>
      </c>
      <c r="H52" s="218">
        <v>191.17568200000002</v>
      </c>
      <c r="I52" s="213">
        <v>5304.7345635453748</v>
      </c>
      <c r="J52" s="219">
        <v>2.8003856924708373E-2</v>
      </c>
    </row>
    <row r="53" spans="1:10" ht="15" customHeight="1" x14ac:dyDescent="0.25">
      <c r="A53" s="88" t="s">
        <v>358</v>
      </c>
      <c r="B53" s="136" t="s">
        <v>68</v>
      </c>
      <c r="C53" s="223">
        <v>55</v>
      </c>
      <c r="D53" s="223">
        <v>51</v>
      </c>
      <c r="E53" s="223">
        <v>1</v>
      </c>
      <c r="F53" s="223">
        <v>52</v>
      </c>
      <c r="G53" s="213">
        <v>112.77892669386733</v>
      </c>
      <c r="H53" s="218">
        <v>4</v>
      </c>
      <c r="I53" s="213">
        <v>116.77892669386733</v>
      </c>
      <c r="J53" s="219">
        <v>6.1647954591914904E-4</v>
      </c>
    </row>
    <row r="54" spans="1:10" ht="15" customHeight="1" x14ac:dyDescent="0.25">
      <c r="A54" s="88" t="s">
        <v>357</v>
      </c>
      <c r="B54" s="136" t="s">
        <v>69</v>
      </c>
      <c r="C54" s="223">
        <v>163</v>
      </c>
      <c r="D54" s="223">
        <v>54</v>
      </c>
      <c r="E54" s="223">
        <v>2</v>
      </c>
      <c r="F54" s="223">
        <v>56</v>
      </c>
      <c r="G54" s="213">
        <v>285.628387862956</v>
      </c>
      <c r="H54" s="218">
        <v>12.538462000000001</v>
      </c>
      <c r="I54" s="213">
        <v>298.16684986295598</v>
      </c>
      <c r="J54" s="219">
        <v>1.5740319714833552E-3</v>
      </c>
    </row>
    <row r="55" spans="1:10" ht="15" customHeight="1" x14ac:dyDescent="0.25">
      <c r="A55" s="88" t="s">
        <v>356</v>
      </c>
      <c r="B55" s="136" t="s">
        <v>70</v>
      </c>
      <c r="C55" s="223">
        <v>684</v>
      </c>
      <c r="D55" s="223">
        <v>548</v>
      </c>
      <c r="E55" s="223">
        <v>15</v>
      </c>
      <c r="F55" s="223">
        <v>563</v>
      </c>
      <c r="G55" s="213">
        <v>1590.1423822692987</v>
      </c>
      <c r="H55" s="218">
        <v>58.258673000000016</v>
      </c>
      <c r="I55" s="213">
        <v>1648.4010552692987</v>
      </c>
      <c r="J55" s="219">
        <v>8.7019598725120804E-3</v>
      </c>
    </row>
    <row r="56" spans="1:10" ht="15" customHeight="1" x14ac:dyDescent="0.25">
      <c r="A56" s="88" t="s">
        <v>355</v>
      </c>
      <c r="B56" s="136" t="s">
        <v>71</v>
      </c>
      <c r="C56" s="223">
        <v>59</v>
      </c>
      <c r="D56" s="223">
        <v>52</v>
      </c>
      <c r="E56" s="223">
        <v>4</v>
      </c>
      <c r="F56" s="223">
        <v>56</v>
      </c>
      <c r="G56" s="213">
        <v>154.97721233215907</v>
      </c>
      <c r="H56" s="218">
        <v>16.561404</v>
      </c>
      <c r="I56" s="213">
        <v>171.53861633215908</v>
      </c>
      <c r="J56" s="219">
        <v>9.0555763182572605E-4</v>
      </c>
    </row>
    <row r="57" spans="1:10" ht="15" customHeight="1" x14ac:dyDescent="0.25">
      <c r="A57" s="88" t="s">
        <v>354</v>
      </c>
      <c r="B57" s="136" t="s">
        <v>72</v>
      </c>
      <c r="C57" s="223">
        <v>11</v>
      </c>
      <c r="D57" s="223">
        <v>7</v>
      </c>
      <c r="E57" s="223">
        <v>0</v>
      </c>
      <c r="F57" s="223">
        <v>7</v>
      </c>
      <c r="G57" s="213">
        <v>25.557311967916988</v>
      </c>
      <c r="H57" s="218">
        <v>0</v>
      </c>
      <c r="I57" s="213">
        <v>25.557311967916988</v>
      </c>
      <c r="J57" s="219">
        <v>1.3491783597393609E-4</v>
      </c>
    </row>
    <row r="58" spans="1:10" ht="15" customHeight="1" x14ac:dyDescent="0.25">
      <c r="A58" s="88" t="s">
        <v>353</v>
      </c>
      <c r="B58" s="136" t="s">
        <v>154</v>
      </c>
      <c r="C58" s="223">
        <v>15</v>
      </c>
      <c r="D58" s="223">
        <v>14</v>
      </c>
      <c r="E58" s="223">
        <v>0</v>
      </c>
      <c r="F58" s="223">
        <v>14</v>
      </c>
      <c r="G58" s="213">
        <v>44.722677826878439</v>
      </c>
      <c r="H58" s="218">
        <v>0</v>
      </c>
      <c r="I58" s="213">
        <v>44.722677826878439</v>
      </c>
      <c r="J58" s="219">
        <v>2.3609239183434191E-4</v>
      </c>
    </row>
    <row r="59" spans="1:10" ht="15" customHeight="1" x14ac:dyDescent="0.25">
      <c r="A59" s="88" t="s">
        <v>351</v>
      </c>
      <c r="B59" s="136" t="s">
        <v>73</v>
      </c>
      <c r="C59" s="223">
        <v>49</v>
      </c>
      <c r="D59" s="223">
        <v>31</v>
      </c>
      <c r="E59" s="223">
        <v>2</v>
      </c>
      <c r="F59" s="223">
        <v>33</v>
      </c>
      <c r="G59" s="213">
        <v>118.16763653732966</v>
      </c>
      <c r="H59" s="218">
        <v>6.8372099999999998</v>
      </c>
      <c r="I59" s="213">
        <v>125.00484653732966</v>
      </c>
      <c r="J59" s="219">
        <v>6.5990442978675599E-4</v>
      </c>
    </row>
    <row r="60" spans="1:10" ht="15" customHeight="1" x14ac:dyDescent="0.25">
      <c r="A60" s="88" t="s">
        <v>350</v>
      </c>
      <c r="B60" s="136" t="s">
        <v>74</v>
      </c>
      <c r="C60" s="223">
        <v>893</v>
      </c>
      <c r="D60" s="223">
        <v>549</v>
      </c>
      <c r="E60" s="223">
        <v>42</v>
      </c>
      <c r="F60" s="223">
        <v>591</v>
      </c>
      <c r="G60" s="213">
        <v>2231.3986871994862</v>
      </c>
      <c r="H60" s="218">
        <v>194.08020100000005</v>
      </c>
      <c r="I60" s="213">
        <v>2425.4788881994864</v>
      </c>
      <c r="J60" s="219">
        <v>1.2804177654016971E-2</v>
      </c>
    </row>
    <row r="61" spans="1:10" ht="15" customHeight="1" x14ac:dyDescent="0.25">
      <c r="A61" s="88" t="s">
        <v>349</v>
      </c>
      <c r="B61" s="136" t="s">
        <v>75</v>
      </c>
      <c r="C61" s="223">
        <v>2232</v>
      </c>
      <c r="D61" s="223">
        <v>1618</v>
      </c>
      <c r="E61" s="223">
        <v>85</v>
      </c>
      <c r="F61" s="223">
        <v>1703</v>
      </c>
      <c r="G61" s="213">
        <v>5846.2189701241314</v>
      </c>
      <c r="H61" s="218">
        <v>356.22943599999991</v>
      </c>
      <c r="I61" s="213">
        <v>6202.448406124131</v>
      </c>
      <c r="J61" s="219">
        <v>3.2742915911686966E-2</v>
      </c>
    </row>
    <row r="62" spans="1:10" ht="15" customHeight="1" x14ac:dyDescent="0.25">
      <c r="A62" s="88" t="s">
        <v>348</v>
      </c>
      <c r="B62" s="136" t="s">
        <v>76</v>
      </c>
      <c r="C62" s="223">
        <v>957</v>
      </c>
      <c r="D62" s="223">
        <v>675</v>
      </c>
      <c r="E62" s="223">
        <v>42</v>
      </c>
      <c r="F62" s="223">
        <v>717</v>
      </c>
      <c r="G62" s="213">
        <v>2455.9041053333426</v>
      </c>
      <c r="H62" s="218">
        <v>167.41843999999998</v>
      </c>
      <c r="I62" s="213">
        <v>2623.3225453333425</v>
      </c>
      <c r="J62" s="219">
        <v>1.3848600405328903E-2</v>
      </c>
    </row>
    <row r="63" spans="1:10" ht="15" customHeight="1" x14ac:dyDescent="0.25">
      <c r="A63" s="88" t="s">
        <v>347</v>
      </c>
      <c r="B63" s="136" t="s">
        <v>77</v>
      </c>
      <c r="C63" s="223">
        <v>156</v>
      </c>
      <c r="D63" s="223">
        <v>82</v>
      </c>
      <c r="E63" s="223">
        <v>4</v>
      </c>
      <c r="F63" s="223">
        <v>86</v>
      </c>
      <c r="G63" s="213">
        <v>316.6890341521302</v>
      </c>
      <c r="H63" s="218">
        <v>13.565218000000002</v>
      </c>
      <c r="I63" s="213">
        <v>330.25425215213022</v>
      </c>
      <c r="J63" s="219">
        <v>1.7434223551166209E-3</v>
      </c>
    </row>
    <row r="64" spans="1:10" ht="15" customHeight="1" x14ac:dyDescent="0.25">
      <c r="A64" s="88" t="s">
        <v>346</v>
      </c>
      <c r="B64" s="136" t="s">
        <v>78</v>
      </c>
      <c r="C64" s="223">
        <v>898</v>
      </c>
      <c r="D64" s="223">
        <v>593</v>
      </c>
      <c r="E64" s="223">
        <v>33</v>
      </c>
      <c r="F64" s="223">
        <v>626</v>
      </c>
      <c r="G64" s="213">
        <v>2222.5425074823502</v>
      </c>
      <c r="H64" s="218">
        <v>141.435</v>
      </c>
      <c r="I64" s="213">
        <v>2363.9775074823501</v>
      </c>
      <c r="J64" s="219">
        <v>1.2479509973543315E-2</v>
      </c>
    </row>
    <row r="65" spans="1:10" ht="15" customHeight="1" x14ac:dyDescent="0.25">
      <c r="A65" s="88" t="s">
        <v>342</v>
      </c>
      <c r="B65" s="136" t="s">
        <v>79</v>
      </c>
      <c r="C65" s="223">
        <v>52</v>
      </c>
      <c r="D65" s="223">
        <v>40</v>
      </c>
      <c r="E65" s="223">
        <v>0</v>
      </c>
      <c r="F65" s="223">
        <v>40</v>
      </c>
      <c r="G65" s="213">
        <v>110.39283831026663</v>
      </c>
      <c r="H65" s="218">
        <v>0</v>
      </c>
      <c r="I65" s="213">
        <v>110.39283831026663</v>
      </c>
      <c r="J65" s="219">
        <v>5.8276718891793965E-4</v>
      </c>
    </row>
    <row r="66" spans="1:10" ht="15" customHeight="1" x14ac:dyDescent="0.25">
      <c r="A66" s="88" t="s">
        <v>341</v>
      </c>
      <c r="B66" s="136" t="s">
        <v>80</v>
      </c>
      <c r="C66" s="223">
        <v>30</v>
      </c>
      <c r="D66" s="223">
        <v>15</v>
      </c>
      <c r="E66" s="223">
        <v>10</v>
      </c>
      <c r="F66" s="223">
        <v>25</v>
      </c>
      <c r="G66" s="213">
        <v>62.378406692730451</v>
      </c>
      <c r="H66" s="218">
        <v>37.241380000000007</v>
      </c>
      <c r="I66" s="213">
        <v>99.619786692730457</v>
      </c>
      <c r="J66" s="219">
        <v>5.2589591806996897E-4</v>
      </c>
    </row>
    <row r="67" spans="1:10" ht="15" customHeight="1" x14ac:dyDescent="0.25">
      <c r="A67" s="88" t="s">
        <v>340</v>
      </c>
      <c r="B67" s="136" t="s">
        <v>81</v>
      </c>
      <c r="C67" s="223">
        <v>42</v>
      </c>
      <c r="D67" s="223">
        <v>21</v>
      </c>
      <c r="E67" s="223">
        <v>0</v>
      </c>
      <c r="F67" s="223">
        <v>21</v>
      </c>
      <c r="G67" s="213">
        <v>94.066637292700236</v>
      </c>
      <c r="H67" s="218">
        <v>0</v>
      </c>
      <c r="I67" s="213">
        <v>94.066637292700236</v>
      </c>
      <c r="J67" s="219">
        <v>4.9658067158267949E-4</v>
      </c>
    </row>
    <row r="68" spans="1:10" ht="15" customHeight="1" x14ac:dyDescent="0.25">
      <c r="A68" s="88" t="s">
        <v>339</v>
      </c>
      <c r="B68" s="136" t="s">
        <v>82</v>
      </c>
      <c r="C68" s="223">
        <v>74</v>
      </c>
      <c r="D68" s="223">
        <v>59</v>
      </c>
      <c r="E68" s="223">
        <v>7</v>
      </c>
      <c r="F68" s="223">
        <v>66</v>
      </c>
      <c r="G68" s="213">
        <v>178.35964939617949</v>
      </c>
      <c r="H68" s="218">
        <v>19.304349000000002</v>
      </c>
      <c r="I68" s="213">
        <v>197.66399839617949</v>
      </c>
      <c r="J68" s="219">
        <v>1.04347432730977E-3</v>
      </c>
    </row>
    <row r="69" spans="1:10" ht="15" customHeight="1" x14ac:dyDescent="0.25">
      <c r="A69" s="88" t="s">
        <v>337</v>
      </c>
      <c r="B69" s="136" t="s">
        <v>172</v>
      </c>
      <c r="C69" s="223">
        <v>12</v>
      </c>
      <c r="D69" s="223">
        <v>8</v>
      </c>
      <c r="E69" s="223">
        <v>0</v>
      </c>
      <c r="F69" s="223">
        <v>8</v>
      </c>
      <c r="G69" s="213">
        <v>34.424887179578946</v>
      </c>
      <c r="H69" s="218">
        <v>0</v>
      </c>
      <c r="I69" s="213">
        <v>34.424887179578946</v>
      </c>
      <c r="J69" s="219">
        <v>1.8173003826639259E-4</v>
      </c>
    </row>
    <row r="70" spans="1:10" ht="15" customHeight="1" x14ac:dyDescent="0.25">
      <c r="A70" s="88" t="s">
        <v>381</v>
      </c>
      <c r="B70" s="136" t="s">
        <v>83</v>
      </c>
      <c r="C70" s="223">
        <v>41</v>
      </c>
      <c r="D70" s="223">
        <v>28</v>
      </c>
      <c r="E70" s="223">
        <v>1</v>
      </c>
      <c r="F70" s="223">
        <v>29</v>
      </c>
      <c r="G70" s="213">
        <v>88.341740807256528</v>
      </c>
      <c r="H70" s="218">
        <v>4.4324320000000004</v>
      </c>
      <c r="I70" s="213">
        <v>92.774172807256534</v>
      </c>
      <c r="J70" s="219">
        <v>4.8975771181022248E-4</v>
      </c>
    </row>
    <row r="71" spans="1:10" ht="15" customHeight="1" x14ac:dyDescent="0.25">
      <c r="A71" s="88" t="s">
        <v>336</v>
      </c>
      <c r="B71" s="136" t="s">
        <v>84</v>
      </c>
      <c r="C71" s="223">
        <v>30</v>
      </c>
      <c r="D71" s="223">
        <v>27</v>
      </c>
      <c r="E71" s="223">
        <v>1</v>
      </c>
      <c r="F71" s="223">
        <v>28</v>
      </c>
      <c r="G71" s="213">
        <v>85.386797635890247</v>
      </c>
      <c r="H71" s="218">
        <v>4.137931</v>
      </c>
      <c r="I71" s="213">
        <v>89.524728635890241</v>
      </c>
      <c r="J71" s="219">
        <v>4.7260379608273092E-4</v>
      </c>
    </row>
    <row r="72" spans="1:10" ht="15" customHeight="1" x14ac:dyDescent="0.25">
      <c r="A72" s="88" t="s">
        <v>335</v>
      </c>
      <c r="B72" s="136" t="s">
        <v>85</v>
      </c>
      <c r="C72" s="223">
        <v>22</v>
      </c>
      <c r="D72" s="223">
        <v>11</v>
      </c>
      <c r="E72" s="223">
        <v>9</v>
      </c>
      <c r="F72" s="223">
        <v>20</v>
      </c>
      <c r="G72" s="213">
        <v>37.143256971637015</v>
      </c>
      <c r="H72" s="218">
        <v>34</v>
      </c>
      <c r="I72" s="213">
        <v>71.143256971637015</v>
      </c>
      <c r="J72" s="219">
        <v>3.7556744178731484E-4</v>
      </c>
    </row>
    <row r="73" spans="1:10" ht="15" customHeight="1" x14ac:dyDescent="0.25">
      <c r="A73" s="88" t="s">
        <v>333</v>
      </c>
      <c r="B73" s="136" t="s">
        <v>86</v>
      </c>
      <c r="C73" s="223">
        <v>546</v>
      </c>
      <c r="D73" s="223">
        <v>401</v>
      </c>
      <c r="E73" s="223">
        <v>15</v>
      </c>
      <c r="F73" s="223">
        <v>416</v>
      </c>
      <c r="G73" s="213">
        <v>1370.7158637879888</v>
      </c>
      <c r="H73" s="218">
        <v>66.857144000000005</v>
      </c>
      <c r="I73" s="213">
        <v>1437.5730077879889</v>
      </c>
      <c r="J73" s="219">
        <v>7.5889921251802838E-3</v>
      </c>
    </row>
    <row r="74" spans="1:10" ht="15" customHeight="1" x14ac:dyDescent="0.25">
      <c r="A74" s="88" t="s">
        <v>331</v>
      </c>
      <c r="B74" s="136" t="s">
        <v>87</v>
      </c>
      <c r="C74" s="223">
        <v>680</v>
      </c>
      <c r="D74" s="223">
        <v>509</v>
      </c>
      <c r="E74" s="223">
        <v>25</v>
      </c>
      <c r="F74" s="223">
        <v>534</v>
      </c>
      <c r="G74" s="213">
        <v>1854.7167048364579</v>
      </c>
      <c r="H74" s="218">
        <v>110.69766899999996</v>
      </c>
      <c r="I74" s="213">
        <v>1965.4143738364578</v>
      </c>
      <c r="J74" s="219">
        <v>1.0375482931967191E-2</v>
      </c>
    </row>
    <row r="75" spans="1:10" ht="15" customHeight="1" x14ac:dyDescent="0.25">
      <c r="A75" s="88" t="s">
        <v>330</v>
      </c>
      <c r="B75" s="136" t="s">
        <v>88</v>
      </c>
      <c r="C75" s="223">
        <v>817</v>
      </c>
      <c r="D75" s="223">
        <v>629</v>
      </c>
      <c r="E75" s="223">
        <v>13</v>
      </c>
      <c r="F75" s="223">
        <v>642</v>
      </c>
      <c r="G75" s="213">
        <v>2199.6377930502108</v>
      </c>
      <c r="H75" s="218">
        <v>55.128202999999999</v>
      </c>
      <c r="I75" s="213">
        <v>2254.765996050211</v>
      </c>
      <c r="J75" s="219">
        <v>1.1902979045550424E-2</v>
      </c>
    </row>
    <row r="76" spans="1:10" ht="15" customHeight="1" x14ac:dyDescent="0.25">
      <c r="A76" s="88" t="s">
        <v>329</v>
      </c>
      <c r="B76" s="136" t="s">
        <v>89</v>
      </c>
      <c r="C76" s="223">
        <v>2004</v>
      </c>
      <c r="D76" s="223">
        <v>1461</v>
      </c>
      <c r="E76" s="223">
        <v>61</v>
      </c>
      <c r="F76" s="223">
        <v>1522</v>
      </c>
      <c r="G76" s="213">
        <v>5156.1591360514894</v>
      </c>
      <c r="H76" s="218">
        <v>241.843132</v>
      </c>
      <c r="I76" s="213">
        <v>5398.0022680514894</v>
      </c>
      <c r="J76" s="219">
        <v>2.8496220005536983E-2</v>
      </c>
    </row>
    <row r="77" spans="1:10" ht="15" customHeight="1" x14ac:dyDescent="0.25">
      <c r="A77" s="88" t="s">
        <v>327</v>
      </c>
      <c r="B77" s="136" t="s">
        <v>90</v>
      </c>
      <c r="C77" s="223">
        <v>92</v>
      </c>
      <c r="D77" s="223">
        <v>54</v>
      </c>
      <c r="E77" s="223">
        <v>3</v>
      </c>
      <c r="F77" s="223">
        <v>57</v>
      </c>
      <c r="G77" s="213">
        <v>190.50699126251598</v>
      </c>
      <c r="H77" s="218">
        <v>9.5584409999999984</v>
      </c>
      <c r="I77" s="213">
        <v>200.06543226251597</v>
      </c>
      <c r="J77" s="219">
        <v>1.0561515705537919E-3</v>
      </c>
    </row>
    <row r="78" spans="1:10" ht="15" customHeight="1" x14ac:dyDescent="0.25">
      <c r="A78" s="88" t="s">
        <v>323</v>
      </c>
      <c r="B78" s="136" t="s">
        <v>91</v>
      </c>
      <c r="C78" s="223">
        <v>89</v>
      </c>
      <c r="D78" s="223">
        <v>89</v>
      </c>
      <c r="E78" s="223">
        <v>0</v>
      </c>
      <c r="F78" s="223">
        <v>89</v>
      </c>
      <c r="G78" s="213">
        <v>175.00178280082869</v>
      </c>
      <c r="H78" s="218">
        <v>0</v>
      </c>
      <c r="I78" s="213">
        <v>175.00178280082869</v>
      </c>
      <c r="J78" s="219">
        <v>9.2383979413438149E-4</v>
      </c>
    </row>
    <row r="79" spans="1:10" ht="15" customHeight="1" x14ac:dyDescent="0.25">
      <c r="A79" s="88" t="s">
        <v>326</v>
      </c>
      <c r="B79" s="136" t="s">
        <v>92</v>
      </c>
      <c r="C79" s="223">
        <v>933</v>
      </c>
      <c r="D79" s="223">
        <v>887</v>
      </c>
      <c r="E79" s="223">
        <v>6</v>
      </c>
      <c r="F79" s="223">
        <v>893</v>
      </c>
      <c r="G79" s="213">
        <v>1832.0101116166265</v>
      </c>
      <c r="H79" s="218">
        <v>14.259826</v>
      </c>
      <c r="I79" s="213">
        <v>1846.2699376166265</v>
      </c>
      <c r="J79" s="219">
        <v>9.7465157885018115E-3</v>
      </c>
    </row>
    <row r="80" spans="1:10" ht="15" customHeight="1" x14ac:dyDescent="0.25">
      <c r="A80" s="88" t="s">
        <v>325</v>
      </c>
      <c r="B80" s="136" t="s">
        <v>93</v>
      </c>
      <c r="C80" s="223">
        <v>106</v>
      </c>
      <c r="D80" s="223">
        <v>73</v>
      </c>
      <c r="E80" s="223">
        <v>1</v>
      </c>
      <c r="F80" s="223">
        <v>74</v>
      </c>
      <c r="G80" s="213">
        <v>234.22402049986729</v>
      </c>
      <c r="H80" s="218">
        <v>4.4166670000000003</v>
      </c>
      <c r="I80" s="213">
        <v>238.64068749986728</v>
      </c>
      <c r="J80" s="219">
        <v>1.259791529454754E-3</v>
      </c>
    </row>
    <row r="81" spans="1:10" ht="15" customHeight="1" x14ac:dyDescent="0.25">
      <c r="A81" s="88" t="s">
        <v>319</v>
      </c>
      <c r="B81" s="136" t="s">
        <v>94</v>
      </c>
      <c r="C81" s="223">
        <v>508</v>
      </c>
      <c r="D81" s="223">
        <v>412</v>
      </c>
      <c r="E81" s="223">
        <v>32</v>
      </c>
      <c r="F81" s="223">
        <v>444</v>
      </c>
      <c r="G81" s="213">
        <v>1313.0109688454754</v>
      </c>
      <c r="H81" s="218">
        <v>133.90794899999997</v>
      </c>
      <c r="I81" s="213">
        <v>1446.9189178454753</v>
      </c>
      <c r="J81" s="219">
        <v>7.6383294718365361E-3</v>
      </c>
    </row>
    <row r="82" spans="1:10" ht="15" customHeight="1" x14ac:dyDescent="0.25">
      <c r="A82" s="88" t="s">
        <v>318</v>
      </c>
      <c r="B82" s="136" t="s">
        <v>95</v>
      </c>
      <c r="C82" s="223">
        <v>11</v>
      </c>
      <c r="D82" s="223">
        <v>6</v>
      </c>
      <c r="E82" s="223">
        <v>4</v>
      </c>
      <c r="F82" s="223">
        <v>10</v>
      </c>
      <c r="G82" s="213">
        <v>18.357180126270642</v>
      </c>
      <c r="H82" s="218">
        <v>12</v>
      </c>
      <c r="I82" s="213">
        <v>30.357180126270642</v>
      </c>
      <c r="J82" s="219">
        <v>1.6025648761688733E-4</v>
      </c>
    </row>
    <row r="83" spans="1:10" ht="15" customHeight="1" x14ac:dyDescent="0.25">
      <c r="A83" s="88" t="s">
        <v>317</v>
      </c>
      <c r="B83" s="136" t="s">
        <v>96</v>
      </c>
      <c r="C83" s="223">
        <v>3195</v>
      </c>
      <c r="D83" s="223">
        <v>2231</v>
      </c>
      <c r="E83" s="223">
        <v>122</v>
      </c>
      <c r="F83" s="223">
        <v>2353</v>
      </c>
      <c r="G83" s="213">
        <v>8151.6674344602934</v>
      </c>
      <c r="H83" s="218">
        <v>500.26095299999974</v>
      </c>
      <c r="I83" s="213">
        <v>8651.9283874602934</v>
      </c>
      <c r="J83" s="219">
        <v>4.5673796074601355E-2</v>
      </c>
    </row>
    <row r="84" spans="1:10" ht="15" customHeight="1" x14ac:dyDescent="0.25">
      <c r="A84" s="88" t="s">
        <v>314</v>
      </c>
      <c r="B84" s="136" t="s">
        <v>97</v>
      </c>
      <c r="C84" s="223">
        <v>14</v>
      </c>
      <c r="D84" s="223">
        <v>6</v>
      </c>
      <c r="E84" s="223">
        <v>2</v>
      </c>
      <c r="F84" s="223">
        <v>8</v>
      </c>
      <c r="G84" s="213">
        <v>27.222499546780011</v>
      </c>
      <c r="H84" s="218">
        <v>9.3333340000000007</v>
      </c>
      <c r="I84" s="213">
        <v>36.555833546780008</v>
      </c>
      <c r="J84" s="219">
        <v>1.9297936968278725E-4</v>
      </c>
    </row>
    <row r="85" spans="1:10" ht="15" customHeight="1" x14ac:dyDescent="0.25">
      <c r="A85" s="88" t="s">
        <v>313</v>
      </c>
      <c r="B85" s="136" t="s">
        <v>98</v>
      </c>
      <c r="C85" s="223">
        <v>81</v>
      </c>
      <c r="D85" s="223">
        <v>72</v>
      </c>
      <c r="E85" s="223">
        <v>0</v>
      </c>
      <c r="F85" s="223">
        <v>72</v>
      </c>
      <c r="G85" s="213">
        <v>159.47037457725511</v>
      </c>
      <c r="H85" s="218">
        <v>0</v>
      </c>
      <c r="I85" s="213">
        <v>159.47037457725511</v>
      </c>
      <c r="J85" s="219">
        <v>8.4184901240495498E-4</v>
      </c>
    </row>
    <row r="86" spans="1:10" ht="15" customHeight="1" x14ac:dyDescent="0.25">
      <c r="A86" s="88" t="s">
        <v>312</v>
      </c>
      <c r="B86" s="136" t="s">
        <v>99</v>
      </c>
      <c r="C86" s="223">
        <v>96</v>
      </c>
      <c r="D86" s="223">
        <v>88</v>
      </c>
      <c r="E86" s="223">
        <v>1</v>
      </c>
      <c r="F86" s="223">
        <v>89</v>
      </c>
      <c r="G86" s="213">
        <v>202.38802670570567</v>
      </c>
      <c r="H86" s="218">
        <v>4.0421050000000003</v>
      </c>
      <c r="I86" s="213">
        <v>206.43013170570566</v>
      </c>
      <c r="J86" s="219">
        <v>1.0897510146806876E-3</v>
      </c>
    </row>
    <row r="87" spans="1:10" ht="15" customHeight="1" x14ac:dyDescent="0.25">
      <c r="A87" s="88" t="s">
        <v>311</v>
      </c>
      <c r="B87" s="136" t="s">
        <v>100</v>
      </c>
      <c r="C87" s="223">
        <v>326</v>
      </c>
      <c r="D87" s="223">
        <v>217</v>
      </c>
      <c r="E87" s="223">
        <v>10</v>
      </c>
      <c r="F87" s="223">
        <v>227</v>
      </c>
      <c r="G87" s="213">
        <v>712.69033518052106</v>
      </c>
      <c r="H87" s="218">
        <v>35.972416000000003</v>
      </c>
      <c r="I87" s="213">
        <v>748.66275118052101</v>
      </c>
      <c r="J87" s="219">
        <v>3.9522136909534216E-3</v>
      </c>
    </row>
    <row r="88" spans="1:10" ht="15" customHeight="1" x14ac:dyDescent="0.25">
      <c r="A88" s="88" t="s">
        <v>310</v>
      </c>
      <c r="B88" s="136" t="s">
        <v>101</v>
      </c>
      <c r="C88" s="223">
        <v>554</v>
      </c>
      <c r="D88" s="223">
        <v>441</v>
      </c>
      <c r="E88" s="223">
        <v>19</v>
      </c>
      <c r="F88" s="223">
        <v>460</v>
      </c>
      <c r="G88" s="213">
        <v>1503.7740175322429</v>
      </c>
      <c r="H88" s="218">
        <v>69.389903000000004</v>
      </c>
      <c r="I88" s="213">
        <v>1573.1639205322429</v>
      </c>
      <c r="J88" s="219">
        <v>8.3047807240810671E-3</v>
      </c>
    </row>
    <row r="89" spans="1:10" ht="15" customHeight="1" x14ac:dyDescent="0.25">
      <c r="A89" s="88" t="s">
        <v>309</v>
      </c>
      <c r="B89" s="136" t="s">
        <v>102</v>
      </c>
      <c r="C89" s="223">
        <v>27</v>
      </c>
      <c r="D89" s="223">
        <v>11</v>
      </c>
      <c r="E89" s="223">
        <v>3</v>
      </c>
      <c r="F89" s="223">
        <v>14</v>
      </c>
      <c r="G89" s="213">
        <v>42.322923313173838</v>
      </c>
      <c r="H89" s="218">
        <v>15.428571000000002</v>
      </c>
      <c r="I89" s="213">
        <v>57.751494313173836</v>
      </c>
      <c r="J89" s="219">
        <v>3.0487191480761748E-4</v>
      </c>
    </row>
    <row r="90" spans="1:10" ht="15" customHeight="1" x14ac:dyDescent="0.25">
      <c r="A90" s="88" t="s">
        <v>316</v>
      </c>
      <c r="B90" s="136" t="s">
        <v>103</v>
      </c>
      <c r="C90" s="223">
        <v>2171</v>
      </c>
      <c r="D90" s="223">
        <v>1371</v>
      </c>
      <c r="E90" s="223">
        <v>88</v>
      </c>
      <c r="F90" s="223">
        <v>1459</v>
      </c>
      <c r="G90" s="213">
        <v>5370.7909863918403</v>
      </c>
      <c r="H90" s="218">
        <v>374.07293800000014</v>
      </c>
      <c r="I90" s="213">
        <v>5744.8639243918406</v>
      </c>
      <c r="J90" s="219">
        <v>3.0327313358176036E-2</v>
      </c>
    </row>
    <row r="91" spans="1:10" ht="15" customHeight="1" x14ac:dyDescent="0.25">
      <c r="A91" s="88" t="s">
        <v>306</v>
      </c>
      <c r="B91" s="136" t="s">
        <v>104</v>
      </c>
      <c r="C91" s="223">
        <v>67</v>
      </c>
      <c r="D91" s="223">
        <v>50</v>
      </c>
      <c r="E91" s="223">
        <v>1</v>
      </c>
      <c r="F91" s="223">
        <v>51</v>
      </c>
      <c r="G91" s="213">
        <v>160.0496532390957</v>
      </c>
      <c r="H91" s="218">
        <v>2.09375</v>
      </c>
      <c r="I91" s="213">
        <v>162.1434032390957</v>
      </c>
      <c r="J91" s="219">
        <v>8.5596001292819325E-4</v>
      </c>
    </row>
    <row r="92" spans="1:10" ht="15" customHeight="1" x14ac:dyDescent="0.25">
      <c r="A92" s="88" t="s">
        <v>305</v>
      </c>
      <c r="B92" s="136" t="s">
        <v>105</v>
      </c>
      <c r="C92" s="223">
        <v>23</v>
      </c>
      <c r="D92" s="223">
        <v>19</v>
      </c>
      <c r="E92" s="223">
        <v>3</v>
      </c>
      <c r="F92" s="223">
        <v>22</v>
      </c>
      <c r="G92" s="213">
        <v>65.141329049786606</v>
      </c>
      <c r="H92" s="218">
        <v>12.545453999999999</v>
      </c>
      <c r="I92" s="213">
        <v>77.686783049786612</v>
      </c>
      <c r="J92" s="219">
        <v>4.1011091722053801E-4</v>
      </c>
    </row>
    <row r="93" spans="1:10" ht="15" customHeight="1" x14ac:dyDescent="0.25">
      <c r="A93" s="88" t="s">
        <v>304</v>
      </c>
      <c r="B93" s="136" t="s">
        <v>106</v>
      </c>
      <c r="C93" s="223">
        <v>126</v>
      </c>
      <c r="D93" s="223">
        <v>102</v>
      </c>
      <c r="E93" s="223">
        <v>1</v>
      </c>
      <c r="F93" s="223">
        <v>103</v>
      </c>
      <c r="G93" s="213">
        <v>290.70550822888498</v>
      </c>
      <c r="H93" s="218">
        <v>2.0655739999999998</v>
      </c>
      <c r="I93" s="213">
        <v>292.77108222888501</v>
      </c>
      <c r="J93" s="219">
        <v>1.5455475481793344E-3</v>
      </c>
    </row>
    <row r="94" spans="1:10" ht="15" customHeight="1" x14ac:dyDescent="0.25">
      <c r="A94" s="88" t="s">
        <v>308</v>
      </c>
      <c r="B94" s="136" t="s">
        <v>107</v>
      </c>
      <c r="C94" s="223">
        <v>58</v>
      </c>
      <c r="D94" s="223">
        <v>50</v>
      </c>
      <c r="E94" s="223">
        <v>3</v>
      </c>
      <c r="F94" s="223">
        <v>53</v>
      </c>
      <c r="G94" s="213">
        <v>152.46040090095838</v>
      </c>
      <c r="H94" s="218">
        <v>12.888889000000001</v>
      </c>
      <c r="I94" s="213">
        <v>165.34928990095838</v>
      </c>
      <c r="J94" s="219">
        <v>8.7288398722326741E-4</v>
      </c>
    </row>
    <row r="95" spans="1:10" ht="15" customHeight="1" x14ac:dyDescent="0.25">
      <c r="A95" s="88" t="s">
        <v>307</v>
      </c>
      <c r="B95" s="136" t="s">
        <v>108</v>
      </c>
      <c r="C95" s="223">
        <v>32</v>
      </c>
      <c r="D95" s="223">
        <v>27</v>
      </c>
      <c r="E95" s="223">
        <v>0</v>
      </c>
      <c r="F95" s="223">
        <v>27</v>
      </c>
      <c r="G95" s="213">
        <v>105.05447811599846</v>
      </c>
      <c r="H95" s="218">
        <v>0</v>
      </c>
      <c r="I95" s="213">
        <v>105.05447811599846</v>
      </c>
      <c r="J95" s="219">
        <v>5.5458582125438396E-4</v>
      </c>
    </row>
    <row r="96" spans="1:10" ht="15" customHeight="1" x14ac:dyDescent="0.25">
      <c r="A96" s="88" t="s">
        <v>303</v>
      </c>
      <c r="B96" s="136" t="s">
        <v>109</v>
      </c>
      <c r="C96" s="223">
        <v>348</v>
      </c>
      <c r="D96" s="223">
        <v>187</v>
      </c>
      <c r="E96" s="223">
        <v>20</v>
      </c>
      <c r="F96" s="223">
        <v>207</v>
      </c>
      <c r="G96" s="213">
        <v>779.3029474582313</v>
      </c>
      <c r="H96" s="218">
        <v>97.342659000000012</v>
      </c>
      <c r="I96" s="213">
        <v>876.64560645823133</v>
      </c>
      <c r="J96" s="219">
        <v>4.6278391204786478E-3</v>
      </c>
    </row>
    <row r="97" spans="1:10" ht="15" customHeight="1" x14ac:dyDescent="0.25">
      <c r="A97" s="88" t="s">
        <v>302</v>
      </c>
      <c r="B97" s="136" t="s">
        <v>110</v>
      </c>
      <c r="C97" s="223">
        <v>82</v>
      </c>
      <c r="D97" s="223">
        <v>46</v>
      </c>
      <c r="E97" s="223">
        <v>3</v>
      </c>
      <c r="F97" s="223">
        <v>49</v>
      </c>
      <c r="G97" s="213">
        <v>198.13202618329998</v>
      </c>
      <c r="H97" s="218">
        <v>15.138461999999999</v>
      </c>
      <c r="I97" s="213">
        <v>213.27048818329999</v>
      </c>
      <c r="J97" s="219">
        <v>1.1258614669225296E-3</v>
      </c>
    </row>
    <row r="98" spans="1:10" ht="15" customHeight="1" x14ac:dyDescent="0.25">
      <c r="A98" s="88" t="s">
        <v>301</v>
      </c>
      <c r="B98" s="136" t="s">
        <v>111</v>
      </c>
      <c r="C98" s="223">
        <v>858</v>
      </c>
      <c r="D98" s="223">
        <v>629</v>
      </c>
      <c r="E98" s="223">
        <v>30</v>
      </c>
      <c r="F98" s="223">
        <v>659</v>
      </c>
      <c r="G98" s="213">
        <v>2115.6985240930253</v>
      </c>
      <c r="H98" s="218">
        <v>123.67566700000003</v>
      </c>
      <c r="I98" s="213">
        <v>2239.3741910930253</v>
      </c>
      <c r="J98" s="219">
        <v>1.1821725233758197E-2</v>
      </c>
    </row>
    <row r="99" spans="1:10" ht="15" customHeight="1" x14ac:dyDescent="0.25">
      <c r="A99" s="88" t="s">
        <v>300</v>
      </c>
      <c r="B99" s="136" t="s">
        <v>112</v>
      </c>
      <c r="C99" s="223">
        <v>58</v>
      </c>
      <c r="D99" s="223">
        <v>57</v>
      </c>
      <c r="E99" s="223">
        <v>0</v>
      </c>
      <c r="F99" s="223">
        <v>57</v>
      </c>
      <c r="G99" s="213">
        <v>112.77892669386735</v>
      </c>
      <c r="H99" s="218">
        <v>0</v>
      </c>
      <c r="I99" s="213">
        <v>112.77892669386735</v>
      </c>
      <c r="J99" s="219">
        <v>5.9536342288660129E-4</v>
      </c>
    </row>
    <row r="100" spans="1:10" ht="15" customHeight="1" x14ac:dyDescent="0.25">
      <c r="A100" s="88" t="s">
        <v>299</v>
      </c>
      <c r="B100" s="136" t="s">
        <v>114</v>
      </c>
      <c r="C100" s="223">
        <v>27</v>
      </c>
      <c r="D100" s="223">
        <v>25</v>
      </c>
      <c r="E100" s="223">
        <v>0</v>
      </c>
      <c r="F100" s="223">
        <v>25</v>
      </c>
      <c r="G100" s="213">
        <v>67.309660462992383</v>
      </c>
      <c r="H100" s="218">
        <v>0</v>
      </c>
      <c r="I100" s="213">
        <v>67.309660462992383</v>
      </c>
      <c r="J100" s="219">
        <v>3.5532976790389329E-4</v>
      </c>
    </row>
    <row r="101" spans="1:10" ht="15" customHeight="1" x14ac:dyDescent="0.25">
      <c r="A101" s="88" t="s">
        <v>296</v>
      </c>
      <c r="B101" s="136" t="s">
        <v>115</v>
      </c>
      <c r="C101" s="223">
        <v>32</v>
      </c>
      <c r="D101" s="223">
        <v>18</v>
      </c>
      <c r="E101" s="223">
        <v>3</v>
      </c>
      <c r="F101" s="223">
        <v>21</v>
      </c>
      <c r="G101" s="213">
        <v>56.754878006180846</v>
      </c>
      <c r="H101" s="218">
        <v>13.241379</v>
      </c>
      <c r="I101" s="213">
        <v>69.996257006180841</v>
      </c>
      <c r="J101" s="219">
        <v>3.6951239369008965E-4</v>
      </c>
    </row>
    <row r="102" spans="1:10" ht="15" customHeight="1" x14ac:dyDescent="0.25">
      <c r="A102" s="88" t="s">
        <v>295</v>
      </c>
      <c r="B102" s="136" t="s">
        <v>116</v>
      </c>
      <c r="C102" s="223">
        <v>1451</v>
      </c>
      <c r="D102" s="223">
        <v>983</v>
      </c>
      <c r="E102" s="223">
        <v>90</v>
      </c>
      <c r="F102" s="223">
        <v>1073</v>
      </c>
      <c r="G102" s="213">
        <v>3602.4749839016849</v>
      </c>
      <c r="H102" s="218">
        <v>385.89239800000018</v>
      </c>
      <c r="I102" s="213">
        <v>3988.3673819016849</v>
      </c>
      <c r="J102" s="219">
        <v>2.1054714083809246E-2</v>
      </c>
    </row>
    <row r="103" spans="1:10" ht="15" customHeight="1" x14ac:dyDescent="0.25">
      <c r="A103" s="88" t="s">
        <v>293</v>
      </c>
      <c r="B103" s="136" t="s">
        <v>117</v>
      </c>
      <c r="C103" s="223">
        <v>834</v>
      </c>
      <c r="D103" s="223">
        <v>534</v>
      </c>
      <c r="E103" s="223">
        <v>32</v>
      </c>
      <c r="F103" s="223">
        <v>566</v>
      </c>
      <c r="G103" s="213">
        <v>1950.9489312400187</v>
      </c>
      <c r="H103" s="218">
        <v>135.74068599999998</v>
      </c>
      <c r="I103" s="213">
        <v>2086.6896172400188</v>
      </c>
      <c r="J103" s="219">
        <v>1.1015698672095137E-2</v>
      </c>
    </row>
    <row r="104" spans="1:10" ht="15" customHeight="1" x14ac:dyDescent="0.25">
      <c r="A104" s="88" t="s">
        <v>291</v>
      </c>
      <c r="B104" s="136" t="s">
        <v>118</v>
      </c>
      <c r="C104" s="223">
        <v>1255</v>
      </c>
      <c r="D104" s="223">
        <v>846</v>
      </c>
      <c r="E104" s="223">
        <v>37</v>
      </c>
      <c r="F104" s="223">
        <v>883</v>
      </c>
      <c r="G104" s="213">
        <v>3160.3580495524106</v>
      </c>
      <c r="H104" s="218">
        <v>156.72880800000001</v>
      </c>
      <c r="I104" s="213">
        <v>3317.0868575524105</v>
      </c>
      <c r="J104" s="219">
        <v>1.751100354843111E-2</v>
      </c>
    </row>
    <row r="105" spans="1:10" ht="15" customHeight="1" x14ac:dyDescent="0.25">
      <c r="A105" s="88" t="s">
        <v>290</v>
      </c>
      <c r="B105" s="136" t="s">
        <v>119</v>
      </c>
      <c r="C105" s="223">
        <v>927</v>
      </c>
      <c r="D105" s="223">
        <v>639</v>
      </c>
      <c r="E105" s="223">
        <v>20</v>
      </c>
      <c r="F105" s="223">
        <v>659</v>
      </c>
      <c r="G105" s="213">
        <v>2336.57317818003</v>
      </c>
      <c r="H105" s="218">
        <v>79.522062999999989</v>
      </c>
      <c r="I105" s="213">
        <v>2416.0952411800299</v>
      </c>
      <c r="J105" s="219">
        <v>1.2754641092777758E-2</v>
      </c>
    </row>
    <row r="106" spans="1:10" ht="15" customHeight="1" x14ac:dyDescent="0.25">
      <c r="A106" s="88" t="s">
        <v>289</v>
      </c>
      <c r="B106" s="136" t="s">
        <v>120</v>
      </c>
      <c r="C106" s="223">
        <v>2441</v>
      </c>
      <c r="D106" s="223">
        <v>1742</v>
      </c>
      <c r="E106" s="223">
        <v>105</v>
      </c>
      <c r="F106" s="223">
        <v>1847</v>
      </c>
      <c r="G106" s="213">
        <v>6093.5353616486163</v>
      </c>
      <c r="H106" s="218">
        <v>421.73766600000033</v>
      </c>
      <c r="I106" s="213">
        <v>6515.2730276486163</v>
      </c>
      <c r="J106" s="219">
        <v>3.4394326710617283E-2</v>
      </c>
    </row>
    <row r="107" spans="1:10" ht="15" customHeight="1" x14ac:dyDescent="0.25">
      <c r="A107" s="88" t="s">
        <v>288</v>
      </c>
      <c r="B107" s="136" t="s">
        <v>121</v>
      </c>
      <c r="C107" s="223">
        <v>2007</v>
      </c>
      <c r="D107" s="223">
        <v>1425</v>
      </c>
      <c r="E107" s="223">
        <v>78</v>
      </c>
      <c r="F107" s="223">
        <v>1503</v>
      </c>
      <c r="G107" s="213">
        <v>4854.5527575818069</v>
      </c>
      <c r="H107" s="218">
        <v>328.86870300000004</v>
      </c>
      <c r="I107" s="213">
        <v>5183.421460581807</v>
      </c>
      <c r="J107" s="219">
        <v>2.7363441322798662E-2</v>
      </c>
    </row>
    <row r="108" spans="1:10" ht="15" customHeight="1" x14ac:dyDescent="0.25">
      <c r="A108" s="88" t="s">
        <v>287</v>
      </c>
      <c r="B108" s="136" t="s">
        <v>122</v>
      </c>
      <c r="C108" s="223">
        <v>630</v>
      </c>
      <c r="D108" s="223">
        <v>497</v>
      </c>
      <c r="E108" s="223">
        <v>22</v>
      </c>
      <c r="F108" s="223">
        <v>519</v>
      </c>
      <c r="G108" s="213">
        <v>1575.9058847802953</v>
      </c>
      <c r="H108" s="218">
        <v>85.423721</v>
      </c>
      <c r="I108" s="213">
        <v>1661.3296057802954</v>
      </c>
      <c r="J108" s="219">
        <v>8.7702100883177599E-3</v>
      </c>
    </row>
    <row r="109" spans="1:10" ht="15" customHeight="1" x14ac:dyDescent="0.25">
      <c r="A109" s="88" t="s">
        <v>284</v>
      </c>
      <c r="B109" s="136" t="s">
        <v>123</v>
      </c>
      <c r="C109" s="223">
        <v>9</v>
      </c>
      <c r="D109" s="223">
        <v>5</v>
      </c>
      <c r="E109" s="223">
        <v>0</v>
      </c>
      <c r="F109" s="223">
        <v>5</v>
      </c>
      <c r="G109" s="213">
        <v>22.500229217244403</v>
      </c>
      <c r="H109" s="218">
        <v>0</v>
      </c>
      <c r="I109" s="213">
        <v>22.500229217244403</v>
      </c>
      <c r="J109" s="219">
        <v>1.1877940210296552E-4</v>
      </c>
    </row>
    <row r="110" spans="1:10" ht="15" customHeight="1" x14ac:dyDescent="0.25">
      <c r="A110" s="88" t="s">
        <v>283</v>
      </c>
      <c r="B110" s="136" t="s">
        <v>155</v>
      </c>
      <c r="C110" s="223">
        <v>15</v>
      </c>
      <c r="D110" s="223">
        <v>12</v>
      </c>
      <c r="E110" s="223">
        <v>0</v>
      </c>
      <c r="F110" s="223">
        <v>12</v>
      </c>
      <c r="G110" s="213">
        <v>33.333672914425783</v>
      </c>
      <c r="H110" s="218">
        <v>0</v>
      </c>
      <c r="I110" s="213">
        <v>33.333672914425783</v>
      </c>
      <c r="J110" s="219">
        <v>1.7596948459693121E-4</v>
      </c>
    </row>
    <row r="111" spans="1:10" ht="15" customHeight="1" x14ac:dyDescent="0.25">
      <c r="A111" s="88" t="s">
        <v>282</v>
      </c>
      <c r="B111" s="136" t="s">
        <v>124</v>
      </c>
      <c r="C111" s="223">
        <v>36</v>
      </c>
      <c r="D111" s="223">
        <v>20</v>
      </c>
      <c r="E111" s="223">
        <v>4</v>
      </c>
      <c r="F111" s="223">
        <v>24</v>
      </c>
      <c r="G111" s="213">
        <v>85.258262933469041</v>
      </c>
      <c r="H111" s="218">
        <v>18.580643999999999</v>
      </c>
      <c r="I111" s="213">
        <v>103.83890693346905</v>
      </c>
      <c r="J111" s="219">
        <v>5.4816878359310623E-4</v>
      </c>
    </row>
    <row r="112" spans="1:10" ht="15" customHeight="1" x14ac:dyDescent="0.25">
      <c r="A112" s="88" t="s">
        <v>281</v>
      </c>
      <c r="B112" s="136" t="s">
        <v>125</v>
      </c>
      <c r="C112" s="223">
        <v>105</v>
      </c>
      <c r="D112" s="223">
        <v>88</v>
      </c>
      <c r="E112" s="223">
        <v>2</v>
      </c>
      <c r="F112" s="223">
        <v>90</v>
      </c>
      <c r="G112" s="213">
        <v>240.91912098914077</v>
      </c>
      <c r="H112" s="218">
        <v>6.3000000000000007</v>
      </c>
      <c r="I112" s="213">
        <v>247.21912098914078</v>
      </c>
      <c r="J112" s="219">
        <v>1.3050773437012612E-3</v>
      </c>
    </row>
    <row r="113" spans="1:10" ht="15" customHeight="1" x14ac:dyDescent="0.25">
      <c r="A113" s="88" t="s">
        <v>280</v>
      </c>
      <c r="B113" s="136" t="s">
        <v>126</v>
      </c>
      <c r="C113" s="223">
        <v>107</v>
      </c>
      <c r="D113" s="223">
        <v>101</v>
      </c>
      <c r="E113" s="223">
        <v>0</v>
      </c>
      <c r="F113" s="223">
        <v>101</v>
      </c>
      <c r="G113" s="213">
        <v>211.98329161908524</v>
      </c>
      <c r="H113" s="218">
        <v>0</v>
      </c>
      <c r="I113" s="213">
        <v>211.98329161908524</v>
      </c>
      <c r="J113" s="219">
        <v>1.1190663166682716E-3</v>
      </c>
    </row>
    <row r="114" spans="1:10" ht="15" customHeight="1" x14ac:dyDescent="0.25">
      <c r="A114" s="88" t="s">
        <v>279</v>
      </c>
      <c r="B114" s="136" t="s">
        <v>127</v>
      </c>
      <c r="C114" s="223">
        <v>413</v>
      </c>
      <c r="D114" s="223">
        <v>333</v>
      </c>
      <c r="E114" s="223">
        <v>2</v>
      </c>
      <c r="F114" s="223">
        <v>335</v>
      </c>
      <c r="G114" s="213">
        <v>859.77880513385867</v>
      </c>
      <c r="H114" s="218">
        <v>4.4053339999999999</v>
      </c>
      <c r="I114" s="213">
        <v>864.18413913385871</v>
      </c>
      <c r="J114" s="219">
        <v>4.5620546511817659E-3</v>
      </c>
    </row>
    <row r="115" spans="1:10" ht="15" customHeight="1" x14ac:dyDescent="0.25">
      <c r="A115" s="88" t="s">
        <v>278</v>
      </c>
      <c r="B115" s="136" t="s">
        <v>128</v>
      </c>
      <c r="C115" s="223">
        <v>302</v>
      </c>
      <c r="D115" s="223">
        <v>182</v>
      </c>
      <c r="E115" s="223">
        <v>20</v>
      </c>
      <c r="F115" s="223">
        <v>202</v>
      </c>
      <c r="G115" s="213">
        <v>674.63097811446903</v>
      </c>
      <c r="H115" s="218">
        <v>92.740165000000005</v>
      </c>
      <c r="I115" s="213">
        <v>767.37114311446908</v>
      </c>
      <c r="J115" s="219">
        <v>4.0509758674080153E-3</v>
      </c>
    </row>
    <row r="116" spans="1:10" ht="15" customHeight="1" x14ac:dyDescent="0.25">
      <c r="A116" s="88" t="s">
        <v>277</v>
      </c>
      <c r="B116" s="136" t="s">
        <v>129</v>
      </c>
      <c r="C116" s="223">
        <v>379</v>
      </c>
      <c r="D116" s="223">
        <v>267</v>
      </c>
      <c r="E116" s="223">
        <v>21</v>
      </c>
      <c r="F116" s="223">
        <v>288</v>
      </c>
      <c r="G116" s="213">
        <v>1066.5205268314617</v>
      </c>
      <c r="H116" s="218">
        <v>96.515534000000002</v>
      </c>
      <c r="I116" s="213">
        <v>1163.0360608314618</v>
      </c>
      <c r="J116" s="219">
        <v>6.1397031379517566E-3</v>
      </c>
    </row>
    <row r="117" spans="1:10" ht="15" customHeight="1" x14ac:dyDescent="0.25">
      <c r="A117" s="88" t="s">
        <v>276</v>
      </c>
      <c r="B117" s="136" t="s">
        <v>130</v>
      </c>
      <c r="C117" s="223">
        <v>598</v>
      </c>
      <c r="D117" s="223">
        <v>488</v>
      </c>
      <c r="E117" s="223">
        <v>26</v>
      </c>
      <c r="F117" s="223">
        <v>514</v>
      </c>
      <c r="G117" s="213">
        <v>1596.203042156721</v>
      </c>
      <c r="H117" s="218">
        <v>111.85611299999999</v>
      </c>
      <c r="I117" s="213">
        <v>1708.0591551567211</v>
      </c>
      <c r="J117" s="219">
        <v>9.016896816789792E-3</v>
      </c>
    </row>
    <row r="118" spans="1:10" ht="15" customHeight="1" x14ac:dyDescent="0.25">
      <c r="A118" s="88" t="s">
        <v>275</v>
      </c>
      <c r="B118" s="136" t="s">
        <v>131</v>
      </c>
      <c r="C118" s="223">
        <v>764</v>
      </c>
      <c r="D118" s="223">
        <v>593</v>
      </c>
      <c r="E118" s="223">
        <v>12</v>
      </c>
      <c r="F118" s="223">
        <v>605</v>
      </c>
      <c r="G118" s="213">
        <v>1976.9406291320047</v>
      </c>
      <c r="H118" s="218">
        <v>44.690805000000012</v>
      </c>
      <c r="I118" s="213">
        <v>2021.6314341320046</v>
      </c>
      <c r="J118" s="219">
        <v>1.0672254522399423E-2</v>
      </c>
    </row>
    <row r="119" spans="1:10" ht="15" customHeight="1" x14ac:dyDescent="0.25">
      <c r="A119" s="88" t="s">
        <v>274</v>
      </c>
      <c r="B119" s="136" t="s">
        <v>132</v>
      </c>
      <c r="C119" s="223">
        <v>3926</v>
      </c>
      <c r="D119" s="223">
        <v>2894</v>
      </c>
      <c r="E119" s="223">
        <v>145</v>
      </c>
      <c r="F119" s="223">
        <v>3039</v>
      </c>
      <c r="G119" s="213">
        <v>10134.16243409239</v>
      </c>
      <c r="H119" s="218">
        <v>607.71277700000007</v>
      </c>
      <c r="I119" s="213">
        <v>10741.875211092391</v>
      </c>
      <c r="J119" s="219">
        <v>5.6706689639425878E-2</v>
      </c>
    </row>
    <row r="120" spans="1:10" ht="15" customHeight="1" x14ac:dyDescent="0.25">
      <c r="A120" s="88" t="s">
        <v>273</v>
      </c>
      <c r="B120" s="136" t="s">
        <v>133</v>
      </c>
      <c r="C120" s="223">
        <v>24</v>
      </c>
      <c r="D120" s="223">
        <v>16</v>
      </c>
      <c r="E120" s="223">
        <v>6</v>
      </c>
      <c r="F120" s="223">
        <v>22</v>
      </c>
      <c r="G120" s="213">
        <v>42.922017184282282</v>
      </c>
      <c r="H120" s="218">
        <v>20</v>
      </c>
      <c r="I120" s="213">
        <v>62.922017184282282</v>
      </c>
      <c r="J120" s="219">
        <v>3.321672640798497E-4</v>
      </c>
    </row>
    <row r="121" spans="1:10" ht="15" customHeight="1" x14ac:dyDescent="0.25">
      <c r="A121" s="88" t="s">
        <v>271</v>
      </c>
      <c r="B121" s="136" t="s">
        <v>134</v>
      </c>
      <c r="C121" s="223">
        <v>26</v>
      </c>
      <c r="D121" s="223">
        <v>20</v>
      </c>
      <c r="E121" s="223">
        <v>4</v>
      </c>
      <c r="F121" s="223">
        <v>24</v>
      </c>
      <c r="G121" s="213">
        <v>79.534907319899403</v>
      </c>
      <c r="H121" s="218">
        <v>13</v>
      </c>
      <c r="I121" s="213">
        <v>92.534907319899403</v>
      </c>
      <c r="J121" s="219">
        <v>4.8849462194310359E-4</v>
      </c>
    </row>
    <row r="122" spans="1:10" ht="15" customHeight="1" x14ac:dyDescent="0.25">
      <c r="A122" s="88" t="s">
        <v>266</v>
      </c>
      <c r="B122" s="136" t="s">
        <v>135</v>
      </c>
      <c r="C122" s="223">
        <v>71</v>
      </c>
      <c r="D122" s="223">
        <v>30</v>
      </c>
      <c r="E122" s="223">
        <v>11</v>
      </c>
      <c r="F122" s="223">
        <v>41</v>
      </c>
      <c r="G122" s="213">
        <v>129.73448422263493</v>
      </c>
      <c r="H122" s="218">
        <v>54.218177999999995</v>
      </c>
      <c r="I122" s="213">
        <v>183.95266222263493</v>
      </c>
      <c r="J122" s="219">
        <v>9.7109176191447193E-4</v>
      </c>
    </row>
    <row r="123" spans="1:10" ht="15" customHeight="1" x14ac:dyDescent="0.25">
      <c r="A123" s="88" t="s">
        <v>268</v>
      </c>
      <c r="B123" s="136" t="s">
        <v>177</v>
      </c>
      <c r="C123" s="223">
        <v>37</v>
      </c>
      <c r="D123" s="223">
        <v>37</v>
      </c>
      <c r="E123" s="223">
        <v>0</v>
      </c>
      <c r="F123" s="223">
        <v>37</v>
      </c>
      <c r="G123" s="213">
        <v>83.611962893729256</v>
      </c>
      <c r="H123" s="218">
        <v>0</v>
      </c>
      <c r="I123" s="213">
        <v>83.611962893729256</v>
      </c>
      <c r="J123" s="219">
        <v>4.4139012386420448E-4</v>
      </c>
    </row>
    <row r="124" spans="1:10" ht="15" customHeight="1" x14ac:dyDescent="0.25">
      <c r="A124" s="88" t="s">
        <v>265</v>
      </c>
      <c r="B124" s="136" t="s">
        <v>178</v>
      </c>
      <c r="C124" s="223">
        <v>8</v>
      </c>
      <c r="D124" s="223">
        <v>8</v>
      </c>
      <c r="E124" s="223">
        <v>0</v>
      </c>
      <c r="F124" s="223">
        <v>8</v>
      </c>
      <c r="G124" s="213">
        <v>17.500178280082867</v>
      </c>
      <c r="H124" s="218">
        <v>0</v>
      </c>
      <c r="I124" s="213">
        <v>17.500178280082867</v>
      </c>
      <c r="J124" s="219">
        <v>9.2383979413438141E-5</v>
      </c>
    </row>
    <row r="125" spans="1:10" ht="15" customHeight="1" x14ac:dyDescent="0.25">
      <c r="A125" s="88" t="s">
        <v>264</v>
      </c>
      <c r="B125" s="136" t="s">
        <v>137</v>
      </c>
      <c r="C125" s="223">
        <v>657</v>
      </c>
      <c r="D125" s="223">
        <v>515</v>
      </c>
      <c r="E125" s="223">
        <v>9</v>
      </c>
      <c r="F125" s="223">
        <v>524</v>
      </c>
      <c r="G125" s="213">
        <v>1482.7629619098295</v>
      </c>
      <c r="H125" s="218">
        <v>32.048780999999991</v>
      </c>
      <c r="I125" s="213">
        <v>1514.8117429098295</v>
      </c>
      <c r="J125" s="219">
        <v>7.9967377836080746E-3</v>
      </c>
    </row>
    <row r="126" spans="1:10" ht="15" customHeight="1" x14ac:dyDescent="0.25">
      <c r="A126" s="88" t="s">
        <v>263</v>
      </c>
      <c r="B126" s="136" t="s">
        <v>138</v>
      </c>
      <c r="C126" s="223">
        <v>115</v>
      </c>
      <c r="D126" s="223">
        <v>69</v>
      </c>
      <c r="E126" s="223">
        <v>3</v>
      </c>
      <c r="F126" s="223">
        <v>72</v>
      </c>
      <c r="G126" s="213">
        <v>257.3219980954687</v>
      </c>
      <c r="H126" s="218">
        <v>13.663364999999999</v>
      </c>
      <c r="I126" s="213">
        <v>270.9853630954687</v>
      </c>
      <c r="J126" s="219">
        <v>1.4305400667858966E-3</v>
      </c>
    </row>
    <row r="127" spans="1:10" ht="15" customHeight="1" x14ac:dyDescent="0.25">
      <c r="A127" s="88" t="s">
        <v>262</v>
      </c>
      <c r="B127" s="136" t="s">
        <v>139</v>
      </c>
      <c r="C127" s="223">
        <v>1914</v>
      </c>
      <c r="D127" s="223">
        <v>1349</v>
      </c>
      <c r="E127" s="223">
        <v>63</v>
      </c>
      <c r="F127" s="223">
        <v>1412</v>
      </c>
      <c r="G127" s="213">
        <v>4825.6346153314034</v>
      </c>
      <c r="H127" s="218">
        <v>264.70213100000001</v>
      </c>
      <c r="I127" s="213">
        <v>5090.3367463314034</v>
      </c>
      <c r="J127" s="219">
        <v>2.6872044253158388E-2</v>
      </c>
    </row>
    <row r="128" spans="1:10" ht="15" customHeight="1" x14ac:dyDescent="0.25">
      <c r="A128" s="88" t="s">
        <v>261</v>
      </c>
      <c r="B128" s="136" t="s">
        <v>141</v>
      </c>
      <c r="C128" s="223">
        <v>96</v>
      </c>
      <c r="D128" s="223">
        <v>75</v>
      </c>
      <c r="E128" s="223">
        <v>5</v>
      </c>
      <c r="F128" s="223">
        <v>80</v>
      </c>
      <c r="G128" s="213">
        <v>222.9636395318588</v>
      </c>
      <c r="H128" s="218">
        <v>14.451611999999997</v>
      </c>
      <c r="I128" s="213">
        <v>237.41525153185881</v>
      </c>
      <c r="J128" s="219">
        <v>1.25332241528751E-3</v>
      </c>
    </row>
    <row r="129" spans="1:10" ht="15" customHeight="1" x14ac:dyDescent="0.25">
      <c r="A129" s="88" t="s">
        <v>585</v>
      </c>
      <c r="B129" s="136" t="s">
        <v>586</v>
      </c>
      <c r="C129" s="223">
        <v>34</v>
      </c>
      <c r="D129" s="223">
        <v>21</v>
      </c>
      <c r="E129" s="223">
        <v>7</v>
      </c>
      <c r="F129" s="223">
        <v>28</v>
      </c>
      <c r="G129" s="213">
        <v>59.756476272547019</v>
      </c>
      <c r="H129" s="218">
        <v>26.787877999999999</v>
      </c>
      <c r="I129" s="213">
        <v>86.544354272547025</v>
      </c>
      <c r="J129" s="219">
        <v>4.5687030814787918E-4</v>
      </c>
    </row>
    <row r="130" spans="1:10" ht="15" customHeight="1" x14ac:dyDescent="0.25">
      <c r="A130" s="88" t="s">
        <v>260</v>
      </c>
      <c r="B130" s="136" t="s">
        <v>142</v>
      </c>
      <c r="C130" s="223">
        <v>535</v>
      </c>
      <c r="D130" s="223">
        <v>451</v>
      </c>
      <c r="E130" s="223">
        <v>6</v>
      </c>
      <c r="F130" s="223">
        <v>457</v>
      </c>
      <c r="G130" s="213">
        <v>1243.8673139994767</v>
      </c>
      <c r="H130" s="218">
        <v>23.033268</v>
      </c>
      <c r="I130" s="213">
        <v>1266.9005819994766</v>
      </c>
      <c r="J130" s="219">
        <v>6.6880071398768759E-3</v>
      </c>
    </row>
    <row r="131" spans="1:10" ht="15" customHeight="1" x14ac:dyDescent="0.25">
      <c r="A131" s="88" t="s">
        <v>257</v>
      </c>
      <c r="B131" s="136" t="s">
        <v>143</v>
      </c>
      <c r="C131" s="223">
        <v>1244</v>
      </c>
      <c r="D131" s="223">
        <v>933</v>
      </c>
      <c r="E131" s="223">
        <v>51</v>
      </c>
      <c r="F131" s="223">
        <v>984</v>
      </c>
      <c r="G131" s="213">
        <v>2944.7975618597125</v>
      </c>
      <c r="H131" s="218">
        <v>219.33391500000002</v>
      </c>
      <c r="I131" s="213">
        <v>3164.1314768597126</v>
      </c>
      <c r="J131" s="219">
        <v>1.6703547389131806E-2</v>
      </c>
    </row>
    <row r="132" spans="1:10" ht="15" customHeight="1" x14ac:dyDescent="0.25">
      <c r="A132" s="88" t="s">
        <v>256</v>
      </c>
      <c r="B132" s="136" t="s">
        <v>144</v>
      </c>
      <c r="C132" s="223">
        <v>376</v>
      </c>
      <c r="D132" s="223">
        <v>253</v>
      </c>
      <c r="E132" s="223">
        <v>13</v>
      </c>
      <c r="F132" s="223">
        <v>266</v>
      </c>
      <c r="G132" s="213">
        <v>1040.9796929568172</v>
      </c>
      <c r="H132" s="218">
        <v>59.248487000000004</v>
      </c>
      <c r="I132" s="213">
        <v>1100.2281799568173</v>
      </c>
      <c r="J132" s="219">
        <v>5.8081384029611046E-3</v>
      </c>
    </row>
    <row r="133" spans="1:10" ht="15" customHeight="1" x14ac:dyDescent="0.25">
      <c r="A133" s="88" t="s">
        <v>255</v>
      </c>
      <c r="B133" s="136" t="s">
        <v>145</v>
      </c>
      <c r="C133" s="223">
        <v>17</v>
      </c>
      <c r="D133" s="223">
        <v>13</v>
      </c>
      <c r="E133" s="223">
        <v>1</v>
      </c>
      <c r="F133" s="223">
        <v>14</v>
      </c>
      <c r="G133" s="213">
        <v>49.236536144055435</v>
      </c>
      <c r="H133" s="218">
        <v>4.25</v>
      </c>
      <c r="I133" s="213">
        <v>53.486536144055435</v>
      </c>
      <c r="J133" s="219">
        <v>2.8235706945067384E-4</v>
      </c>
    </row>
    <row r="134" spans="1:10" ht="15" customHeight="1" x14ac:dyDescent="0.25">
      <c r="A134" s="88" t="s">
        <v>251</v>
      </c>
      <c r="B134" s="136" t="s">
        <v>146</v>
      </c>
      <c r="C134" s="223">
        <v>34</v>
      </c>
      <c r="D134" s="223">
        <v>27</v>
      </c>
      <c r="E134" s="223">
        <v>2</v>
      </c>
      <c r="F134" s="223">
        <v>29</v>
      </c>
      <c r="G134" s="213">
        <v>85.305528533707189</v>
      </c>
      <c r="H134" s="218">
        <v>8.7741939999999996</v>
      </c>
      <c r="I134" s="213">
        <v>94.079722533707184</v>
      </c>
      <c r="J134" s="219">
        <v>4.9664974897243284E-4</v>
      </c>
    </row>
    <row r="135" spans="1:10" ht="15" customHeight="1" x14ac:dyDescent="0.25">
      <c r="A135" s="88" t="s">
        <v>249</v>
      </c>
      <c r="B135" s="136" t="s">
        <v>147</v>
      </c>
      <c r="C135" s="223">
        <v>1067</v>
      </c>
      <c r="D135" s="223">
        <v>814</v>
      </c>
      <c r="E135" s="223">
        <v>19</v>
      </c>
      <c r="F135" s="223">
        <v>833</v>
      </c>
      <c r="G135" s="213">
        <v>2801.8832131714348</v>
      </c>
      <c r="H135" s="218">
        <v>80.61280099999999</v>
      </c>
      <c r="I135" s="213">
        <v>2882.4960141714346</v>
      </c>
      <c r="J135" s="219">
        <v>1.5216785119018247E-2</v>
      </c>
    </row>
    <row r="136" spans="1:10" ht="15" customHeight="1" x14ac:dyDescent="0.25">
      <c r="A136" s="88" t="s">
        <v>248</v>
      </c>
      <c r="B136" s="136" t="s">
        <v>148</v>
      </c>
      <c r="C136" s="223">
        <v>40</v>
      </c>
      <c r="D136" s="223">
        <v>30</v>
      </c>
      <c r="E136" s="223">
        <v>1</v>
      </c>
      <c r="F136" s="223">
        <v>31</v>
      </c>
      <c r="G136" s="213">
        <v>102.77925203309846</v>
      </c>
      <c r="H136" s="218">
        <v>4.5714290000000002</v>
      </c>
      <c r="I136" s="213">
        <v>107.35068103309845</v>
      </c>
      <c r="J136" s="219">
        <v>5.6670754708067867E-4</v>
      </c>
    </row>
    <row r="137" spans="1:10" ht="15" customHeight="1" x14ac:dyDescent="0.25">
      <c r="A137" s="88" t="s">
        <v>241</v>
      </c>
      <c r="B137" s="136" t="s">
        <v>149</v>
      </c>
      <c r="C137" s="223">
        <v>691</v>
      </c>
      <c r="D137" s="223">
        <v>490</v>
      </c>
      <c r="E137" s="223">
        <v>15</v>
      </c>
      <c r="F137" s="223">
        <v>505</v>
      </c>
      <c r="G137" s="213">
        <v>1652.458091175389</v>
      </c>
      <c r="H137" s="218">
        <v>66.135311999999999</v>
      </c>
      <c r="I137" s="213">
        <v>1718.5934031753891</v>
      </c>
      <c r="J137" s="219">
        <v>9.0725074360941838E-3</v>
      </c>
    </row>
    <row r="138" spans="1:10" ht="15" customHeight="1" x14ac:dyDescent="0.25">
      <c r="A138" s="88" t="s">
        <v>239</v>
      </c>
      <c r="B138" s="136" t="s">
        <v>150</v>
      </c>
      <c r="C138" s="223">
        <v>670</v>
      </c>
      <c r="D138" s="223">
        <v>446</v>
      </c>
      <c r="E138" s="223">
        <v>24</v>
      </c>
      <c r="F138" s="223">
        <v>470</v>
      </c>
      <c r="G138" s="213">
        <v>1609.507475650938</v>
      </c>
      <c r="H138" s="218">
        <v>91.262457000000026</v>
      </c>
      <c r="I138" s="213">
        <v>1700.769932650938</v>
      </c>
      <c r="J138" s="219">
        <v>8.9784167869788583E-3</v>
      </c>
    </row>
    <row r="139" spans="1:10" ht="15" customHeight="1" x14ac:dyDescent="0.25">
      <c r="A139" s="39" t="s">
        <v>21</v>
      </c>
      <c r="B139" s="39"/>
      <c r="C139" s="225">
        <v>72918</v>
      </c>
      <c r="D139" s="225">
        <v>52695</v>
      </c>
      <c r="E139" s="225">
        <v>2534</v>
      </c>
      <c r="F139" s="225">
        <v>55229</v>
      </c>
      <c r="G139" s="215">
        <v>179012.70119612449</v>
      </c>
      <c r="H139" s="221">
        <v>10416.011348999938</v>
      </c>
      <c r="I139" s="215">
        <v>189428.71254512444</v>
      </c>
      <c r="J139" s="222">
        <v>1</v>
      </c>
    </row>
    <row r="140" spans="1:10" x14ac:dyDescent="0.25">
      <c r="J140" s="10"/>
    </row>
    <row r="141" spans="1:10" x14ac:dyDescent="0.25">
      <c r="A141" t="s">
        <v>645</v>
      </c>
    </row>
    <row r="142" spans="1:10" x14ac:dyDescent="0.25">
      <c r="A142" s="193" t="s">
        <v>648</v>
      </c>
    </row>
  </sheetData>
  <hyperlinks>
    <hyperlink ref="A142" r:id="rId1"/>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1"/>
  <sheetViews>
    <sheetView zoomScale="90" zoomScaleNormal="90" workbookViewId="0">
      <pane xSplit="1" ySplit="6" topLeftCell="B7" activePane="bottomRight" state="frozen"/>
      <selection pane="topRight" activeCell="B1" sqref="B1"/>
      <selection pane="bottomLeft" activeCell="A7" sqref="A7"/>
      <selection pane="bottomRight"/>
    </sheetView>
  </sheetViews>
  <sheetFormatPr defaultRowHeight="15" x14ac:dyDescent="0.25"/>
  <cols>
    <col min="1" max="1" width="11.7109375" customWidth="1"/>
    <col min="2" max="2" width="45.7109375" customWidth="1"/>
    <col min="3" max="11" width="17.42578125" customWidth="1"/>
  </cols>
  <sheetData>
    <row r="1" spans="1:11" ht="19.5" x14ac:dyDescent="0.3">
      <c r="A1" s="5" t="s">
        <v>460</v>
      </c>
      <c r="B1" s="5"/>
    </row>
    <row r="2" spans="1:11" ht="15.75" x14ac:dyDescent="0.25">
      <c r="A2" s="6" t="s">
        <v>434</v>
      </c>
      <c r="B2" s="6"/>
    </row>
    <row r="3" spans="1:11" x14ac:dyDescent="0.25">
      <c r="A3" s="14" t="s">
        <v>696</v>
      </c>
      <c r="B3" s="1"/>
      <c r="C3" s="2" t="s">
        <v>12</v>
      </c>
      <c r="D3" s="2"/>
      <c r="E3" s="2"/>
      <c r="F3" s="2"/>
      <c r="G3" s="2"/>
      <c r="H3" s="2"/>
      <c r="I3" s="2"/>
      <c r="J3" s="2"/>
    </row>
    <row r="4" spans="1:11" ht="15" customHeight="1" x14ac:dyDescent="0.25">
      <c r="A4" s="118"/>
      <c r="B4" s="118"/>
      <c r="C4" s="119" t="s">
        <v>12</v>
      </c>
      <c r="D4" s="119"/>
      <c r="E4" s="119"/>
      <c r="F4" s="119"/>
      <c r="G4" s="119"/>
      <c r="H4" s="119"/>
      <c r="I4" s="119"/>
      <c r="J4" s="119"/>
      <c r="K4" s="119"/>
    </row>
    <row r="5" spans="1:11" ht="15" customHeight="1" x14ac:dyDescent="0.25">
      <c r="A5" s="120"/>
      <c r="B5" s="120"/>
      <c r="C5" s="279" t="s">
        <v>22</v>
      </c>
      <c r="D5" s="279"/>
      <c r="E5" s="279"/>
      <c r="F5" s="279"/>
      <c r="G5" s="279"/>
      <c r="H5" s="279"/>
      <c r="I5" s="279"/>
      <c r="J5" s="279"/>
      <c r="K5" s="279"/>
    </row>
    <row r="6" spans="1:11" ht="24" customHeight="1" x14ac:dyDescent="0.25">
      <c r="A6" s="140" t="s">
        <v>12</v>
      </c>
      <c r="B6" s="121"/>
      <c r="C6" s="140" t="s">
        <v>617</v>
      </c>
      <c r="D6" s="140" t="s">
        <v>618</v>
      </c>
      <c r="E6" s="140" t="s">
        <v>619</v>
      </c>
      <c r="F6" s="140" t="s">
        <v>620</v>
      </c>
      <c r="G6" s="140" t="s">
        <v>621</v>
      </c>
      <c r="H6" s="140" t="s">
        <v>622</v>
      </c>
      <c r="I6" s="140" t="s">
        <v>623</v>
      </c>
      <c r="J6" s="140" t="s">
        <v>624</v>
      </c>
      <c r="K6" s="140" t="s">
        <v>625</v>
      </c>
    </row>
    <row r="7" spans="1:11" ht="15" customHeight="1" x14ac:dyDescent="0.25">
      <c r="A7" s="88" t="s">
        <v>360</v>
      </c>
      <c r="B7" s="116" t="str">
        <f>VLOOKUP(A7,'0 Järjestäjätiedot'!A:H,2,FALSE)</f>
        <v>Kellosepäntaidon Edistämissäätiö sr</v>
      </c>
      <c r="C7" s="223">
        <v>30</v>
      </c>
      <c r="D7" s="223">
        <v>26</v>
      </c>
      <c r="E7" s="224">
        <v>0.8666666666666667</v>
      </c>
      <c r="F7" s="217"/>
      <c r="G7" s="218">
        <v>4.0576923076923075</v>
      </c>
      <c r="H7" s="218">
        <v>1.158803453475602</v>
      </c>
      <c r="I7" s="223">
        <v>422</v>
      </c>
      <c r="J7" s="223">
        <v>486.92307692307691</v>
      </c>
      <c r="K7" s="219">
        <v>3.9109112965293714E-4</v>
      </c>
    </row>
    <row r="8" spans="1:11" ht="15" customHeight="1" x14ac:dyDescent="0.25">
      <c r="A8" s="88" t="s">
        <v>284</v>
      </c>
      <c r="B8" s="116" t="str">
        <f>VLOOKUP(A8,'0 Järjestäjätiedot'!A:H,2,FALSE)</f>
        <v>Suomen kansallisooppera ja -baletti sr</v>
      </c>
      <c r="C8" s="223">
        <v>11</v>
      </c>
      <c r="D8" s="223">
        <v>7</v>
      </c>
      <c r="E8" s="224">
        <v>0.63636363636363635</v>
      </c>
      <c r="F8" s="217"/>
      <c r="G8" s="218">
        <v>4.4642857142857144</v>
      </c>
      <c r="H8" s="218">
        <v>1.1489791387246715</v>
      </c>
      <c r="I8" s="223">
        <v>125</v>
      </c>
      <c r="J8" s="223">
        <v>160.02711776859505</v>
      </c>
      <c r="K8" s="219">
        <v>1.2853197810772587E-4</v>
      </c>
    </row>
    <row r="9" spans="1:11" ht="15" customHeight="1" x14ac:dyDescent="0.25">
      <c r="A9" s="88" t="s">
        <v>249</v>
      </c>
      <c r="B9" s="116" t="str">
        <f>VLOOKUP(A9,'0 Järjestäjätiedot'!A:H,2,FALSE)</f>
        <v>Vantaan kaupunki</v>
      </c>
      <c r="C9" s="223">
        <v>2103</v>
      </c>
      <c r="D9" s="223">
        <v>1266</v>
      </c>
      <c r="E9" s="224">
        <v>0.60199714693295292</v>
      </c>
      <c r="F9" s="217"/>
      <c r="G9" s="218">
        <v>4.0918246445497628</v>
      </c>
      <c r="H9" s="218">
        <v>1.102766657550011</v>
      </c>
      <c r="I9" s="223">
        <v>20721</v>
      </c>
      <c r="J9" s="223">
        <v>26548.716681488233</v>
      </c>
      <c r="K9" s="219">
        <v>2.1323630137659894E-2</v>
      </c>
    </row>
    <row r="10" spans="1:11" ht="15" customHeight="1" x14ac:dyDescent="0.25">
      <c r="A10" s="88" t="s">
        <v>355</v>
      </c>
      <c r="B10" s="116" t="str">
        <f>VLOOKUP(A10,'0 Järjestäjätiedot'!A:H,2,FALSE)</f>
        <v>Kisakalliosäätiö sr</v>
      </c>
      <c r="C10" s="223">
        <v>72</v>
      </c>
      <c r="D10" s="223">
        <v>57</v>
      </c>
      <c r="E10" s="224">
        <v>0.79166666666666663</v>
      </c>
      <c r="F10" s="217"/>
      <c r="G10" s="218">
        <v>4.3245614035087723</v>
      </c>
      <c r="H10" s="218">
        <v>0.8785515794809956</v>
      </c>
      <c r="I10" s="223">
        <v>986</v>
      </c>
      <c r="J10" s="223">
        <v>1235.0142144097224</v>
      </c>
      <c r="K10" s="219">
        <v>9.9194950320096831E-4</v>
      </c>
    </row>
    <row r="11" spans="1:11" ht="15" customHeight="1" x14ac:dyDescent="0.25">
      <c r="A11" s="88" t="s">
        <v>293</v>
      </c>
      <c r="B11" s="116" t="str">
        <f>VLOOKUP(A11,'0 Järjestäjätiedot'!A:H,2,FALSE)</f>
        <v>Salon Seudun Koulutuskuntayhtymä</v>
      </c>
      <c r="C11" s="223">
        <v>1084</v>
      </c>
      <c r="D11" s="223">
        <v>368</v>
      </c>
      <c r="E11" s="224">
        <v>0.33948339483394835</v>
      </c>
      <c r="F11" s="217"/>
      <c r="G11" s="218">
        <v>4.4130434782608692</v>
      </c>
      <c r="H11" s="218">
        <v>0.91294642341305388</v>
      </c>
      <c r="I11" s="223">
        <v>6496</v>
      </c>
      <c r="J11" s="223">
        <v>7978.5653245462345</v>
      </c>
      <c r="K11" s="219">
        <v>6.4082937812361797E-3</v>
      </c>
    </row>
    <row r="12" spans="1:11" ht="15" customHeight="1" x14ac:dyDescent="0.25">
      <c r="A12" s="88" t="s">
        <v>264</v>
      </c>
      <c r="B12" s="116" t="str">
        <f>VLOOKUP(A12,'0 Järjestäjätiedot'!A:H,2,FALSE)</f>
        <v>Turun Aikuiskoulutussäätiö sr</v>
      </c>
      <c r="C12" s="223">
        <v>1654</v>
      </c>
      <c r="D12" s="223">
        <v>541</v>
      </c>
      <c r="E12" s="224">
        <v>0.3270858524788392</v>
      </c>
      <c r="F12" s="217"/>
      <c r="G12" s="218">
        <v>4.1925493716337519</v>
      </c>
      <c r="H12" s="218">
        <v>1.0375352992132911</v>
      </c>
      <c r="I12" s="223">
        <v>9072.6768402154394</v>
      </c>
      <c r="J12" s="223">
        <v>11096.43570679551</v>
      </c>
      <c r="K12" s="219">
        <v>8.9125321459706114E-3</v>
      </c>
    </row>
    <row r="13" spans="1:11" ht="15" customHeight="1" x14ac:dyDescent="0.25">
      <c r="A13" s="88" t="s">
        <v>357</v>
      </c>
      <c r="B13" s="116" t="str">
        <f>VLOOKUP(A13,'0 Järjestäjätiedot'!A:H,2,FALSE)</f>
        <v>Kiipulasäätiö sr</v>
      </c>
      <c r="C13" s="223">
        <v>368</v>
      </c>
      <c r="D13" s="223">
        <v>285</v>
      </c>
      <c r="E13" s="224">
        <v>0.77445652173913049</v>
      </c>
      <c r="F13" s="217"/>
      <c r="G13" s="218">
        <v>4.2526315789473683</v>
      </c>
      <c r="H13" s="218">
        <v>1.00317133328014</v>
      </c>
      <c r="I13" s="223">
        <v>4848</v>
      </c>
      <c r="J13" s="223">
        <v>6096.2271421609166</v>
      </c>
      <c r="K13" s="219">
        <v>4.8964209597838742E-3</v>
      </c>
    </row>
    <row r="14" spans="1:11" ht="15" customHeight="1" x14ac:dyDescent="0.25">
      <c r="A14" s="88" t="s">
        <v>335</v>
      </c>
      <c r="B14" s="116" t="str">
        <f>VLOOKUP(A14,'0 Järjestäjätiedot'!A:H,2,FALSE)</f>
        <v>Lahden Konservatorio Oy</v>
      </c>
      <c r="C14" s="223">
        <v>18</v>
      </c>
      <c r="D14" s="223">
        <v>14</v>
      </c>
      <c r="E14" s="224">
        <v>0.77777777777777779</v>
      </c>
      <c r="F14" s="217"/>
      <c r="G14" s="218">
        <v>4.375</v>
      </c>
      <c r="H14" s="218">
        <v>0.85695682505013049</v>
      </c>
      <c r="I14" s="223">
        <v>245</v>
      </c>
      <c r="J14" s="223">
        <v>307.85686728395058</v>
      </c>
      <c r="K14" s="219">
        <v>2.4726716745141066E-4</v>
      </c>
    </row>
    <row r="15" spans="1:11" ht="15" customHeight="1" x14ac:dyDescent="0.25">
      <c r="A15" s="88" t="s">
        <v>336</v>
      </c>
      <c r="B15" s="116" t="str">
        <f>VLOOKUP(A15,'0 Järjestäjätiedot'!A:H,2,FALSE)</f>
        <v>Lahden kansanopiston säätiö sr</v>
      </c>
      <c r="C15" s="223">
        <v>27</v>
      </c>
      <c r="D15" s="223">
        <v>24</v>
      </c>
      <c r="E15" s="224">
        <v>0.88888888888888884</v>
      </c>
      <c r="F15" s="217"/>
      <c r="G15" s="218">
        <v>3.875</v>
      </c>
      <c r="H15" s="218">
        <v>1.3482241406136193</v>
      </c>
      <c r="I15" s="223">
        <v>372</v>
      </c>
      <c r="J15" s="223">
        <v>418.5</v>
      </c>
      <c r="K15" s="219">
        <v>3.3613448513061681E-4</v>
      </c>
    </row>
    <row r="16" spans="1:11" ht="15" customHeight="1" x14ac:dyDescent="0.25">
      <c r="A16" s="88" t="s">
        <v>405</v>
      </c>
      <c r="B16" s="116" t="str">
        <f>VLOOKUP(A16,'0 Järjestäjätiedot'!A:H,2,FALSE)</f>
        <v>Aitoon Emäntäkoulu Oy</v>
      </c>
      <c r="C16" s="223">
        <v>21</v>
      </c>
      <c r="D16" s="223">
        <v>21</v>
      </c>
      <c r="E16" s="224">
        <v>1</v>
      </c>
      <c r="F16" s="217"/>
      <c r="G16" s="218">
        <v>4.7023809523809526</v>
      </c>
      <c r="H16" s="218">
        <v>0.66868317476112304</v>
      </c>
      <c r="I16" s="223">
        <v>395</v>
      </c>
      <c r="J16" s="223">
        <v>395</v>
      </c>
      <c r="K16" s="219">
        <v>3.1725954988433367E-4</v>
      </c>
    </row>
    <row r="17" spans="1:11" ht="15" customHeight="1" x14ac:dyDescent="0.25">
      <c r="A17" s="88" t="s">
        <v>312</v>
      </c>
      <c r="B17" s="116" t="str">
        <f>VLOOKUP(A17,'0 Järjestäjätiedot'!A:H,2,FALSE)</f>
        <v>Palloilu Säätiö sr</v>
      </c>
      <c r="C17" s="223">
        <v>93</v>
      </c>
      <c r="D17" s="223">
        <v>78</v>
      </c>
      <c r="E17" s="224">
        <v>0.83870967741935487</v>
      </c>
      <c r="F17" s="217"/>
      <c r="G17" s="218">
        <v>4.1474358974358978</v>
      </c>
      <c r="H17" s="218">
        <v>1.1536146491404187</v>
      </c>
      <c r="I17" s="223">
        <v>1294</v>
      </c>
      <c r="J17" s="223">
        <v>1542.8461538461538</v>
      </c>
      <c r="K17" s="219">
        <v>1.2391966488860917E-3</v>
      </c>
    </row>
    <row r="18" spans="1:11" ht="15" customHeight="1" x14ac:dyDescent="0.25">
      <c r="A18" s="88" t="s">
        <v>406</v>
      </c>
      <c r="B18" s="116" t="str">
        <f>VLOOKUP(A18,'0 Järjestäjätiedot'!A:H,2,FALSE)</f>
        <v>Ahlmanin koulun Säätiö sr</v>
      </c>
      <c r="C18" s="223">
        <v>216</v>
      </c>
      <c r="D18" s="223">
        <v>107</v>
      </c>
      <c r="E18" s="224">
        <v>0.49537037037037035</v>
      </c>
      <c r="F18" s="217"/>
      <c r="G18" s="218">
        <v>4.303719008264463</v>
      </c>
      <c r="H18" s="218">
        <v>0.9117611984654288</v>
      </c>
      <c r="I18" s="223">
        <v>1841.9917355371902</v>
      </c>
      <c r="J18" s="223">
        <v>2344.2980474584424</v>
      </c>
      <c r="K18" s="219">
        <v>1.8829137805857917E-3</v>
      </c>
    </row>
    <row r="19" spans="1:11" ht="15" customHeight="1" x14ac:dyDescent="0.25">
      <c r="A19" s="88" t="s">
        <v>275</v>
      </c>
      <c r="B19" s="116" t="str">
        <f>VLOOKUP(A19,'0 Järjestäjätiedot'!A:H,2,FALSE)</f>
        <v>Tampereen Aikuiskoulutussäätiö sr</v>
      </c>
      <c r="C19" s="223">
        <v>2253</v>
      </c>
      <c r="D19" s="223">
        <v>940</v>
      </c>
      <c r="E19" s="224">
        <v>0.4172214824678207</v>
      </c>
      <c r="F19" s="217"/>
      <c r="G19" s="218">
        <v>4.2566137566137563</v>
      </c>
      <c r="H19" s="218">
        <v>1.029342608325043</v>
      </c>
      <c r="I19" s="223">
        <v>16004.867724867723</v>
      </c>
      <c r="J19" s="223">
        <v>20088.509894028408</v>
      </c>
      <c r="K19" s="219">
        <v>1.6134864827408699E-2</v>
      </c>
    </row>
    <row r="20" spans="1:11" ht="15" customHeight="1" x14ac:dyDescent="0.25">
      <c r="A20" s="88" t="s">
        <v>248</v>
      </c>
      <c r="B20" s="116" t="str">
        <f>VLOOKUP(A20,'0 Järjestäjätiedot'!A:H,2,FALSE)</f>
        <v>Varalan Säätiö sr</v>
      </c>
      <c r="C20" s="223">
        <v>149</v>
      </c>
      <c r="D20" s="223">
        <v>120</v>
      </c>
      <c r="E20" s="224">
        <v>0.80536912751677847</v>
      </c>
      <c r="F20" s="217"/>
      <c r="G20" s="218">
        <v>4.5645833333333332</v>
      </c>
      <c r="H20" s="218">
        <v>0.79319753301992191</v>
      </c>
      <c r="I20" s="223">
        <v>2191</v>
      </c>
      <c r="J20" s="223">
        <v>2720.4916666666668</v>
      </c>
      <c r="K20" s="219">
        <v>2.1850682572930316E-3</v>
      </c>
    </row>
    <row r="21" spans="1:11" ht="15" customHeight="1" x14ac:dyDescent="0.25">
      <c r="A21" s="88" t="s">
        <v>347</v>
      </c>
      <c r="B21" s="116" t="str">
        <f>VLOOKUP(A21,'0 Järjestäjätiedot'!A:H,2,FALSE)</f>
        <v>Kouvolan Aikuiskoulutussäätiö sr</v>
      </c>
      <c r="C21" s="223">
        <v>513</v>
      </c>
      <c r="D21" s="223">
        <v>218</v>
      </c>
      <c r="E21" s="224">
        <v>0.42495126705653019</v>
      </c>
      <c r="F21" s="217"/>
      <c r="G21" s="218">
        <v>4.306192660550459</v>
      </c>
      <c r="H21" s="218">
        <v>0.99034708008288763</v>
      </c>
      <c r="I21" s="223">
        <v>3755</v>
      </c>
      <c r="J21" s="223">
        <v>4721.202397508825</v>
      </c>
      <c r="K21" s="219">
        <v>3.7920165760670552E-3</v>
      </c>
    </row>
    <row r="22" spans="1:11" ht="15" customHeight="1" x14ac:dyDescent="0.25">
      <c r="A22" s="88" t="s">
        <v>346</v>
      </c>
      <c r="B22" s="116" t="str">
        <f>VLOOKUP(A22,'0 Järjestäjätiedot'!A:H,2,FALSE)</f>
        <v>Kouvolan kaupunki</v>
      </c>
      <c r="C22" s="223">
        <v>801</v>
      </c>
      <c r="D22" s="223">
        <v>720</v>
      </c>
      <c r="E22" s="224">
        <v>0.898876404494382</v>
      </c>
      <c r="F22" s="217"/>
      <c r="G22" s="218">
        <v>4.2225694444444448</v>
      </c>
      <c r="H22" s="218">
        <v>0.999710545974695</v>
      </c>
      <c r="I22" s="223">
        <v>12161</v>
      </c>
      <c r="J22" s="223">
        <v>13529.112500000001</v>
      </c>
      <c r="K22" s="219">
        <v>1.0866430739454463E-2</v>
      </c>
    </row>
    <row r="23" spans="1:11" ht="15" customHeight="1" x14ac:dyDescent="0.25">
      <c r="A23" s="88" t="s">
        <v>255</v>
      </c>
      <c r="B23" s="116" t="str">
        <f>VLOOKUP(A23,'0 Järjestäjätiedot'!A:H,2,FALSE)</f>
        <v>Valkealan Kristillisen Kansanopiston kannatusyhdistys r.y.</v>
      </c>
      <c r="C23" s="223">
        <v>16</v>
      </c>
      <c r="D23" s="223">
        <v>15</v>
      </c>
      <c r="E23" s="224">
        <v>0.9375</v>
      </c>
      <c r="F23" s="217"/>
      <c r="G23" s="218">
        <v>4</v>
      </c>
      <c r="H23" s="218">
        <v>1.6329931618554525</v>
      </c>
      <c r="I23" s="223">
        <v>240</v>
      </c>
      <c r="J23" s="223">
        <v>256</v>
      </c>
      <c r="K23" s="219">
        <v>2.0561631587440361E-4</v>
      </c>
    </row>
    <row r="24" spans="1:11" ht="15" customHeight="1" x14ac:dyDescent="0.25">
      <c r="A24" s="88" t="s">
        <v>271</v>
      </c>
      <c r="B24" s="116" t="str">
        <f>VLOOKUP(A24,'0 Järjestäjätiedot'!A:H,2,FALSE)</f>
        <v>Tanhuvaaran Säätiö sr</v>
      </c>
      <c r="C24" s="223">
        <v>30</v>
      </c>
      <c r="D24" s="223">
        <v>29</v>
      </c>
      <c r="E24" s="224">
        <v>0.96666666666666667</v>
      </c>
      <c r="F24" s="217"/>
      <c r="G24" s="218">
        <v>4.4827586206896548</v>
      </c>
      <c r="H24" s="218">
        <v>0.77105792327579237</v>
      </c>
      <c r="I24" s="223">
        <v>520</v>
      </c>
      <c r="J24" s="223">
        <v>537.93103448275861</v>
      </c>
      <c r="K24" s="219">
        <v>4.3206014650332651E-4</v>
      </c>
    </row>
    <row r="25" spans="1:11" ht="15" customHeight="1" x14ac:dyDescent="0.25">
      <c r="A25" s="88" t="s">
        <v>375</v>
      </c>
      <c r="B25" s="116" t="str">
        <f>VLOOKUP(A25,'0 Järjestäjätiedot'!A:H,2,FALSE)</f>
        <v>Itä-Suomen Liikuntaopisto Oy</v>
      </c>
      <c r="C25" s="223">
        <v>90</v>
      </c>
      <c r="D25" s="223">
        <v>63</v>
      </c>
      <c r="E25" s="224">
        <v>0.7</v>
      </c>
      <c r="F25" s="217"/>
      <c r="G25" s="218">
        <v>4.4404761904761907</v>
      </c>
      <c r="H25" s="218">
        <v>0.90874748718489073</v>
      </c>
      <c r="I25" s="223">
        <v>1119</v>
      </c>
      <c r="J25" s="223">
        <v>1424.9765625</v>
      </c>
      <c r="K25" s="219">
        <v>1.144525121049304E-3</v>
      </c>
    </row>
    <row r="26" spans="1:11" ht="15" customHeight="1" x14ac:dyDescent="0.25">
      <c r="A26" s="88" t="s">
        <v>266</v>
      </c>
      <c r="B26" s="116" t="str">
        <f>VLOOKUP(A26,'0 Järjestäjätiedot'!A:H,2,FALSE)</f>
        <v>Tohtori Matthias Ingmanin säätiö sr</v>
      </c>
      <c r="C26" s="223">
        <v>92</v>
      </c>
      <c r="D26" s="223">
        <v>68</v>
      </c>
      <c r="E26" s="224">
        <v>0.73913043478260865</v>
      </c>
      <c r="F26" s="217"/>
      <c r="G26" s="218">
        <v>4.1470588235294121</v>
      </c>
      <c r="H26" s="218">
        <v>0.98912774828236572</v>
      </c>
      <c r="I26" s="223">
        <v>1128</v>
      </c>
      <c r="J26" s="223">
        <v>1428.1913988657845</v>
      </c>
      <c r="K26" s="219">
        <v>1.147107241399584E-3</v>
      </c>
    </row>
    <row r="27" spans="1:11" ht="15" customHeight="1" x14ac:dyDescent="0.25">
      <c r="A27" s="88" t="s">
        <v>361</v>
      </c>
      <c r="B27" s="116" t="str">
        <f>VLOOKUP(A27,'0 Järjestäjätiedot'!A:H,2,FALSE)</f>
        <v>Kaustisen Evankelisen Opiston Kannatusyhdistys ry</v>
      </c>
      <c r="C27" s="223">
        <v>37</v>
      </c>
      <c r="D27" s="223">
        <v>21</v>
      </c>
      <c r="E27" s="224">
        <v>0.56756756756756754</v>
      </c>
      <c r="F27" s="217"/>
      <c r="G27" s="218">
        <v>3.7738095238095237</v>
      </c>
      <c r="H27" s="218">
        <v>1.061795317870706</v>
      </c>
      <c r="I27" s="223">
        <v>317</v>
      </c>
      <c r="J27" s="223">
        <v>405.89574963476986</v>
      </c>
      <c r="K27" s="219">
        <v>3.2601089323820579E-4</v>
      </c>
    </row>
    <row r="28" spans="1:11" ht="15" customHeight="1" x14ac:dyDescent="0.25">
      <c r="A28" s="88" t="s">
        <v>339</v>
      </c>
      <c r="B28" s="116" t="str">
        <f>VLOOKUP(A28,'0 Järjestäjätiedot'!A:H,2,FALSE)</f>
        <v>Kuortaneen Urheiluopistosäätiö sr</v>
      </c>
      <c r="C28" s="223">
        <v>90</v>
      </c>
      <c r="D28" s="223">
        <v>65</v>
      </c>
      <c r="E28" s="224">
        <v>0.72222222222222221</v>
      </c>
      <c r="F28" s="217"/>
      <c r="G28" s="218">
        <v>4.3884615384615389</v>
      </c>
      <c r="H28" s="218">
        <v>0.84527051795310271</v>
      </c>
      <c r="I28" s="223">
        <v>1141</v>
      </c>
      <c r="J28" s="223">
        <v>1448.5901813271607</v>
      </c>
      <c r="K28" s="219">
        <v>1.1634913136575199E-3</v>
      </c>
    </row>
    <row r="29" spans="1:11" ht="15" customHeight="1" x14ac:dyDescent="0.25">
      <c r="A29" s="88" t="s">
        <v>318</v>
      </c>
      <c r="B29" s="116" t="str">
        <f>VLOOKUP(A29,'0 Järjestäjätiedot'!A:H,2,FALSE)</f>
        <v>Oulun kaupunki</v>
      </c>
      <c r="C29" s="223">
        <v>22</v>
      </c>
      <c r="D29" s="223">
        <v>22</v>
      </c>
      <c r="E29" s="224">
        <v>1</v>
      </c>
      <c r="F29" s="217"/>
      <c r="G29" s="218">
        <v>4.8068181818181817</v>
      </c>
      <c r="H29" s="218">
        <v>0.42259895413152854</v>
      </c>
      <c r="I29" s="223">
        <v>423</v>
      </c>
      <c r="J29" s="223">
        <v>423</v>
      </c>
      <c r="K29" s="219">
        <v>3.3974883443309658E-4</v>
      </c>
    </row>
    <row r="30" spans="1:11" ht="15" customHeight="1" x14ac:dyDescent="0.25">
      <c r="A30" s="88" t="s">
        <v>325</v>
      </c>
      <c r="B30" s="116" t="str">
        <f>VLOOKUP(A30,'0 Järjestäjätiedot'!A:H,2,FALSE)</f>
        <v>Marttayhdistysten liitto ry</v>
      </c>
      <c r="C30" s="223">
        <v>150</v>
      </c>
      <c r="D30" s="223">
        <v>125</v>
      </c>
      <c r="E30" s="224">
        <v>0.83333333333333337</v>
      </c>
      <c r="F30" s="217"/>
      <c r="G30" s="218">
        <v>4.4480000000000004</v>
      </c>
      <c r="H30" s="218">
        <v>0.83862745006349193</v>
      </c>
      <c r="I30" s="223">
        <v>2224</v>
      </c>
      <c r="J30" s="223">
        <v>2668.7999999999997</v>
      </c>
      <c r="K30" s="219">
        <v>2.1435500929906574E-3</v>
      </c>
    </row>
    <row r="31" spans="1:11" ht="15" customHeight="1" x14ac:dyDescent="0.25">
      <c r="A31" s="88" t="s">
        <v>302</v>
      </c>
      <c r="B31" s="116" t="str">
        <f>VLOOKUP(A31,'0 Järjestäjätiedot'!A:H,2,FALSE)</f>
        <v>Raahen Porvari- ja Kauppakoulurahasto sr</v>
      </c>
      <c r="C31" s="223">
        <v>186</v>
      </c>
      <c r="D31" s="223">
        <v>71</v>
      </c>
      <c r="E31" s="224">
        <v>0.38172043010752688</v>
      </c>
      <c r="F31" s="217"/>
      <c r="G31" s="218">
        <v>4.25</v>
      </c>
      <c r="H31" s="218">
        <v>1.0374916331657278</v>
      </c>
      <c r="I31" s="223">
        <v>1207</v>
      </c>
      <c r="J31" s="223">
        <v>1501.5400886301884</v>
      </c>
      <c r="K31" s="219">
        <v>1.2060200826635344E-3</v>
      </c>
    </row>
    <row r="32" spans="1:11" ht="15" customHeight="1" x14ac:dyDescent="0.25">
      <c r="A32" s="88" t="s">
        <v>309</v>
      </c>
      <c r="B32" s="116" t="str">
        <f>VLOOKUP(A32,'0 Järjestäjätiedot'!A:H,2,FALSE)</f>
        <v>Peräpohjolan Kansanopiston kannatusyhdistys ry</v>
      </c>
      <c r="C32" s="223">
        <v>25</v>
      </c>
      <c r="D32" s="223">
        <v>16</v>
      </c>
      <c r="E32" s="224">
        <v>0.64</v>
      </c>
      <c r="F32" s="217"/>
      <c r="G32" s="218">
        <v>4.21875</v>
      </c>
      <c r="H32" s="218">
        <v>1.0226917607470982</v>
      </c>
      <c r="I32" s="223">
        <v>270</v>
      </c>
      <c r="J32" s="223">
        <v>345.6</v>
      </c>
      <c r="K32" s="219">
        <v>2.7758202643044487E-4</v>
      </c>
    </row>
    <row r="33" spans="1:11" ht="15" customHeight="1" x14ac:dyDescent="0.25">
      <c r="A33" s="88" t="s">
        <v>299</v>
      </c>
      <c r="B33" s="116" t="str">
        <f>VLOOKUP(A33,'0 Järjestäjätiedot'!A:H,2,FALSE)</f>
        <v>Raudaskylän Kristillinen Opisto r.y.</v>
      </c>
      <c r="C33" s="223">
        <v>15</v>
      </c>
      <c r="D33" s="223">
        <v>10</v>
      </c>
      <c r="E33" s="224">
        <v>0.66666666666666663</v>
      </c>
      <c r="F33" s="217"/>
      <c r="G33" s="218">
        <v>4.4749999999999996</v>
      </c>
      <c r="H33" s="218">
        <v>0.80583807306431154</v>
      </c>
      <c r="I33" s="223">
        <v>179</v>
      </c>
      <c r="J33" s="223">
        <v>228.72222222222226</v>
      </c>
      <c r="K33" s="219">
        <v>1.8370711207789058E-4</v>
      </c>
    </row>
    <row r="34" spans="1:11" ht="15" customHeight="1" x14ac:dyDescent="0.25">
      <c r="A34" s="88" t="s">
        <v>381</v>
      </c>
      <c r="B34" s="116" t="str">
        <f>VLOOKUP(A34,'0 Järjestäjätiedot'!A:H,2,FALSE)</f>
        <v>Laajasalon opiston säätiö sr</v>
      </c>
      <c r="C34" s="223">
        <v>0</v>
      </c>
      <c r="D34" s="223">
        <v>0</v>
      </c>
      <c r="E34" s="224"/>
      <c r="F34" s="217"/>
      <c r="G34" s="218"/>
      <c r="H34" s="218"/>
      <c r="I34" s="223">
        <v>0</v>
      </c>
      <c r="J34" s="223">
        <v>0</v>
      </c>
      <c r="K34" s="219">
        <v>0</v>
      </c>
    </row>
    <row r="35" spans="1:11" ht="15" customHeight="1" x14ac:dyDescent="0.25">
      <c r="A35" s="88" t="s">
        <v>382</v>
      </c>
      <c r="B35" s="116" t="str">
        <f>VLOOKUP(A35,'0 Järjestäjätiedot'!A:H,2,FALSE)</f>
        <v>Helsingin Konservatorion Säätiö sr</v>
      </c>
      <c r="C35" s="223">
        <v>41</v>
      </c>
      <c r="D35" s="223">
        <v>27</v>
      </c>
      <c r="E35" s="224">
        <v>0.65853658536585369</v>
      </c>
      <c r="F35" s="217"/>
      <c r="G35" s="218">
        <v>4.2314814814814818</v>
      </c>
      <c r="H35" s="218">
        <v>1.1353452850669381</v>
      </c>
      <c r="I35" s="223">
        <v>457</v>
      </c>
      <c r="J35" s="223">
        <v>584.30787105889351</v>
      </c>
      <c r="K35" s="219">
        <v>4.6930949915447551E-4</v>
      </c>
    </row>
    <row r="36" spans="1:11" ht="15" customHeight="1" x14ac:dyDescent="0.25">
      <c r="A36" s="88" t="s">
        <v>386</v>
      </c>
      <c r="B36" s="116" t="str">
        <f>VLOOKUP(A36,'0 Järjestäjätiedot'!A:H,2,FALSE)</f>
        <v>Helsingin kaupunki</v>
      </c>
      <c r="C36" s="223">
        <v>5970</v>
      </c>
      <c r="D36" s="223">
        <v>1691</v>
      </c>
      <c r="E36" s="224">
        <v>0.28324958123953098</v>
      </c>
      <c r="F36" s="217"/>
      <c r="G36" s="218">
        <v>4.0385866351271433</v>
      </c>
      <c r="H36" s="218">
        <v>1.1281653601616624</v>
      </c>
      <c r="I36" s="223">
        <v>27317</v>
      </c>
      <c r="J36" s="223">
        <v>32858.70529484297</v>
      </c>
      <c r="K36" s="219">
        <v>2.6391741902845198E-2</v>
      </c>
    </row>
    <row r="37" spans="1:11" ht="15" customHeight="1" x14ac:dyDescent="0.25">
      <c r="A37" s="88" t="s">
        <v>378</v>
      </c>
      <c r="B37" s="116" t="str">
        <f>VLOOKUP(A37,'0 Järjestäjätiedot'!A:H,2,FALSE)</f>
        <v>Invalidisäätiö sr</v>
      </c>
      <c r="C37" s="223">
        <v>439</v>
      </c>
      <c r="D37" s="223">
        <v>323</v>
      </c>
      <c r="E37" s="224">
        <v>0.73576309794988615</v>
      </c>
      <c r="F37" s="217"/>
      <c r="G37" s="218">
        <v>4.3537151702786376</v>
      </c>
      <c r="H37" s="218">
        <v>0.94153889215236153</v>
      </c>
      <c r="I37" s="223">
        <v>5625</v>
      </c>
      <c r="J37" s="223">
        <v>7126.0329253493383</v>
      </c>
      <c r="K37" s="219">
        <v>5.7235493629298039E-3</v>
      </c>
    </row>
    <row r="38" spans="1:11" ht="15" customHeight="1" x14ac:dyDescent="0.25">
      <c r="A38" s="88" t="s">
        <v>384</v>
      </c>
      <c r="B38" s="116" t="str">
        <f>VLOOKUP(A38,'0 Järjestäjätiedot'!A:H,2,FALSE)</f>
        <v>Hengitysliitto ry</v>
      </c>
      <c r="C38" s="223">
        <v>637</v>
      </c>
      <c r="D38" s="223">
        <v>537</v>
      </c>
      <c r="E38" s="224">
        <v>0.84301412872841441</v>
      </c>
      <c r="F38" s="217"/>
      <c r="G38" s="218">
        <v>4.2593109869646186</v>
      </c>
      <c r="H38" s="218">
        <v>0.97848450549595978</v>
      </c>
      <c r="I38" s="223">
        <v>9149</v>
      </c>
      <c r="J38" s="223">
        <v>10852.724394785848</v>
      </c>
      <c r="K38" s="219">
        <v>8.7167859658442669E-3</v>
      </c>
    </row>
    <row r="39" spans="1:11" ht="15" customHeight="1" x14ac:dyDescent="0.25">
      <c r="A39" s="88" t="s">
        <v>326</v>
      </c>
      <c r="B39" s="116" t="str">
        <f>VLOOKUP(A39,'0 Järjestäjätiedot'!A:H,2,FALSE)</f>
        <v>Markkinointi-instituutin Kannatusyhdistys ry</v>
      </c>
      <c r="C39" s="223">
        <v>1608</v>
      </c>
      <c r="D39" s="223">
        <v>533</v>
      </c>
      <c r="E39" s="224">
        <v>0.33146766169154229</v>
      </c>
      <c r="F39" s="217"/>
      <c r="G39" s="218">
        <v>4.2091932457786116</v>
      </c>
      <c r="H39" s="218">
        <v>1.0593769214580711</v>
      </c>
      <c r="I39" s="223">
        <v>8974</v>
      </c>
      <c r="J39" s="223">
        <v>10992.381484045298</v>
      </c>
      <c r="K39" s="219">
        <v>8.8289569665445447E-3</v>
      </c>
    </row>
    <row r="40" spans="1:11" ht="15" customHeight="1" x14ac:dyDescent="0.25">
      <c r="A40" s="88" t="s">
        <v>260</v>
      </c>
      <c r="B40" s="116" t="str">
        <f>VLOOKUP(A40,'0 Järjestäjätiedot'!A:H,2,FALSE)</f>
        <v>Työtehoseura ry</v>
      </c>
      <c r="C40" s="223">
        <v>1439</v>
      </c>
      <c r="D40" s="223">
        <v>598</v>
      </c>
      <c r="E40" s="224">
        <v>0.41556636553161919</v>
      </c>
      <c r="F40" s="217"/>
      <c r="G40" s="218">
        <v>4.1183774834437088</v>
      </c>
      <c r="H40" s="218">
        <v>1.0918390903553983</v>
      </c>
      <c r="I40" s="223">
        <v>9851.1589403973503</v>
      </c>
      <c r="J40" s="223">
        <v>12360.004648127471</v>
      </c>
      <c r="K40" s="219">
        <v>9.9274164841346678E-3</v>
      </c>
    </row>
    <row r="41" spans="1:11" ht="15" customHeight="1" x14ac:dyDescent="0.25">
      <c r="A41" s="88" t="s">
        <v>281</v>
      </c>
      <c r="B41" s="116" t="str">
        <f>VLOOKUP(A41,'0 Järjestäjätiedot'!A:H,2,FALSE)</f>
        <v>Suomen Urheiluopiston Kannatusosakeyhtiö</v>
      </c>
      <c r="C41" s="223">
        <v>210</v>
      </c>
      <c r="D41" s="223">
        <v>155</v>
      </c>
      <c r="E41" s="224">
        <v>0.73809523809523814</v>
      </c>
      <c r="F41" s="217"/>
      <c r="G41" s="218">
        <v>4.4096774193548391</v>
      </c>
      <c r="H41" s="218">
        <v>0.90691068618465387</v>
      </c>
      <c r="I41" s="223">
        <v>2734</v>
      </c>
      <c r="J41" s="223">
        <v>3462.2045422335605</v>
      </c>
      <c r="K41" s="219">
        <v>2.7808036827253542E-3</v>
      </c>
    </row>
    <row r="42" spans="1:11" ht="15" customHeight="1" x14ac:dyDescent="0.25">
      <c r="A42" s="88" t="s">
        <v>330</v>
      </c>
      <c r="B42" s="116" t="str">
        <f>VLOOKUP(A42,'0 Järjestäjätiedot'!A:H,2,FALSE)</f>
        <v>Luksia, Länsi-Uudenmaan koulutuskuntayhtymä</v>
      </c>
      <c r="C42" s="223">
        <v>924</v>
      </c>
      <c r="D42" s="223">
        <v>601</v>
      </c>
      <c r="E42" s="224">
        <v>0.65043290043290047</v>
      </c>
      <c r="F42" s="217"/>
      <c r="G42" s="218">
        <v>4.0445091514143092</v>
      </c>
      <c r="H42" s="218">
        <v>1.1227190818595254</v>
      </c>
      <c r="I42" s="223">
        <v>9723</v>
      </c>
      <c r="J42" s="223">
        <v>12438.273256868604</v>
      </c>
      <c r="K42" s="219">
        <v>9.9902809488923508E-3</v>
      </c>
    </row>
    <row r="43" spans="1:11" ht="15" customHeight="1" x14ac:dyDescent="0.25">
      <c r="A43" s="88" t="s">
        <v>394</v>
      </c>
      <c r="B43" s="116" t="str">
        <f>VLOOKUP(A43,'0 Järjestäjätiedot'!A:H,2,FALSE)</f>
        <v>Eurajoen kristillisen opiston kannatusyhdistys r.y.</v>
      </c>
      <c r="C43" s="223">
        <v>30</v>
      </c>
      <c r="D43" s="223">
        <v>26</v>
      </c>
      <c r="E43" s="224">
        <v>0.8666666666666667</v>
      </c>
      <c r="F43" s="217"/>
      <c r="G43" s="218">
        <v>4.3173076923076925</v>
      </c>
      <c r="H43" s="218">
        <v>1.1116898353141604</v>
      </c>
      <c r="I43" s="223">
        <v>449</v>
      </c>
      <c r="J43" s="223">
        <v>518.07692307692298</v>
      </c>
      <c r="K43" s="219">
        <v>4.1611354790087378E-4</v>
      </c>
    </row>
    <row r="44" spans="1:11" ht="15" customHeight="1" x14ac:dyDescent="0.25">
      <c r="A44" s="88" t="s">
        <v>290</v>
      </c>
      <c r="B44" s="116" t="str">
        <f>VLOOKUP(A44,'0 Järjestäjätiedot'!A:H,2,FALSE)</f>
        <v>Satakunnan koulutuskuntayhtymä</v>
      </c>
      <c r="C44" s="223">
        <v>1619</v>
      </c>
      <c r="D44" s="223">
        <v>1333</v>
      </c>
      <c r="E44" s="224">
        <v>0.82334774552192713</v>
      </c>
      <c r="F44" s="217"/>
      <c r="G44" s="218">
        <v>4.2104276069017255</v>
      </c>
      <c r="H44" s="218">
        <v>1.0526197291860042</v>
      </c>
      <c r="I44" s="223">
        <v>22450</v>
      </c>
      <c r="J44" s="223">
        <v>27266.72918229557</v>
      </c>
      <c r="K44" s="219">
        <v>2.1900329689096502E-2</v>
      </c>
    </row>
    <row r="45" spans="1:11" ht="15" customHeight="1" x14ac:dyDescent="0.25">
      <c r="A45" s="88" t="s">
        <v>331</v>
      </c>
      <c r="B45" s="116" t="str">
        <f>VLOOKUP(A45,'0 Järjestäjätiedot'!A:H,2,FALSE)</f>
        <v>Lounais-Suomen koulutuskuntayhtymä</v>
      </c>
      <c r="C45" s="223">
        <v>949</v>
      </c>
      <c r="D45" s="223">
        <v>748</v>
      </c>
      <c r="E45" s="224">
        <v>0.78819810326659645</v>
      </c>
      <c r="F45" s="217"/>
      <c r="G45" s="218">
        <v>4.0564839572192515</v>
      </c>
      <c r="H45" s="218">
        <v>1.1492054641971079</v>
      </c>
      <c r="I45" s="223">
        <v>12137</v>
      </c>
      <c r="J45" s="223">
        <v>15214.691678945503</v>
      </c>
      <c r="K45" s="219">
        <v>1.2220268946053587E-2</v>
      </c>
    </row>
    <row r="46" spans="1:11" ht="15" customHeight="1" x14ac:dyDescent="0.25">
      <c r="A46" s="88" t="s">
        <v>301</v>
      </c>
      <c r="B46" s="116" t="str">
        <f>VLOOKUP(A46,'0 Järjestäjätiedot'!A:H,2,FALSE)</f>
        <v>Raision Seudun Koulutuskuntayhtymä</v>
      </c>
      <c r="C46" s="223">
        <v>1095</v>
      </c>
      <c r="D46" s="223">
        <v>787</v>
      </c>
      <c r="E46" s="224">
        <v>0.71872146118721458</v>
      </c>
      <c r="F46" s="217"/>
      <c r="G46" s="218">
        <v>4.3151207115628969</v>
      </c>
      <c r="H46" s="218">
        <v>1.0181641696735928</v>
      </c>
      <c r="I46" s="223">
        <v>13584</v>
      </c>
      <c r="J46" s="223">
        <v>17254.919090511037</v>
      </c>
      <c r="K46" s="219">
        <v>1.3858956617585134E-2</v>
      </c>
    </row>
    <row r="47" spans="1:11" ht="15" customHeight="1" x14ac:dyDescent="0.25">
      <c r="A47" s="88" t="s">
        <v>262</v>
      </c>
      <c r="B47" s="116" t="str">
        <f>VLOOKUP(A47,'0 Järjestäjätiedot'!A:H,2,FALSE)</f>
        <v>Turun kaupunki</v>
      </c>
      <c r="C47" s="223">
        <v>2612</v>
      </c>
      <c r="D47" s="223">
        <v>1729</v>
      </c>
      <c r="E47" s="224">
        <v>0.66194486983154666</v>
      </c>
      <c r="F47" s="217"/>
      <c r="G47" s="218">
        <v>4.0637651821862351</v>
      </c>
      <c r="H47" s="218">
        <v>1.1400536471969061</v>
      </c>
      <c r="I47" s="223">
        <v>28105</v>
      </c>
      <c r="J47" s="223">
        <v>35925.278456499327</v>
      </c>
      <c r="K47" s="219">
        <v>2.8854778917919814E-2</v>
      </c>
    </row>
    <row r="48" spans="1:11" ht="15" customHeight="1" x14ac:dyDescent="0.25">
      <c r="A48" s="88" t="s">
        <v>291</v>
      </c>
      <c r="B48" s="116" t="str">
        <f>VLOOKUP(A48,'0 Järjestäjätiedot'!A:H,2,FALSE)</f>
        <v>SASKY koulutuskuntayhtymä</v>
      </c>
      <c r="C48" s="223">
        <v>2667</v>
      </c>
      <c r="D48" s="223">
        <v>993</v>
      </c>
      <c r="E48" s="224">
        <v>0.37232845894263217</v>
      </c>
      <c r="F48" s="217"/>
      <c r="G48" s="218">
        <v>3.9705438066465257</v>
      </c>
      <c r="H48" s="218">
        <v>1.1841468798998913</v>
      </c>
      <c r="I48" s="223">
        <v>15771</v>
      </c>
      <c r="J48" s="223">
        <v>19567.938103117282</v>
      </c>
      <c r="K48" s="219">
        <v>1.5716747429770864E-2</v>
      </c>
    </row>
    <row r="49" spans="1:11" ht="15" customHeight="1" x14ac:dyDescent="0.25">
      <c r="A49" s="88" t="s">
        <v>348</v>
      </c>
      <c r="B49" s="116" t="str">
        <f>VLOOKUP(A49,'0 Järjestäjätiedot'!A:H,2,FALSE)</f>
        <v>Koulutuskuntayhtymä Tavastia</v>
      </c>
      <c r="C49" s="223">
        <v>1279</v>
      </c>
      <c r="D49" s="223">
        <v>821</v>
      </c>
      <c r="E49" s="224">
        <v>0.64190774042220489</v>
      </c>
      <c r="F49" s="217"/>
      <c r="G49" s="218">
        <v>4.1801336573511545</v>
      </c>
      <c r="H49" s="218">
        <v>1.048950864684377</v>
      </c>
      <c r="I49" s="223">
        <v>13727.558930741192</v>
      </c>
      <c r="J49" s="223">
        <v>17569.599610557449</v>
      </c>
      <c r="K49" s="219">
        <v>1.4111704466059293E-2</v>
      </c>
    </row>
    <row r="50" spans="1:11" ht="15" customHeight="1" x14ac:dyDescent="0.25">
      <c r="A50" s="88" t="s">
        <v>273</v>
      </c>
      <c r="B50" s="116" t="str">
        <f>VLOOKUP(A50,'0 Järjestäjätiedot'!A:H,2,FALSE)</f>
        <v>Tampereen Musiikkiopiston Säätiö sr</v>
      </c>
      <c r="C50" s="223">
        <v>36</v>
      </c>
      <c r="D50" s="223">
        <v>31</v>
      </c>
      <c r="E50" s="224">
        <v>0.86111111111111116</v>
      </c>
      <c r="F50" s="217"/>
      <c r="G50" s="218">
        <v>4.387096774193548</v>
      </c>
      <c r="H50" s="218">
        <v>0.83963968289163848</v>
      </c>
      <c r="I50" s="223">
        <v>544</v>
      </c>
      <c r="J50" s="223">
        <v>631.74193548387086</v>
      </c>
      <c r="K50" s="219">
        <v>5.0740800530296368E-4</v>
      </c>
    </row>
    <row r="51" spans="1:11" ht="15" customHeight="1" x14ac:dyDescent="0.25">
      <c r="A51" s="88" t="s">
        <v>256</v>
      </c>
      <c r="B51" s="116" t="str">
        <f>VLOOKUP(A51,'0 Järjestäjätiedot'!A:H,2,FALSE)</f>
        <v>Valkeakosken seudun koulutuskuntayhtymä</v>
      </c>
      <c r="C51" s="223">
        <v>655</v>
      </c>
      <c r="D51" s="223">
        <v>424</v>
      </c>
      <c r="E51" s="224">
        <v>0.64732824427480917</v>
      </c>
      <c r="F51" s="217"/>
      <c r="G51" s="218">
        <v>4.307511737089202</v>
      </c>
      <c r="H51" s="218">
        <v>0.97830451498531013</v>
      </c>
      <c r="I51" s="223">
        <v>7305.5399061032867</v>
      </c>
      <c r="J51" s="223">
        <v>9347.4385227121329</v>
      </c>
      <c r="K51" s="219">
        <v>7.507757312119322E-3</v>
      </c>
    </row>
    <row r="52" spans="1:11" ht="15" customHeight="1" x14ac:dyDescent="0.25">
      <c r="A52" s="88" t="s">
        <v>282</v>
      </c>
      <c r="B52" s="116" t="str">
        <f>VLOOKUP(A52,'0 Järjestäjätiedot'!A:H,2,FALSE)</f>
        <v>Suomen Nuoriso-Opiston kannatusyhdistys ry</v>
      </c>
      <c r="C52" s="223">
        <v>27</v>
      </c>
      <c r="D52" s="223">
        <v>26</v>
      </c>
      <c r="E52" s="224">
        <v>0.96296296296296291</v>
      </c>
      <c r="F52" s="217"/>
      <c r="G52" s="218">
        <v>4.240384615384615</v>
      </c>
      <c r="H52" s="218">
        <v>1.0874740696085634</v>
      </c>
      <c r="I52" s="223">
        <v>441</v>
      </c>
      <c r="J52" s="223">
        <v>457.96153846153851</v>
      </c>
      <c r="K52" s="219">
        <v>3.6782954824467006E-4</v>
      </c>
    </row>
    <row r="53" spans="1:11" ht="15" customHeight="1" x14ac:dyDescent="0.25">
      <c r="A53" s="88" t="s">
        <v>377</v>
      </c>
      <c r="B53" s="116" t="str">
        <f>VLOOKUP(A53,'0 Järjestäjätiedot'!A:H,2,FALSE)</f>
        <v>Itä-Karjalan Kansanopistoseura ry</v>
      </c>
      <c r="C53" s="223">
        <v>42</v>
      </c>
      <c r="D53" s="223">
        <v>34</v>
      </c>
      <c r="E53" s="224">
        <v>0.80952380952380953</v>
      </c>
      <c r="F53" s="217"/>
      <c r="G53" s="218">
        <v>4.4264705882352944</v>
      </c>
      <c r="H53" s="218">
        <v>0.92061642505232522</v>
      </c>
      <c r="I53" s="223">
        <v>602</v>
      </c>
      <c r="J53" s="223">
        <v>743.64705882352939</v>
      </c>
      <c r="K53" s="219">
        <v>5.9728893963332033E-4</v>
      </c>
    </row>
    <row r="54" spans="1:11" ht="15" customHeight="1" x14ac:dyDescent="0.25">
      <c r="A54" s="88" t="s">
        <v>376</v>
      </c>
      <c r="B54" s="116" t="str">
        <f>VLOOKUP(A54,'0 Järjestäjätiedot'!A:H,2,FALSE)</f>
        <v>Itä-Savon koulutuskuntayhtymä</v>
      </c>
      <c r="C54" s="223">
        <v>1104</v>
      </c>
      <c r="D54" s="223">
        <v>410</v>
      </c>
      <c r="E54" s="224">
        <v>0.37137681159420288</v>
      </c>
      <c r="F54" s="217"/>
      <c r="G54" s="218">
        <v>4.3067073170731707</v>
      </c>
      <c r="H54" s="218">
        <v>0.91821878852754735</v>
      </c>
      <c r="I54" s="223">
        <v>7063</v>
      </c>
      <c r="J54" s="223">
        <v>8761.0524567490083</v>
      </c>
      <c r="K54" s="219">
        <v>7.0367786302309521E-3</v>
      </c>
    </row>
    <row r="55" spans="1:11" ht="15" customHeight="1" x14ac:dyDescent="0.25">
      <c r="A55" s="88" t="s">
        <v>354</v>
      </c>
      <c r="B55" s="116" t="str">
        <f>VLOOKUP(A55,'0 Järjestäjätiedot'!A:H,2,FALSE)</f>
        <v>Kiteen Evankelisen Kansanopiston kannatusyhdistys ry</v>
      </c>
      <c r="C55" s="223">
        <v>10</v>
      </c>
      <c r="D55" s="223">
        <v>9</v>
      </c>
      <c r="E55" s="224">
        <v>0.9</v>
      </c>
      <c r="F55" s="217"/>
      <c r="G55" s="218">
        <v>4.5999999999999996</v>
      </c>
      <c r="H55" s="218">
        <v>0.7000000000000014</v>
      </c>
      <c r="I55" s="223">
        <v>165.6</v>
      </c>
      <c r="J55" s="223">
        <v>184</v>
      </c>
      <c r="K55" s="219">
        <v>1.477867270347276E-4</v>
      </c>
    </row>
    <row r="56" spans="1:11" ht="15" customHeight="1" x14ac:dyDescent="0.25">
      <c r="A56" s="88" t="s">
        <v>341</v>
      </c>
      <c r="B56" s="116" t="str">
        <f>VLOOKUP(A56,'0 Järjestäjätiedot'!A:H,2,FALSE)</f>
        <v>Kuopion Konservatorion kannatusyhdistys r.y.</v>
      </c>
      <c r="C56" s="223">
        <v>29</v>
      </c>
      <c r="D56" s="223">
        <v>15</v>
      </c>
      <c r="E56" s="224">
        <v>0.51724137931034486</v>
      </c>
      <c r="F56" s="217"/>
      <c r="G56" s="218">
        <v>4.2941176470588234</v>
      </c>
      <c r="H56" s="218">
        <v>0.94025690371445947</v>
      </c>
      <c r="I56" s="223">
        <v>257.64705882352939</v>
      </c>
      <c r="J56" s="223">
        <v>328.731683220256</v>
      </c>
      <c r="K56" s="219">
        <v>2.6403358443336146E-4</v>
      </c>
    </row>
    <row r="57" spans="1:11" ht="15" customHeight="1" x14ac:dyDescent="0.25">
      <c r="A57" s="88" t="s">
        <v>340</v>
      </c>
      <c r="B57" s="116" t="str">
        <f>VLOOKUP(A57,'0 Järjestäjätiedot'!A:H,2,FALSE)</f>
        <v>Kuopion Talouskoulun Kannatusyhdistys ry</v>
      </c>
      <c r="C57" s="223">
        <v>52</v>
      </c>
      <c r="D57" s="223">
        <v>45</v>
      </c>
      <c r="E57" s="224">
        <v>0.86538461538461542</v>
      </c>
      <c r="F57" s="217"/>
      <c r="G57" s="218">
        <v>4.3499999999999996</v>
      </c>
      <c r="H57" s="218">
        <v>0.98587242807801956</v>
      </c>
      <c r="I57" s="223">
        <v>783</v>
      </c>
      <c r="J57" s="223">
        <v>904.8</v>
      </c>
      <c r="K57" s="219">
        <v>7.2672516641859516E-4</v>
      </c>
    </row>
    <row r="58" spans="1:11" ht="15" customHeight="1" x14ac:dyDescent="0.25">
      <c r="A58" s="88" t="s">
        <v>307</v>
      </c>
      <c r="B58" s="116" t="str">
        <f>VLOOKUP(A58,'0 Järjestäjätiedot'!A:H,2,FALSE)</f>
        <v>Portaanpää ry</v>
      </c>
      <c r="C58" s="223">
        <v>34</v>
      </c>
      <c r="D58" s="223">
        <v>34</v>
      </c>
      <c r="E58" s="224">
        <v>1</v>
      </c>
      <c r="F58" s="217"/>
      <c r="G58" s="218">
        <v>4.1838235294117645</v>
      </c>
      <c r="H58" s="218">
        <v>0.9866923792201262</v>
      </c>
      <c r="I58" s="223">
        <v>569</v>
      </c>
      <c r="J58" s="223">
        <v>569</v>
      </c>
      <c r="K58" s="219">
        <v>4.5701438958021737E-4</v>
      </c>
    </row>
    <row r="59" spans="1:11" ht="15" customHeight="1" x14ac:dyDescent="0.25">
      <c r="A59" s="88" t="s">
        <v>369</v>
      </c>
      <c r="B59" s="116" t="str">
        <f>VLOOKUP(A59,'0 Järjestäjätiedot'!A:H,2,FALSE)</f>
        <v>Jyväskylän Koulutuskuntayhtymä</v>
      </c>
      <c r="C59" s="223">
        <v>4904</v>
      </c>
      <c r="D59" s="223">
        <v>2361</v>
      </c>
      <c r="E59" s="224">
        <v>0.48144371941272429</v>
      </c>
      <c r="F59" s="217"/>
      <c r="G59" s="218">
        <v>4.1507835662854724</v>
      </c>
      <c r="H59" s="218">
        <v>1.0489544320057724</v>
      </c>
      <c r="I59" s="223">
        <v>39200</v>
      </c>
      <c r="J59" s="223">
        <v>49794.547505207651</v>
      </c>
      <c r="K59" s="219">
        <v>3.9994419565053799E-2</v>
      </c>
    </row>
    <row r="60" spans="1:11" ht="15" customHeight="1" x14ac:dyDescent="0.25">
      <c r="A60" s="88" t="s">
        <v>363</v>
      </c>
      <c r="B60" s="116" t="str">
        <f>VLOOKUP(A60,'0 Järjestäjätiedot'!A:H,2,FALSE)</f>
        <v>Karstulan Evankelisen Kansanopiston kannatusyhdistys ry</v>
      </c>
      <c r="C60" s="223">
        <v>15</v>
      </c>
      <c r="D60" s="223">
        <v>15</v>
      </c>
      <c r="E60" s="224">
        <v>1</v>
      </c>
      <c r="F60" s="217"/>
      <c r="G60" s="218">
        <v>4.2666666666666666</v>
      </c>
      <c r="H60" s="218">
        <v>0.96378881965339713</v>
      </c>
      <c r="I60" s="223">
        <v>256</v>
      </c>
      <c r="J60" s="223">
        <v>256</v>
      </c>
      <c r="K60" s="219">
        <v>2.0561631587440361E-4</v>
      </c>
    </row>
    <row r="61" spans="1:11" ht="15" customHeight="1" x14ac:dyDescent="0.25">
      <c r="A61" s="88" t="s">
        <v>239</v>
      </c>
      <c r="B61" s="116" t="str">
        <f>VLOOKUP(A61,'0 Järjestäjätiedot'!A:H,2,FALSE)</f>
        <v>Äänekosken Ammatillisen Koulutuksen kuntayhtymä</v>
      </c>
      <c r="C61" s="223">
        <v>1009</v>
      </c>
      <c r="D61" s="223">
        <v>777</v>
      </c>
      <c r="E61" s="224">
        <v>0.77006937561942512</v>
      </c>
      <c r="F61" s="217"/>
      <c r="G61" s="218">
        <v>4.2123552123552122</v>
      </c>
      <c r="H61" s="218">
        <v>1.0187820408689761</v>
      </c>
      <c r="I61" s="223">
        <v>13092</v>
      </c>
      <c r="J61" s="223">
        <v>16478.290880219745</v>
      </c>
      <c r="K61" s="219">
        <v>1.3235177588662371E-2</v>
      </c>
    </row>
    <row r="62" spans="1:11" ht="15" customHeight="1" x14ac:dyDescent="0.25">
      <c r="A62" s="88" t="s">
        <v>279</v>
      </c>
      <c r="B62" s="116" t="str">
        <f>VLOOKUP(A62,'0 Järjestäjätiedot'!A:H,2,FALSE)</f>
        <v>Suomen yrittäjäopiston kannatus Oy</v>
      </c>
      <c r="C62" s="223">
        <v>625</v>
      </c>
      <c r="D62" s="223">
        <v>289</v>
      </c>
      <c r="E62" s="224">
        <v>0.46239999999999998</v>
      </c>
      <c r="F62" s="217"/>
      <c r="G62" s="218">
        <v>4.1805555555555554</v>
      </c>
      <c r="H62" s="218">
        <v>1.0289674243453366</v>
      </c>
      <c r="I62" s="223">
        <v>4832.7222222222226</v>
      </c>
      <c r="J62" s="223">
        <v>6120.4397201111124</v>
      </c>
      <c r="K62" s="219">
        <v>4.9158682296117692E-3</v>
      </c>
    </row>
    <row r="63" spans="1:11" ht="15" customHeight="1" x14ac:dyDescent="0.25">
      <c r="A63" s="88" t="s">
        <v>344</v>
      </c>
      <c r="B63" s="116" t="str">
        <f>VLOOKUP(A63,'0 Järjestäjätiedot'!A:H,2,FALSE)</f>
        <v>Keski-Pohjanmaan Koulutusyhtymä</v>
      </c>
      <c r="C63" s="223">
        <v>1792</v>
      </c>
      <c r="D63" s="223">
        <v>1060</v>
      </c>
      <c r="E63" s="224">
        <v>0.5915178571428571</v>
      </c>
      <c r="F63" s="217"/>
      <c r="G63" s="218">
        <v>4.2080979284369118</v>
      </c>
      <c r="H63" s="218">
        <v>1.0156544733532231</v>
      </c>
      <c r="I63" s="223">
        <v>17842.335216572505</v>
      </c>
      <c r="J63" s="223">
        <v>22859.489107182169</v>
      </c>
      <c r="K63" s="219">
        <v>1.8360484113241631E-2</v>
      </c>
    </row>
    <row r="64" spans="1:11" ht="15" customHeight="1" x14ac:dyDescent="0.25">
      <c r="A64" s="88" t="s">
        <v>391</v>
      </c>
      <c r="B64" s="116" t="str">
        <f>VLOOKUP(A64,'0 Järjestäjätiedot'!A:H,2,FALSE)</f>
        <v>Fria kristliga Folkhögskolan i Vasa</v>
      </c>
      <c r="C64" s="223">
        <v>8</v>
      </c>
      <c r="D64" s="223">
        <v>4</v>
      </c>
      <c r="E64" s="224">
        <v>0.5</v>
      </c>
      <c r="F64" s="217"/>
      <c r="G64" s="218">
        <v>3</v>
      </c>
      <c r="H64" s="218">
        <v>1.2747548783981961</v>
      </c>
      <c r="I64" s="223">
        <v>48</v>
      </c>
      <c r="J64" s="223">
        <v>61.125</v>
      </c>
      <c r="K64" s="219">
        <v>4.9094911358683284E-5</v>
      </c>
    </row>
    <row r="65" spans="1:11" ht="15" customHeight="1" x14ac:dyDescent="0.25">
      <c r="A65" s="88" t="s">
        <v>257</v>
      </c>
      <c r="B65" s="116" t="str">
        <f>VLOOKUP(A65,'0 Järjestäjätiedot'!A:H,2,FALSE)</f>
        <v>Vaasan kaupunki</v>
      </c>
      <c r="C65" s="223">
        <v>527</v>
      </c>
      <c r="D65" s="223">
        <v>523</v>
      </c>
      <c r="E65" s="224">
        <v>0.99240986717267554</v>
      </c>
      <c r="F65" s="217"/>
      <c r="G65" s="218">
        <v>4.0706106870229011</v>
      </c>
      <c r="H65" s="218">
        <v>1.0819365276956507</v>
      </c>
      <c r="I65" s="223">
        <v>8515.7175572519081</v>
      </c>
      <c r="J65" s="223">
        <v>8580.8473282442737</v>
      </c>
      <c r="K65" s="219">
        <v>6.8920399012277608E-3</v>
      </c>
    </row>
    <row r="66" spans="1:11" ht="15" customHeight="1" x14ac:dyDescent="0.25">
      <c r="A66" s="88" t="s">
        <v>389</v>
      </c>
      <c r="B66" s="116" t="str">
        <f>VLOOKUP(A66,'0 Järjestäjätiedot'!A:H,2,FALSE)</f>
        <v>Haapaveden Opiston kannatusyhdistys ry</v>
      </c>
      <c r="C66" s="223">
        <v>101</v>
      </c>
      <c r="D66" s="223">
        <v>54</v>
      </c>
      <c r="E66" s="224">
        <v>0.53465346534653468</v>
      </c>
      <c r="F66" s="217"/>
      <c r="G66" s="218">
        <v>4.556451612903226</v>
      </c>
      <c r="H66" s="218">
        <v>0.79110395869641392</v>
      </c>
      <c r="I66" s="223">
        <v>984.19354838709683</v>
      </c>
      <c r="J66" s="223">
        <v>1257.7146453067537</v>
      </c>
      <c r="K66" s="219">
        <v>1.010182233551785E-3</v>
      </c>
    </row>
    <row r="67" spans="1:11" ht="15" customHeight="1" x14ac:dyDescent="0.25">
      <c r="A67" s="88" t="s">
        <v>366</v>
      </c>
      <c r="B67" s="116" t="str">
        <f>VLOOKUP(A67,'0 Järjestäjätiedot'!A:H,2,FALSE)</f>
        <v>Kalajoen Kristillisen Opiston Kannatusyhdistys ry</v>
      </c>
      <c r="C67" s="223">
        <v>81</v>
      </c>
      <c r="D67" s="223">
        <v>68</v>
      </c>
      <c r="E67" s="224">
        <v>0.83950617283950613</v>
      </c>
      <c r="F67" s="217"/>
      <c r="G67" s="218">
        <v>4.2904411764705879</v>
      </c>
      <c r="H67" s="218">
        <v>1.0146992220582802</v>
      </c>
      <c r="I67" s="223">
        <v>1167</v>
      </c>
      <c r="J67" s="223">
        <v>1390.1029411764705</v>
      </c>
      <c r="K67" s="219">
        <v>1.1165150212924947E-3</v>
      </c>
    </row>
    <row r="68" spans="1:11" ht="15" customHeight="1" x14ac:dyDescent="0.25">
      <c r="A68" s="88" t="s">
        <v>371</v>
      </c>
      <c r="B68" s="116" t="str">
        <f>VLOOKUP(A68,'0 Järjestäjätiedot'!A:H,2,FALSE)</f>
        <v>Jokilaaksojen koulutuskuntayhtymä</v>
      </c>
      <c r="C68" s="223">
        <v>1369</v>
      </c>
      <c r="D68" s="223">
        <v>884</v>
      </c>
      <c r="E68" s="224">
        <v>0.64572680788897008</v>
      </c>
      <c r="F68" s="217"/>
      <c r="G68" s="218">
        <v>4.1889140271493215</v>
      </c>
      <c r="H68" s="218">
        <v>1.0526046972711387</v>
      </c>
      <c r="I68" s="223">
        <v>14812</v>
      </c>
      <c r="J68" s="223">
        <v>18953.678892581804</v>
      </c>
      <c r="K68" s="219">
        <v>1.5223381352184049E-2</v>
      </c>
    </row>
    <row r="69" spans="1:11" ht="15" customHeight="1" x14ac:dyDescent="0.25">
      <c r="A69" s="88" t="s">
        <v>303</v>
      </c>
      <c r="B69" s="116" t="str">
        <f>VLOOKUP(A69,'0 Järjestäjätiedot'!A:H,2,FALSE)</f>
        <v>Raahen Koulutuskuntayhtymä</v>
      </c>
      <c r="C69" s="223">
        <v>700</v>
      </c>
      <c r="D69" s="223">
        <v>462</v>
      </c>
      <c r="E69" s="224">
        <v>0.66</v>
      </c>
      <c r="F69" s="217"/>
      <c r="G69" s="218">
        <v>4.2803030303030303</v>
      </c>
      <c r="H69" s="218">
        <v>0.95991156426148894</v>
      </c>
      <c r="I69" s="223">
        <v>7910</v>
      </c>
      <c r="J69" s="223">
        <v>10112.440624999999</v>
      </c>
      <c r="K69" s="219">
        <v>8.1221983820748099E-3</v>
      </c>
    </row>
    <row r="70" spans="1:11" ht="15" customHeight="1" x14ac:dyDescent="0.25">
      <c r="A70" s="88" t="s">
        <v>296</v>
      </c>
      <c r="B70" s="116" t="str">
        <f>VLOOKUP(A70,'0 Järjestäjätiedot'!A:H,2,FALSE)</f>
        <v>Rovalan Setlementti ry</v>
      </c>
      <c r="C70" s="223">
        <v>52</v>
      </c>
      <c r="D70" s="223">
        <v>29</v>
      </c>
      <c r="E70" s="224">
        <v>0.55769230769230771</v>
      </c>
      <c r="F70" s="217"/>
      <c r="G70" s="218">
        <v>4.1551724137931032</v>
      </c>
      <c r="H70" s="218">
        <v>1.1110995507391757</v>
      </c>
      <c r="I70" s="223">
        <v>482</v>
      </c>
      <c r="J70" s="223">
        <v>616.88847540680467</v>
      </c>
      <c r="K70" s="219">
        <v>4.9547787350986256E-4</v>
      </c>
    </row>
    <row r="71" spans="1:11" ht="15" customHeight="1" x14ac:dyDescent="0.25">
      <c r="A71" s="88" t="s">
        <v>402</v>
      </c>
      <c r="B71" s="116" t="str">
        <f>VLOOKUP(A71,'0 Järjestäjätiedot'!A:H,2,FALSE)</f>
        <v>Ava-instituutin kannatusyhdistys ry</v>
      </c>
      <c r="C71" s="223">
        <v>171</v>
      </c>
      <c r="D71" s="223">
        <v>146</v>
      </c>
      <c r="E71" s="224">
        <v>0.85380116959064323</v>
      </c>
      <c r="F71" s="217"/>
      <c r="G71" s="218">
        <v>4.4794520547945202</v>
      </c>
      <c r="H71" s="218">
        <v>0.90825120297264728</v>
      </c>
      <c r="I71" s="223">
        <v>2616</v>
      </c>
      <c r="J71" s="223">
        <v>3063.9452054794519</v>
      </c>
      <c r="K71" s="219">
        <v>2.4609262702801854E-3</v>
      </c>
    </row>
    <row r="72" spans="1:11" ht="15" customHeight="1" x14ac:dyDescent="0.25">
      <c r="A72" s="88" t="s">
        <v>274</v>
      </c>
      <c r="B72" s="116" t="str">
        <f>VLOOKUP(A72,'0 Järjestäjätiedot'!A:H,2,FALSE)</f>
        <v>Tampereen kaupunki</v>
      </c>
      <c r="C72" s="223">
        <v>4771</v>
      </c>
      <c r="D72" s="223">
        <v>2703</v>
      </c>
      <c r="E72" s="224">
        <v>0.56654789352337032</v>
      </c>
      <c r="F72" s="217"/>
      <c r="G72" s="218">
        <v>4.2200620664476087</v>
      </c>
      <c r="H72" s="218">
        <v>1.0338568653607516</v>
      </c>
      <c r="I72" s="223">
        <v>45627.311062431545</v>
      </c>
      <c r="J72" s="223">
        <v>58420.102499858287</v>
      </c>
      <c r="K72" s="219">
        <v>4.6922368160257411E-2</v>
      </c>
    </row>
    <row r="73" spans="1:11" ht="15" customHeight="1" x14ac:dyDescent="0.25">
      <c r="A73" s="88" t="s">
        <v>316</v>
      </c>
      <c r="B73" s="116" t="str">
        <f>VLOOKUP(A73,'0 Järjestäjätiedot'!A:H,2,FALSE)</f>
        <v>Pohjois-Karjalan Koulutuskuntayhtymä</v>
      </c>
      <c r="C73" s="223">
        <v>2638</v>
      </c>
      <c r="D73" s="223">
        <v>1749</v>
      </c>
      <c r="E73" s="224">
        <v>0.66300227445034121</v>
      </c>
      <c r="F73" s="217"/>
      <c r="G73" s="218">
        <v>4.227739726027397</v>
      </c>
      <c r="H73" s="218">
        <v>0.96754757806482239</v>
      </c>
      <c r="I73" s="223">
        <v>29577.267123287671</v>
      </c>
      <c r="J73" s="223">
        <v>37804.154244180674</v>
      </c>
      <c r="K73" s="219">
        <v>3.036387078295363E-2</v>
      </c>
    </row>
    <row r="74" spans="1:11" ht="15" customHeight="1" x14ac:dyDescent="0.25">
      <c r="A74" s="88" t="s">
        <v>364</v>
      </c>
      <c r="B74" s="116" t="str">
        <f>VLOOKUP(A74,'0 Järjestäjätiedot'!A:H,2,FALSE)</f>
        <v>Kansan Sivistystyön Liitto KSL ry</v>
      </c>
      <c r="C74" s="223">
        <v>18</v>
      </c>
      <c r="D74" s="223">
        <v>15</v>
      </c>
      <c r="E74" s="224">
        <v>0.83333333333333337</v>
      </c>
      <c r="F74" s="217"/>
      <c r="G74" s="218">
        <v>4.8166666666666664</v>
      </c>
      <c r="H74" s="218">
        <v>0.4278499217664512</v>
      </c>
      <c r="I74" s="223">
        <v>289</v>
      </c>
      <c r="J74" s="223">
        <v>346.8</v>
      </c>
      <c r="K74" s="219">
        <v>2.7854585291110616E-4</v>
      </c>
    </row>
    <row r="75" spans="1:11" ht="15" customHeight="1" x14ac:dyDescent="0.25">
      <c r="A75" s="88" t="s">
        <v>338</v>
      </c>
      <c r="B75" s="116" t="str">
        <f>VLOOKUP(A75,'0 Järjestäjätiedot'!A:H,2,FALSE)</f>
        <v>Keski-Uudenmaan koulutuskuntayhtymä</v>
      </c>
      <c r="C75" s="223">
        <v>3791</v>
      </c>
      <c r="D75" s="223">
        <v>464</v>
      </c>
      <c r="E75" s="224">
        <v>0.12239514639936692</v>
      </c>
      <c r="F75" s="217"/>
      <c r="G75" s="218">
        <v>4.2914870689655169</v>
      </c>
      <c r="H75" s="218">
        <v>0.98022074167964712</v>
      </c>
      <c r="I75" s="223">
        <v>7965</v>
      </c>
      <c r="J75" s="223">
        <v>8785.7285581276119</v>
      </c>
      <c r="K75" s="219">
        <v>7.0565981968544354E-3</v>
      </c>
    </row>
    <row r="76" spans="1:11" ht="15" customHeight="1" x14ac:dyDescent="0.25">
      <c r="A76" s="88" t="s">
        <v>365</v>
      </c>
      <c r="B76" s="116" t="str">
        <f>VLOOKUP(A76,'0 Järjestäjätiedot'!A:H,2,FALSE)</f>
        <v>Kanneljärven Kansanopiston kannatusyhdistys r.y.</v>
      </c>
      <c r="C76" s="223">
        <v>66</v>
      </c>
      <c r="D76" s="223">
        <v>42</v>
      </c>
      <c r="E76" s="224">
        <v>0.63636363636363635</v>
      </c>
      <c r="F76" s="217"/>
      <c r="G76" s="218">
        <v>4.3273809523809526</v>
      </c>
      <c r="H76" s="218">
        <v>0.99700159889972828</v>
      </c>
      <c r="I76" s="223">
        <v>727</v>
      </c>
      <c r="J76" s="223">
        <v>930.71771694214874</v>
      </c>
      <c r="K76" s="219">
        <v>7.4754198467453365E-4</v>
      </c>
    </row>
    <row r="77" spans="1:11" ht="15" customHeight="1" x14ac:dyDescent="0.25">
      <c r="A77" s="88" t="s">
        <v>241</v>
      </c>
      <c r="B77" s="116" t="str">
        <f>VLOOKUP(A77,'0 Järjestäjätiedot'!A:H,2,FALSE)</f>
        <v>Ylä-Savon koulutuskuntayhtymä</v>
      </c>
      <c r="C77" s="223">
        <v>1089</v>
      </c>
      <c r="D77" s="223">
        <v>226</v>
      </c>
      <c r="E77" s="224">
        <v>0.20752984389348025</v>
      </c>
      <c r="F77" s="217"/>
      <c r="G77" s="218">
        <v>4.2522123893805306</v>
      </c>
      <c r="H77" s="218">
        <v>1.0350578065283873</v>
      </c>
      <c r="I77" s="223">
        <v>3844</v>
      </c>
      <c r="J77" s="223">
        <v>4462.5451771239404</v>
      </c>
      <c r="K77" s="219">
        <v>3.5842660107160643E-3</v>
      </c>
    </row>
    <row r="78" spans="1:11" ht="15" customHeight="1" x14ac:dyDescent="0.25">
      <c r="A78" s="88" t="s">
        <v>305</v>
      </c>
      <c r="B78" s="116" t="str">
        <f>VLOOKUP(A78,'0 Järjestäjätiedot'!A:H,2,FALSE)</f>
        <v>Pohjois-Savon Kansanopistoseura r.y.</v>
      </c>
      <c r="C78" s="223">
        <v>25</v>
      </c>
      <c r="D78" s="223">
        <v>24</v>
      </c>
      <c r="E78" s="224">
        <v>0.96</v>
      </c>
      <c r="F78" s="217"/>
      <c r="G78" s="218">
        <v>4.604166666666667</v>
      </c>
      <c r="H78" s="218">
        <v>0.58593171293438406</v>
      </c>
      <c r="I78" s="223">
        <v>442</v>
      </c>
      <c r="J78" s="223">
        <v>460.41666666666669</v>
      </c>
      <c r="K78" s="219">
        <v>3.6980147955927083E-4</v>
      </c>
    </row>
    <row r="79" spans="1:11" ht="15" customHeight="1" x14ac:dyDescent="0.25">
      <c r="A79" s="88" t="s">
        <v>367</v>
      </c>
      <c r="B79" s="116" t="str">
        <f>VLOOKUP(A79,'0 Järjestäjätiedot'!A:H,2,FALSE)</f>
        <v>Kajaanin kaupunki</v>
      </c>
      <c r="C79" s="223">
        <v>1792</v>
      </c>
      <c r="D79" s="223">
        <v>1104</v>
      </c>
      <c r="E79" s="224">
        <v>0.6160714285714286</v>
      </c>
      <c r="F79" s="217"/>
      <c r="G79" s="218">
        <v>4.2409420289855069</v>
      </c>
      <c r="H79" s="218">
        <v>1.0096497367118291</v>
      </c>
      <c r="I79" s="223">
        <v>18728</v>
      </c>
      <c r="J79" s="223">
        <v>23991.470882493624</v>
      </c>
      <c r="K79" s="219">
        <v>1.9269679122134242E-2</v>
      </c>
    </row>
    <row r="80" spans="1:11" ht="15" customHeight="1" x14ac:dyDescent="0.25">
      <c r="A80" s="88" t="s">
        <v>356</v>
      </c>
      <c r="B80" s="116" t="str">
        <f>VLOOKUP(A80,'0 Järjestäjätiedot'!A:H,2,FALSE)</f>
        <v>Kirkkopalvelut ry</v>
      </c>
      <c r="C80" s="223">
        <v>1243</v>
      </c>
      <c r="D80" s="223">
        <v>460</v>
      </c>
      <c r="E80" s="224">
        <v>0.37007240547063558</v>
      </c>
      <c r="F80" s="217"/>
      <c r="G80" s="218">
        <v>4.2880434782608692</v>
      </c>
      <c r="H80" s="218">
        <v>0.96890148367425044</v>
      </c>
      <c r="I80" s="223">
        <v>7890</v>
      </c>
      <c r="J80" s="223">
        <v>9783.1888648838976</v>
      </c>
      <c r="K80" s="219">
        <v>7.8577470777379515E-3</v>
      </c>
    </row>
    <row r="81" spans="1:11" ht="15" customHeight="1" x14ac:dyDescent="0.25">
      <c r="A81" s="88" t="s">
        <v>300</v>
      </c>
      <c r="B81" s="116" t="str">
        <f>VLOOKUP(A81,'0 Järjestäjätiedot'!A:H,2,FALSE)</f>
        <v>Rakennusteollisuus RT ry</v>
      </c>
      <c r="C81" s="223">
        <v>104</v>
      </c>
      <c r="D81" s="223">
        <v>67</v>
      </c>
      <c r="E81" s="224">
        <v>0.64423076923076927</v>
      </c>
      <c r="F81" s="217"/>
      <c r="G81" s="218">
        <v>3.6194029850746268</v>
      </c>
      <c r="H81" s="218">
        <v>1.2416573909130495</v>
      </c>
      <c r="I81" s="223">
        <v>970</v>
      </c>
      <c r="J81" s="223">
        <v>1241.3299452200442</v>
      </c>
      <c r="K81" s="219">
        <v>9.9702222703406534E-4</v>
      </c>
    </row>
    <row r="82" spans="1:11" ht="15" customHeight="1" x14ac:dyDescent="0.25">
      <c r="A82" s="88" t="s">
        <v>327</v>
      </c>
      <c r="B82" s="116" t="str">
        <f>VLOOKUP(A82,'0 Järjestäjätiedot'!A:H,2,FALSE)</f>
        <v>Maalariammattikoulun kannatusyhdistys r.y.</v>
      </c>
      <c r="C82" s="223">
        <v>115</v>
      </c>
      <c r="D82" s="223">
        <v>66</v>
      </c>
      <c r="E82" s="224">
        <v>0.57391304347826089</v>
      </c>
      <c r="F82" s="217"/>
      <c r="G82" s="218">
        <v>4.4520547945205475</v>
      </c>
      <c r="H82" s="218">
        <v>0.81578764176078178</v>
      </c>
      <c r="I82" s="223">
        <v>1175.3424657534247</v>
      </c>
      <c r="J82" s="223">
        <v>1505.2826475386489</v>
      </c>
      <c r="K82" s="219">
        <v>1.2090260638147085E-3</v>
      </c>
    </row>
    <row r="83" spans="1:11" ht="15" customHeight="1" x14ac:dyDescent="0.25">
      <c r="A83" s="88" t="s">
        <v>372</v>
      </c>
      <c r="B83" s="116" t="str">
        <f>VLOOKUP(A83,'0 Järjestäjätiedot'!A:H,2,FALSE)</f>
        <v>Joensuun kaupunki</v>
      </c>
      <c r="C83" s="223">
        <v>26</v>
      </c>
      <c r="D83" s="223">
        <v>19</v>
      </c>
      <c r="E83" s="224">
        <v>0.73076923076923073</v>
      </c>
      <c r="F83" s="217"/>
      <c r="G83" s="218">
        <v>4</v>
      </c>
      <c r="H83" s="218">
        <v>1.0513149660756933</v>
      </c>
      <c r="I83" s="223">
        <v>304</v>
      </c>
      <c r="J83" s="223">
        <v>385.43860946745559</v>
      </c>
      <c r="K83" s="219">
        <v>3.0957994872832516E-4</v>
      </c>
    </row>
    <row r="84" spans="1:11" ht="15" customHeight="1" x14ac:dyDescent="0.25">
      <c r="A84" s="88" t="s">
        <v>263</v>
      </c>
      <c r="B84" s="116" t="str">
        <f>VLOOKUP(A84,'0 Järjestäjätiedot'!A:H,2,FALSE)</f>
        <v>Turun Ammattiopistosäätiö sr</v>
      </c>
      <c r="C84" s="223">
        <v>178</v>
      </c>
      <c r="D84" s="223">
        <v>125</v>
      </c>
      <c r="E84" s="224">
        <v>0.702247191011236</v>
      </c>
      <c r="F84" s="217"/>
      <c r="G84" s="218">
        <v>4.0579999999999998</v>
      </c>
      <c r="H84" s="218">
        <v>1.1111417551329812</v>
      </c>
      <c r="I84" s="223">
        <v>2029</v>
      </c>
      <c r="J84" s="223">
        <v>2583.0842528957837</v>
      </c>
      <c r="K84" s="219">
        <v>2.0747041706000676E-3</v>
      </c>
    </row>
    <row r="85" spans="1:11" ht="15" customHeight="1" x14ac:dyDescent="0.25">
      <c r="A85" s="88" t="s">
        <v>306</v>
      </c>
      <c r="B85" s="116" t="str">
        <f>VLOOKUP(A85,'0 Järjestäjätiedot'!A:H,2,FALSE)</f>
        <v>Pohjois-Satakunnan Kansanopiston kannatusyhdistys r.y.</v>
      </c>
      <c r="C85" s="223">
        <v>169</v>
      </c>
      <c r="D85" s="223">
        <v>93</v>
      </c>
      <c r="E85" s="224">
        <v>0.55029585798816572</v>
      </c>
      <c r="F85" s="217"/>
      <c r="G85" s="218">
        <v>4.2792553191489358</v>
      </c>
      <c r="H85" s="218">
        <v>0.96436258229531235</v>
      </c>
      <c r="I85" s="223">
        <v>1591.8829787234042</v>
      </c>
      <c r="J85" s="223">
        <v>2036.5276058191425</v>
      </c>
      <c r="K85" s="219">
        <v>1.6357160292384833E-3</v>
      </c>
    </row>
    <row r="86" spans="1:11" ht="15" customHeight="1" x14ac:dyDescent="0.25">
      <c r="A86" s="88" t="s">
        <v>314</v>
      </c>
      <c r="B86" s="116" t="str">
        <f>VLOOKUP(A86,'0 Järjestäjätiedot'!A:H,2,FALSE)</f>
        <v>Paasikiviopistoyhdistys r.y.</v>
      </c>
      <c r="C86" s="223">
        <v>46</v>
      </c>
      <c r="D86" s="223">
        <v>38</v>
      </c>
      <c r="E86" s="224">
        <v>0.82608695652173914</v>
      </c>
      <c r="F86" s="217"/>
      <c r="G86" s="218">
        <v>4.5460526315789478</v>
      </c>
      <c r="H86" s="218">
        <v>0.84944885993858699</v>
      </c>
      <c r="I86" s="223">
        <v>691</v>
      </c>
      <c r="J86" s="223">
        <v>836.47368421052636</v>
      </c>
      <c r="K86" s="219">
        <v>6.7184623934866299E-4</v>
      </c>
    </row>
    <row r="87" spans="1:11" ht="15" customHeight="1" x14ac:dyDescent="0.25">
      <c r="A87" s="88" t="s">
        <v>398</v>
      </c>
      <c r="B87" s="116" t="str">
        <f>VLOOKUP(A87,'0 Järjestäjätiedot'!A:H,2,FALSE)</f>
        <v>Espoon seudun koulutuskuntayhtymä Omnia</v>
      </c>
      <c r="C87" s="223">
        <v>4269</v>
      </c>
      <c r="D87" s="223">
        <v>2192</v>
      </c>
      <c r="E87" s="224">
        <v>0.51346919653314593</v>
      </c>
      <c r="F87" s="217"/>
      <c r="G87" s="218">
        <v>4.078353102189781</v>
      </c>
      <c r="H87" s="218">
        <v>1.0981264848726198</v>
      </c>
      <c r="I87" s="223">
        <v>35759</v>
      </c>
      <c r="J87" s="223">
        <v>45607.04033485728</v>
      </c>
      <c r="K87" s="219">
        <v>3.6631060982768283E-2</v>
      </c>
    </row>
    <row r="88" spans="1:11" ht="15" customHeight="1" x14ac:dyDescent="0.25">
      <c r="A88" s="88" t="s">
        <v>362</v>
      </c>
      <c r="B88" s="116" t="str">
        <f>VLOOKUP(A88,'0 Järjestäjätiedot'!A:H,2,FALSE)</f>
        <v>Kauppiaitten Kauppaoppilaitos Oy</v>
      </c>
      <c r="C88" s="223">
        <v>492</v>
      </c>
      <c r="D88" s="223">
        <v>411</v>
      </c>
      <c r="E88" s="224">
        <v>0.83536585365853655</v>
      </c>
      <c r="F88" s="217"/>
      <c r="G88" s="218">
        <v>4.2299270072992705</v>
      </c>
      <c r="H88" s="218">
        <v>0.99911383827136968</v>
      </c>
      <c r="I88" s="223">
        <v>6954</v>
      </c>
      <c r="J88" s="223">
        <v>8324.4963503649633</v>
      </c>
      <c r="K88" s="219">
        <v>6.6861416838748522E-3</v>
      </c>
    </row>
    <row r="89" spans="1:11" ht="15" customHeight="1" x14ac:dyDescent="0.25">
      <c r="A89" s="88" t="s">
        <v>351</v>
      </c>
      <c r="B89" s="116" t="str">
        <f>VLOOKUP(A89,'0 Järjestäjätiedot'!A:H,2,FALSE)</f>
        <v>Korpisaaren Säätiö sr</v>
      </c>
      <c r="C89" s="223">
        <v>68</v>
      </c>
      <c r="D89" s="223">
        <v>62</v>
      </c>
      <c r="E89" s="224">
        <v>0.91176470588235292</v>
      </c>
      <c r="F89" s="217"/>
      <c r="G89" s="218">
        <v>4.375</v>
      </c>
      <c r="H89" s="218">
        <v>0.90724014319217372</v>
      </c>
      <c r="I89" s="223">
        <v>1085</v>
      </c>
      <c r="J89" s="223">
        <v>1190</v>
      </c>
      <c r="K89" s="219">
        <v>9.5579459332242303E-4</v>
      </c>
    </row>
    <row r="90" spans="1:11" ht="15" customHeight="1" x14ac:dyDescent="0.25">
      <c r="A90" s="88" t="s">
        <v>333</v>
      </c>
      <c r="B90" s="116" t="str">
        <f>VLOOKUP(A90,'0 Järjestäjätiedot'!A:H,2,FALSE)</f>
        <v>Lounais-Hämeen koulutuskuntayhtymä</v>
      </c>
      <c r="C90" s="223">
        <v>845</v>
      </c>
      <c r="D90" s="223">
        <v>463</v>
      </c>
      <c r="E90" s="224">
        <v>0.54792899408284024</v>
      </c>
      <c r="F90" s="217"/>
      <c r="G90" s="218">
        <v>4.1387096774193548</v>
      </c>
      <c r="H90" s="218">
        <v>1.0876167353551647</v>
      </c>
      <c r="I90" s="223">
        <v>7664.8903225806453</v>
      </c>
      <c r="J90" s="223">
        <v>9804.404394287385</v>
      </c>
      <c r="K90" s="219">
        <v>7.8747871519382253E-3</v>
      </c>
    </row>
    <row r="91" spans="1:11" ht="15" customHeight="1" x14ac:dyDescent="0.25">
      <c r="A91" s="88" t="s">
        <v>280</v>
      </c>
      <c r="B91" s="116" t="str">
        <f>VLOOKUP(A91,'0 Järjestäjätiedot'!A:H,2,FALSE)</f>
        <v>Suomen ympäristöopisto SYKLI Oy</v>
      </c>
      <c r="C91" s="223">
        <v>179</v>
      </c>
      <c r="D91" s="223">
        <v>112</v>
      </c>
      <c r="E91" s="224">
        <v>0.62569832402234637</v>
      </c>
      <c r="F91" s="217"/>
      <c r="G91" s="218">
        <v>4.1629464285714288</v>
      </c>
      <c r="H91" s="218">
        <v>1.0276369724421663</v>
      </c>
      <c r="I91" s="223">
        <v>1865</v>
      </c>
      <c r="J91" s="223">
        <v>2388.5690209419181</v>
      </c>
      <c r="K91" s="219">
        <v>1.918471727725814E-3</v>
      </c>
    </row>
    <row r="92" spans="1:11" ht="15" customHeight="1" x14ac:dyDescent="0.25">
      <c r="A92" s="88" t="s">
        <v>358</v>
      </c>
      <c r="B92" s="116" t="str">
        <f>VLOOKUP(A92,'0 Järjestäjätiedot'!A:H,2,FALSE)</f>
        <v>Kiinteistöalan Koulutussäätiö sr</v>
      </c>
      <c r="C92" s="223">
        <v>117</v>
      </c>
      <c r="D92" s="223">
        <v>55</v>
      </c>
      <c r="E92" s="224">
        <v>0.47008547008547008</v>
      </c>
      <c r="F92" s="217"/>
      <c r="G92" s="218">
        <v>4.4090909090909092</v>
      </c>
      <c r="H92" s="218">
        <v>0.88723733163377871</v>
      </c>
      <c r="I92" s="223">
        <v>970</v>
      </c>
      <c r="J92" s="223">
        <v>1230.0223034918547</v>
      </c>
      <c r="K92" s="219">
        <v>9.8794005659118256E-4</v>
      </c>
    </row>
    <row r="93" spans="1:11" ht="15" customHeight="1" x14ac:dyDescent="0.25">
      <c r="A93" s="88" t="s">
        <v>319</v>
      </c>
      <c r="B93" s="116" t="str">
        <f>VLOOKUP(A93,'0 Järjestäjätiedot'!A:H,2,FALSE)</f>
        <v>Optima samkommun</v>
      </c>
      <c r="C93" s="223">
        <v>511</v>
      </c>
      <c r="D93" s="223">
        <v>397</v>
      </c>
      <c r="E93" s="224">
        <v>0.77690802348336596</v>
      </c>
      <c r="F93" s="217"/>
      <c r="G93" s="218">
        <v>4.0705289672544085</v>
      </c>
      <c r="H93" s="218">
        <v>1.0793752145083286</v>
      </c>
      <c r="I93" s="223">
        <v>6464</v>
      </c>
      <c r="J93" s="223">
        <v>8123.9529336974065</v>
      </c>
      <c r="K93" s="219">
        <v>6.5250674709527879E-3</v>
      </c>
    </row>
    <row r="94" spans="1:11" ht="15" customHeight="1" x14ac:dyDescent="0.25">
      <c r="A94" s="88" t="s">
        <v>311</v>
      </c>
      <c r="B94" s="116" t="str">
        <f>VLOOKUP(A94,'0 Järjestäjätiedot'!A:H,2,FALSE)</f>
        <v>Peimarin koulutuskuntayhtymä</v>
      </c>
      <c r="C94" s="223">
        <v>405</v>
      </c>
      <c r="D94" s="223">
        <v>325</v>
      </c>
      <c r="E94" s="224">
        <v>0.80246913580246915</v>
      </c>
      <c r="F94" s="217"/>
      <c r="G94" s="218">
        <v>4.2</v>
      </c>
      <c r="H94" s="218">
        <v>1.0593022288852276</v>
      </c>
      <c r="I94" s="223">
        <v>5460</v>
      </c>
      <c r="J94" s="223">
        <v>6804</v>
      </c>
      <c r="K94" s="219">
        <v>5.464896145349383E-3</v>
      </c>
    </row>
    <row r="95" spans="1:11" ht="15" customHeight="1" x14ac:dyDescent="0.25">
      <c r="A95" s="88" t="s">
        <v>304</v>
      </c>
      <c r="B95" s="116" t="str">
        <f>VLOOKUP(A95,'0 Järjestäjätiedot'!A:H,2,FALSE)</f>
        <v>Pohjois-Suomen Koulutuskeskussäätiö sr</v>
      </c>
      <c r="C95" s="223">
        <v>351</v>
      </c>
      <c r="D95" s="223">
        <v>197</v>
      </c>
      <c r="E95" s="224">
        <v>0.56125356125356129</v>
      </c>
      <c r="F95" s="217"/>
      <c r="G95" s="218">
        <v>4.2561881188118811</v>
      </c>
      <c r="H95" s="218">
        <v>0.95308842652176384</v>
      </c>
      <c r="I95" s="223">
        <v>3353.8762376237623</v>
      </c>
      <c r="J95" s="223">
        <v>4293.2202347911443</v>
      </c>
      <c r="K95" s="219">
        <v>3.4482661246687386E-3</v>
      </c>
    </row>
    <row r="96" spans="1:11" ht="15" customHeight="1" x14ac:dyDescent="0.25">
      <c r="A96" s="88" t="s">
        <v>342</v>
      </c>
      <c r="B96" s="116" t="str">
        <f>VLOOKUP(A96,'0 Järjestäjätiedot'!A:H,2,FALSE)</f>
        <v>KSAK Oy</v>
      </c>
      <c r="C96" s="223">
        <v>123</v>
      </c>
      <c r="D96" s="223">
        <v>57</v>
      </c>
      <c r="E96" s="224">
        <v>0.46341463414634149</v>
      </c>
      <c r="F96" s="217"/>
      <c r="G96" s="218">
        <v>4.3201754385964914</v>
      </c>
      <c r="H96" s="218">
        <v>0.99918210627592752</v>
      </c>
      <c r="I96" s="223">
        <v>985</v>
      </c>
      <c r="J96" s="223">
        <v>1247.6752119274242</v>
      </c>
      <c r="K96" s="219">
        <v>1.0021186737669246E-3</v>
      </c>
    </row>
    <row r="97" spans="1:11" ht="15" customHeight="1" x14ac:dyDescent="0.25">
      <c r="A97" s="88" t="s">
        <v>328</v>
      </c>
      <c r="B97" s="116" t="str">
        <f>VLOOKUP(A97,'0 Järjestäjätiedot'!A:H,2,FALSE)</f>
        <v>TYA-oppilaitos Oy</v>
      </c>
      <c r="C97" s="223">
        <v>29</v>
      </c>
      <c r="D97" s="223">
        <v>4</v>
      </c>
      <c r="E97" s="224">
        <v>0.13793103448275862</v>
      </c>
      <c r="F97" s="217"/>
      <c r="G97" s="218">
        <v>2.875</v>
      </c>
      <c r="H97" s="218">
        <v>1.4523687548277813</v>
      </c>
      <c r="I97" s="223">
        <v>46</v>
      </c>
      <c r="J97" s="223">
        <v>51.264565992865634</v>
      </c>
      <c r="K97" s="219">
        <v>4.1175121852942455E-5</v>
      </c>
    </row>
    <row r="98" spans="1:11" ht="15" customHeight="1" x14ac:dyDescent="0.25">
      <c r="A98" s="88" t="s">
        <v>313</v>
      </c>
      <c r="B98" s="116" t="str">
        <f>VLOOKUP(A98,'0 Järjestäjätiedot'!A:H,2,FALSE)</f>
        <v>Palkansaajien koulutussäätiö sr</v>
      </c>
      <c r="C98" s="223">
        <v>86</v>
      </c>
      <c r="D98" s="223">
        <v>57</v>
      </c>
      <c r="E98" s="224">
        <v>0.66279069767441856</v>
      </c>
      <c r="F98" s="217"/>
      <c r="G98" s="218">
        <v>4.4726027397260273</v>
      </c>
      <c r="H98" s="218">
        <v>0.79117742567429505</v>
      </c>
      <c r="I98" s="223">
        <v>1019.7534246575343</v>
      </c>
      <c r="J98" s="223">
        <v>1303.4180183244182</v>
      </c>
      <c r="K98" s="219">
        <v>1.0468906678600888E-3</v>
      </c>
    </row>
    <row r="99" spans="1:11" ht="15" customHeight="1" x14ac:dyDescent="0.25">
      <c r="A99" s="88" t="s">
        <v>308</v>
      </c>
      <c r="B99" s="116" t="str">
        <f>VLOOKUP(A99,'0 Järjestäjätiedot'!A:H,2,FALSE)</f>
        <v>Pop &amp; Jazz Konservatorion Säätiö sr</v>
      </c>
      <c r="C99" s="223">
        <v>57</v>
      </c>
      <c r="D99" s="223">
        <v>53</v>
      </c>
      <c r="E99" s="224">
        <v>0.92982456140350878</v>
      </c>
      <c r="F99" s="217"/>
      <c r="G99" s="218">
        <v>4.6556603773584904</v>
      </c>
      <c r="H99" s="218">
        <v>0.64377720696187479</v>
      </c>
      <c r="I99" s="223">
        <v>987</v>
      </c>
      <c r="J99" s="223">
        <v>1061.4905660377358</v>
      </c>
      <c r="K99" s="219">
        <v>8.5257726376607244E-4</v>
      </c>
    </row>
    <row r="100" spans="1:11" ht="15" customHeight="1" x14ac:dyDescent="0.25">
      <c r="A100" s="88" t="s">
        <v>261</v>
      </c>
      <c r="B100" s="116" t="str">
        <f>VLOOKUP(A100,'0 Järjestäjätiedot'!A:H,2,FALSE)</f>
        <v>Turun kristillisen opiston säätiö sr</v>
      </c>
      <c r="C100" s="223">
        <v>138</v>
      </c>
      <c r="D100" s="223">
        <v>103</v>
      </c>
      <c r="E100" s="224">
        <v>0.74637681159420288</v>
      </c>
      <c r="F100" s="217"/>
      <c r="G100" s="218">
        <v>4.5703883495145634</v>
      </c>
      <c r="H100" s="218">
        <v>0.76157529933900192</v>
      </c>
      <c r="I100" s="223">
        <v>1883</v>
      </c>
      <c r="J100" s="223">
        <v>2381.0738437959462</v>
      </c>
      <c r="K100" s="219">
        <v>1.9124516858837015E-3</v>
      </c>
    </row>
    <row r="101" spans="1:11" ht="15" customHeight="1" x14ac:dyDescent="0.25">
      <c r="A101" s="88" t="s">
        <v>383</v>
      </c>
      <c r="B101" s="116" t="str">
        <f>VLOOKUP(A101,'0 Järjestäjätiedot'!A:H,2,FALSE)</f>
        <v>Hevosopisto Oy</v>
      </c>
      <c r="C101" s="223">
        <v>277</v>
      </c>
      <c r="D101" s="223">
        <v>71</v>
      </c>
      <c r="E101" s="224">
        <v>0.2563176895306859</v>
      </c>
      <c r="F101" s="217"/>
      <c r="G101" s="218">
        <v>3.1690140845070425</v>
      </c>
      <c r="H101" s="218">
        <v>1.3736546862238426</v>
      </c>
      <c r="I101" s="223">
        <v>900</v>
      </c>
      <c r="J101" s="223">
        <v>1070.073611346427</v>
      </c>
      <c r="K101" s="219">
        <v>8.594710690604325E-4</v>
      </c>
    </row>
    <row r="102" spans="1:11" ht="15" customHeight="1" x14ac:dyDescent="0.25">
      <c r="A102" s="88" t="s">
        <v>373</v>
      </c>
      <c r="B102" s="116" t="str">
        <f>VLOOKUP(A102,'0 Järjestäjätiedot'!A:H,2,FALSE)</f>
        <v>Jyväskylän Talouskouluyhdistys r.y.</v>
      </c>
      <c r="C102" s="223">
        <v>68</v>
      </c>
      <c r="D102" s="223">
        <v>55</v>
      </c>
      <c r="E102" s="224">
        <v>0.80882352941176472</v>
      </c>
      <c r="F102" s="217"/>
      <c r="G102" s="218">
        <v>4.7727272727272725</v>
      </c>
      <c r="H102" s="218">
        <v>0.64185938574923274</v>
      </c>
      <c r="I102" s="223">
        <v>1050</v>
      </c>
      <c r="J102" s="223">
        <v>1298.1818181818182</v>
      </c>
      <c r="K102" s="219">
        <v>1.0426850108971888E-3</v>
      </c>
    </row>
    <row r="103" spans="1:11" ht="15" customHeight="1" x14ac:dyDescent="0.25">
      <c r="A103" s="88" t="s">
        <v>295</v>
      </c>
      <c r="B103" s="116" t="str">
        <f>VLOOKUP(A103,'0 Järjestäjätiedot'!A:H,2,FALSE)</f>
        <v>Rovaniemen Koulutuskuntayhtymä</v>
      </c>
      <c r="C103" s="223">
        <v>1624</v>
      </c>
      <c r="D103" s="223">
        <v>1016</v>
      </c>
      <c r="E103" s="224">
        <v>0.62561576354679804</v>
      </c>
      <c r="F103" s="217"/>
      <c r="G103" s="218">
        <v>4.1513287401574805</v>
      </c>
      <c r="H103" s="218">
        <v>1.0548366324051148</v>
      </c>
      <c r="I103" s="223">
        <v>16871</v>
      </c>
      <c r="J103" s="223">
        <v>21607.320156852875</v>
      </c>
      <c r="K103" s="219">
        <v>1.7354756119417298E-2</v>
      </c>
    </row>
    <row r="104" spans="1:11" ht="15" customHeight="1" x14ac:dyDescent="0.25">
      <c r="A104" s="88" t="s">
        <v>278</v>
      </c>
      <c r="B104" s="116" t="str">
        <f>VLOOKUP(A104,'0 Järjestäjätiedot'!A:H,2,FALSE)</f>
        <v>Suupohjan Koulutuskuntayhtymä</v>
      </c>
      <c r="C104" s="223">
        <v>149</v>
      </c>
      <c r="D104" s="223">
        <v>131</v>
      </c>
      <c r="E104" s="224">
        <v>0.87919463087248317</v>
      </c>
      <c r="F104" s="217"/>
      <c r="G104" s="218">
        <v>3.9446564885496183</v>
      </c>
      <c r="H104" s="218">
        <v>1.1503360263866111</v>
      </c>
      <c r="I104" s="223">
        <v>2067</v>
      </c>
      <c r="J104" s="223">
        <v>2351.0152671755727</v>
      </c>
      <c r="K104" s="219">
        <v>1.888308975785617E-3</v>
      </c>
    </row>
    <row r="105" spans="1:11" ht="15" customHeight="1" x14ac:dyDescent="0.25">
      <c r="A105" s="88" t="s">
        <v>276</v>
      </c>
      <c r="B105" s="116" t="str">
        <f>VLOOKUP(A105,'0 Järjestäjätiedot'!A:H,2,FALSE)</f>
        <v>Svenska Österbottens förbund för Utbildning och Kultur</v>
      </c>
      <c r="C105" s="223">
        <v>910</v>
      </c>
      <c r="D105" s="223">
        <v>534</v>
      </c>
      <c r="E105" s="224">
        <v>0.58681318681318684</v>
      </c>
      <c r="F105" s="217"/>
      <c r="G105" s="218">
        <v>4.2691947565543069</v>
      </c>
      <c r="H105" s="218">
        <v>0.96769277879387638</v>
      </c>
      <c r="I105" s="223">
        <v>9119</v>
      </c>
      <c r="J105" s="223">
        <v>11682.479905053737</v>
      </c>
      <c r="K105" s="219">
        <v>9.3832362435699278E-3</v>
      </c>
    </row>
    <row r="106" spans="1:11" ht="15" customHeight="1" x14ac:dyDescent="0.25">
      <c r="A106" s="88" t="s">
        <v>317</v>
      </c>
      <c r="B106" s="116" t="str">
        <f>VLOOKUP(A106,'0 Järjestäjätiedot'!A:H,2,FALSE)</f>
        <v>Oulun seudun koulutuskuntayhtymä (OSEKK)</v>
      </c>
      <c r="C106" s="223">
        <v>4189</v>
      </c>
      <c r="D106" s="223">
        <v>3245</v>
      </c>
      <c r="E106" s="224">
        <v>0.77464788732394363</v>
      </c>
      <c r="F106" s="217"/>
      <c r="G106" s="218">
        <v>4.2669491525423728</v>
      </c>
      <c r="H106" s="218">
        <v>1.0184742352315848</v>
      </c>
      <c r="I106" s="223">
        <v>55385</v>
      </c>
      <c r="J106" s="223">
        <v>69642.229003421933</v>
      </c>
      <c r="K106" s="219">
        <v>5.5935853738145143E-2</v>
      </c>
    </row>
    <row r="107" spans="1:11" ht="15" customHeight="1" x14ac:dyDescent="0.25">
      <c r="A107" s="88" t="s">
        <v>349</v>
      </c>
      <c r="B107" s="116" t="str">
        <f>VLOOKUP(A107,'0 Järjestäjätiedot'!A:H,2,FALSE)</f>
        <v>Koulutuskeskus Salpaus -kuntayhtymä</v>
      </c>
      <c r="C107" s="223">
        <v>3492</v>
      </c>
      <c r="D107" s="223">
        <v>965</v>
      </c>
      <c r="E107" s="224">
        <v>0.27634593356242843</v>
      </c>
      <c r="F107" s="217"/>
      <c r="G107" s="218">
        <v>3.9015544041450778</v>
      </c>
      <c r="H107" s="218">
        <v>1.1806504172116095</v>
      </c>
      <c r="I107" s="223">
        <v>15060</v>
      </c>
      <c r="J107" s="223">
        <v>18063.152782728957</v>
      </c>
      <c r="K107" s="219">
        <v>1.4508120813520351E-2</v>
      </c>
    </row>
    <row r="108" spans="1:11" ht="15" customHeight="1" x14ac:dyDescent="0.25">
      <c r="A108" s="88" t="s">
        <v>288</v>
      </c>
      <c r="B108" s="116" t="str">
        <f>VLOOKUP(A108,'0 Järjestäjätiedot'!A:H,2,FALSE)</f>
        <v>Seinäjoen koulutuskuntayhtymä</v>
      </c>
      <c r="C108" s="223">
        <v>1873</v>
      </c>
      <c r="D108" s="223">
        <v>1608</v>
      </c>
      <c r="E108" s="224">
        <v>0.8585157501334757</v>
      </c>
      <c r="F108" s="217"/>
      <c r="G108" s="218">
        <v>4.2641480099502491</v>
      </c>
      <c r="H108" s="218">
        <v>0.99768174467872861</v>
      </c>
      <c r="I108" s="223">
        <v>27427</v>
      </c>
      <c r="J108" s="223">
        <v>31946.996890547263</v>
      </c>
      <c r="K108" s="219">
        <v>2.5659467983927171E-2</v>
      </c>
    </row>
    <row r="109" spans="1:11" ht="15" customHeight="1" x14ac:dyDescent="0.25">
      <c r="A109" s="88" t="s">
        <v>397</v>
      </c>
      <c r="B109" s="116" t="str">
        <f>VLOOKUP(A109,'0 Järjestäjätiedot'!A:H,2,FALSE)</f>
        <v>Etelä-Karjalan Koulutuskuntayhtymä</v>
      </c>
      <c r="C109" s="223">
        <v>1675</v>
      </c>
      <c r="D109" s="223">
        <v>1419</v>
      </c>
      <c r="E109" s="224">
        <v>0.84716417910447761</v>
      </c>
      <c r="F109" s="217"/>
      <c r="G109" s="218">
        <v>4.1275546159267087</v>
      </c>
      <c r="H109" s="218">
        <v>1.0586775609005721</v>
      </c>
      <c r="I109" s="223">
        <v>23428</v>
      </c>
      <c r="J109" s="223">
        <v>27654.615926708946</v>
      </c>
      <c r="K109" s="219">
        <v>2.221187595223242E-2</v>
      </c>
    </row>
    <row r="110" spans="1:11" ht="15" customHeight="1" x14ac:dyDescent="0.25">
      <c r="A110" s="88" t="s">
        <v>251</v>
      </c>
      <c r="B110" s="116" t="str">
        <f>VLOOKUP(A110,'0 Järjestäjätiedot'!A:H,2,FALSE)</f>
        <v>Valtakunnallinen valmennus- ja liikuntakeskus Oy</v>
      </c>
      <c r="C110" s="223">
        <v>94</v>
      </c>
      <c r="D110" s="223">
        <v>62</v>
      </c>
      <c r="E110" s="224">
        <v>0.65957446808510634</v>
      </c>
      <c r="F110" s="217"/>
      <c r="G110" s="218">
        <v>4.286290322580645</v>
      </c>
      <c r="H110" s="218">
        <v>0.82470274971665802</v>
      </c>
      <c r="I110" s="223">
        <v>1063</v>
      </c>
      <c r="J110" s="223">
        <v>1359.0213190357629</v>
      </c>
      <c r="K110" s="219">
        <v>1.0915506125582267E-3</v>
      </c>
    </row>
    <row r="111" spans="1:11" ht="15" customHeight="1" x14ac:dyDescent="0.25">
      <c r="A111" s="88" t="s">
        <v>388</v>
      </c>
      <c r="B111" s="116" t="str">
        <f>VLOOKUP(A111,'0 Järjestäjätiedot'!A:H,2,FALSE)</f>
        <v>Harjun Oppimiskeskus Oy</v>
      </c>
      <c r="C111" s="223">
        <v>96</v>
      </c>
      <c r="D111" s="223">
        <v>91</v>
      </c>
      <c r="E111" s="224">
        <v>0.94791666666666663</v>
      </c>
      <c r="F111" s="217"/>
      <c r="G111" s="218">
        <v>4.5961538461538458</v>
      </c>
      <c r="H111" s="218">
        <v>0.7873216096302097</v>
      </c>
      <c r="I111" s="223">
        <v>1673</v>
      </c>
      <c r="J111" s="223">
        <v>1764.9230769230769</v>
      </c>
      <c r="K111" s="219">
        <v>1.4175663315571863E-3</v>
      </c>
    </row>
    <row r="112" spans="1:11" ht="15" customHeight="1" x14ac:dyDescent="0.25">
      <c r="A112" s="88" t="s">
        <v>267</v>
      </c>
      <c r="B112" s="116" t="str">
        <f>VLOOKUP(A112,'0 Järjestäjätiedot'!A:H,2,FALSE)</f>
        <v>Traffica Oy</v>
      </c>
      <c r="C112" s="223">
        <v>57</v>
      </c>
      <c r="D112" s="223">
        <v>46</v>
      </c>
      <c r="E112" s="224">
        <v>0.80701754385964908</v>
      </c>
      <c r="F112" s="217"/>
      <c r="G112" s="218">
        <v>4.5978260869565215</v>
      </c>
      <c r="H112" s="218">
        <v>0.6603652251775689</v>
      </c>
      <c r="I112" s="223">
        <v>846</v>
      </c>
      <c r="J112" s="223">
        <v>1048.304347826087</v>
      </c>
      <c r="K112" s="219">
        <v>8.4198624185593499E-4</v>
      </c>
    </row>
    <row r="113" spans="1:11" ht="15" customHeight="1" x14ac:dyDescent="0.25">
      <c r="A113" s="88" t="s">
        <v>374</v>
      </c>
      <c r="B113" s="116" t="str">
        <f>VLOOKUP(A113,'0 Järjestäjätiedot'!A:H,2,FALSE)</f>
        <v>Jyväskylän kristillisen opiston säätiö sr</v>
      </c>
      <c r="C113" s="223">
        <v>167</v>
      </c>
      <c r="D113" s="223">
        <v>104</v>
      </c>
      <c r="E113" s="224">
        <v>0.6227544910179641</v>
      </c>
      <c r="F113" s="217"/>
      <c r="G113" s="218">
        <v>4.3293269230769234</v>
      </c>
      <c r="H113" s="218">
        <v>0.90654963420385648</v>
      </c>
      <c r="I113" s="223">
        <v>1801</v>
      </c>
      <c r="J113" s="223">
        <v>2306.8027358456739</v>
      </c>
      <c r="K113" s="219">
        <v>1.8527979687249316E-3</v>
      </c>
    </row>
    <row r="114" spans="1:11" ht="15" customHeight="1" x14ac:dyDescent="0.25">
      <c r="A114" s="88" t="s">
        <v>370</v>
      </c>
      <c r="B114" s="116" t="str">
        <f>VLOOKUP(A114,'0 Järjestäjätiedot'!A:H,2,FALSE)</f>
        <v>Jollas-Opisto Oy</v>
      </c>
      <c r="C114" s="223">
        <v>173</v>
      </c>
      <c r="D114" s="223">
        <v>122</v>
      </c>
      <c r="E114" s="224">
        <v>0.7052023121387283</v>
      </c>
      <c r="F114" s="217"/>
      <c r="G114" s="218">
        <v>4.3032786885245899</v>
      </c>
      <c r="H114" s="218">
        <v>0.93114898406722746</v>
      </c>
      <c r="I114" s="223">
        <v>2100</v>
      </c>
      <c r="J114" s="223">
        <v>2672.4673393698422</v>
      </c>
      <c r="K114" s="219">
        <v>2.1464956586558456E-3</v>
      </c>
    </row>
    <row r="115" spans="1:11" ht="15" customHeight="1" x14ac:dyDescent="0.25">
      <c r="A115" s="88" t="s">
        <v>277</v>
      </c>
      <c r="B115" s="116" t="str">
        <f>VLOOKUP(A115,'0 Järjestäjätiedot'!A:H,2,FALSE)</f>
        <v>Svenska Framtidsskolan i Helsingforsregionen Ab</v>
      </c>
      <c r="C115" s="223">
        <v>431</v>
      </c>
      <c r="D115" s="223">
        <v>249</v>
      </c>
      <c r="E115" s="224">
        <v>0.57772621809744784</v>
      </c>
      <c r="F115" s="217"/>
      <c r="G115" s="218">
        <v>4.0662650602409638</v>
      </c>
      <c r="H115" s="218">
        <v>1.0088098409536432</v>
      </c>
      <c r="I115" s="223">
        <v>4050</v>
      </c>
      <c r="J115" s="223">
        <v>5187.4927410086084</v>
      </c>
      <c r="K115" s="219">
        <v>4.1665357266851633E-3</v>
      </c>
    </row>
    <row r="116" spans="1:11" ht="15" customHeight="1" x14ac:dyDescent="0.25">
      <c r="A116" s="88" t="s">
        <v>387</v>
      </c>
      <c r="B116" s="116" t="str">
        <f>VLOOKUP(A116,'0 Järjestäjätiedot'!A:H,2,FALSE)</f>
        <v>HAUS Kehittämiskeskus Oy</v>
      </c>
      <c r="C116" s="223">
        <v>14</v>
      </c>
      <c r="D116" s="223">
        <v>7</v>
      </c>
      <c r="E116" s="224">
        <v>0.5</v>
      </c>
      <c r="F116" s="217"/>
      <c r="G116" s="218">
        <v>4</v>
      </c>
      <c r="H116" s="218">
        <v>0.84515425472851713</v>
      </c>
      <c r="I116" s="223">
        <v>112</v>
      </c>
      <c r="J116" s="223">
        <v>142.625</v>
      </c>
      <c r="K116" s="219">
        <v>1.1455479317026099E-4</v>
      </c>
    </row>
    <row r="117" spans="1:11" ht="15" customHeight="1" x14ac:dyDescent="0.25">
      <c r="A117" s="88" t="s">
        <v>368</v>
      </c>
      <c r="B117" s="116" t="str">
        <f>VLOOKUP(A117,'0 Järjestäjätiedot'!A:H,2,FALSE)</f>
        <v>Järviseudun Koulutuskuntayhtymä</v>
      </c>
      <c r="C117" s="223">
        <v>168</v>
      </c>
      <c r="D117" s="223">
        <v>150</v>
      </c>
      <c r="E117" s="224">
        <v>0.8928571428571429</v>
      </c>
      <c r="F117" s="217"/>
      <c r="G117" s="218">
        <v>4.4886363636363633</v>
      </c>
      <c r="H117" s="218">
        <v>0.83735868602845465</v>
      </c>
      <c r="I117" s="223">
        <v>2693.181818181818</v>
      </c>
      <c r="J117" s="223">
        <v>3016.363636363636</v>
      </c>
      <c r="K117" s="219">
        <v>2.4227092900258205E-3</v>
      </c>
    </row>
    <row r="118" spans="1:11" ht="15" customHeight="1" x14ac:dyDescent="0.25">
      <c r="A118" s="88" t="s">
        <v>289</v>
      </c>
      <c r="B118" s="116" t="str">
        <f>VLOOKUP(A118,'0 Järjestäjätiedot'!A:H,2,FALSE)</f>
        <v>Savon Koulutuskuntayhtymä</v>
      </c>
      <c r="C118" s="223">
        <v>3387</v>
      </c>
      <c r="D118" s="223">
        <v>2615</v>
      </c>
      <c r="E118" s="224">
        <v>0.77206967818128136</v>
      </c>
      <c r="F118" s="217"/>
      <c r="G118" s="218">
        <v>4.1894837476099429</v>
      </c>
      <c r="H118" s="218">
        <v>1.053104452457386</v>
      </c>
      <c r="I118" s="223">
        <v>43822</v>
      </c>
      <c r="J118" s="223">
        <v>55133.280747519195</v>
      </c>
      <c r="K118" s="219">
        <v>4.4282429958492506E-2</v>
      </c>
    </row>
    <row r="119" spans="1:11" ht="15" customHeight="1" x14ac:dyDescent="0.25">
      <c r="A119" s="88" t="s">
        <v>353</v>
      </c>
      <c r="B119" s="116" t="str">
        <f>VLOOKUP(A119,'0 Järjestäjätiedot'!A:H,2,FALSE)</f>
        <v>KONE Hissit Oy</v>
      </c>
      <c r="C119" s="223">
        <v>18</v>
      </c>
      <c r="D119" s="223">
        <v>15</v>
      </c>
      <c r="E119" s="224">
        <v>0.83333333333333337</v>
      </c>
      <c r="F119" s="217"/>
      <c r="G119" s="218">
        <v>4.1166666666666663</v>
      </c>
      <c r="H119" s="218">
        <v>1.0660154261964934</v>
      </c>
      <c r="I119" s="223">
        <v>247</v>
      </c>
      <c r="J119" s="223">
        <v>296.39999999999998</v>
      </c>
      <c r="K119" s="219">
        <v>2.3806514072333289E-4</v>
      </c>
    </row>
    <row r="120" spans="1:11" ht="15" customHeight="1" x14ac:dyDescent="0.25">
      <c r="A120" s="88" t="s">
        <v>345</v>
      </c>
      <c r="B120" s="116" t="str">
        <f>VLOOKUP(A120,'0 Järjestäjätiedot'!A:H,2,FALSE)</f>
        <v>Keski-Pohjanmaan Konservatorion Kannatusyhdistys Ry</v>
      </c>
      <c r="C120" s="223">
        <v>52</v>
      </c>
      <c r="D120" s="223">
        <v>51</v>
      </c>
      <c r="E120" s="224">
        <v>0.98076923076923073</v>
      </c>
      <c r="F120" s="217"/>
      <c r="G120" s="218">
        <v>4.2892156862745097</v>
      </c>
      <c r="H120" s="218">
        <v>0.93393610046616315</v>
      </c>
      <c r="I120" s="223">
        <v>875</v>
      </c>
      <c r="J120" s="223">
        <v>892.15686274509812</v>
      </c>
      <c r="K120" s="219">
        <v>7.1657034101450399E-4</v>
      </c>
    </row>
    <row r="121" spans="1:11" ht="15" customHeight="1" x14ac:dyDescent="0.25">
      <c r="A121" s="88" t="s">
        <v>350</v>
      </c>
      <c r="B121" s="116" t="str">
        <f>VLOOKUP(A121,'0 Järjestäjätiedot'!A:H,2,FALSE)</f>
        <v>Kotkan-Haminan seudun koulutuskuntayhtymä</v>
      </c>
      <c r="C121" s="223">
        <v>1456</v>
      </c>
      <c r="D121" s="223">
        <v>521</v>
      </c>
      <c r="E121" s="224">
        <v>0.35782967032967034</v>
      </c>
      <c r="F121" s="217"/>
      <c r="G121" s="218">
        <v>4.1698656429942416</v>
      </c>
      <c r="H121" s="218">
        <v>0.99900804024881906</v>
      </c>
      <c r="I121" s="223">
        <v>8690</v>
      </c>
      <c r="J121" s="223">
        <v>10735.907959456088</v>
      </c>
      <c r="K121" s="219">
        <v>8.6229603210548709E-3</v>
      </c>
    </row>
    <row r="122" spans="1:11" ht="15" customHeight="1" x14ac:dyDescent="0.25">
      <c r="A122" s="88" t="s">
        <v>401</v>
      </c>
      <c r="B122" s="116" t="str">
        <f>VLOOKUP(A122,'0 Järjestäjätiedot'!A:H,2,FALSE)</f>
        <v>Axxell Utbildning Ab</v>
      </c>
      <c r="C122" s="223">
        <v>1073</v>
      </c>
      <c r="D122" s="223">
        <v>505</v>
      </c>
      <c r="E122" s="224">
        <v>0.47064305684995339</v>
      </c>
      <c r="F122" s="217"/>
      <c r="G122" s="218">
        <v>4.0113861386138616</v>
      </c>
      <c r="H122" s="218">
        <v>1.1237177772804776</v>
      </c>
      <c r="I122" s="223">
        <v>8103</v>
      </c>
      <c r="J122" s="223">
        <v>10276.039631672398</v>
      </c>
      <c r="K122" s="219">
        <v>8.2535992611087565E-3</v>
      </c>
    </row>
    <row r="123" spans="1:11" ht="15" customHeight="1" x14ac:dyDescent="0.25">
      <c r="A123" s="88" t="s">
        <v>359</v>
      </c>
      <c r="B123" s="116" t="str">
        <f>VLOOKUP(A123,'0 Järjestäjätiedot'!A:H,2,FALSE)</f>
        <v>Kemi-Tornionlaakson koulutuskuntayhtymä Lappia</v>
      </c>
      <c r="C123" s="223">
        <v>1742</v>
      </c>
      <c r="D123" s="223">
        <v>1045</v>
      </c>
      <c r="E123" s="224">
        <v>0.59988518943742819</v>
      </c>
      <c r="F123" s="217"/>
      <c r="G123" s="218">
        <v>4.2929799426934094</v>
      </c>
      <c r="H123" s="218">
        <v>0.99419441914305895</v>
      </c>
      <c r="I123" s="223">
        <v>17944.656160458453</v>
      </c>
      <c r="J123" s="223">
        <v>22991.590520792972</v>
      </c>
      <c r="K123" s="219">
        <v>1.8466586480384028E-2</v>
      </c>
    </row>
    <row r="124" spans="1:11" ht="15" customHeight="1" x14ac:dyDescent="0.25">
      <c r="A124" s="88" t="s">
        <v>385</v>
      </c>
      <c r="B124" s="116" t="str">
        <f>VLOOKUP(A124,'0 Järjestäjätiedot'!A:H,2,FALSE)</f>
        <v>Helsinki Business College Oy</v>
      </c>
      <c r="C124" s="223">
        <v>1269</v>
      </c>
      <c r="D124" s="223">
        <v>886</v>
      </c>
      <c r="E124" s="224">
        <v>0.69818754925137905</v>
      </c>
      <c r="F124" s="217"/>
      <c r="G124" s="218">
        <v>3.9602144469525959</v>
      </c>
      <c r="H124" s="218">
        <v>1.1312549012178608</v>
      </c>
      <c r="I124" s="223">
        <v>14035</v>
      </c>
      <c r="J124" s="223">
        <v>17876.63394108526</v>
      </c>
      <c r="K124" s="219">
        <v>1.4358310981254965E-2</v>
      </c>
    </row>
    <row r="125" spans="1:11" ht="15" customHeight="1" x14ac:dyDescent="0.25">
      <c r="A125" s="88" t="s">
        <v>399</v>
      </c>
      <c r="B125" s="116" t="str">
        <f>VLOOKUP(A125,'0 Järjestäjätiedot'!A:H,2,FALSE)</f>
        <v>Cimson Koulutuspalvelut Oy</v>
      </c>
      <c r="C125" s="223">
        <v>42</v>
      </c>
      <c r="D125" s="223">
        <v>38</v>
      </c>
      <c r="E125" s="224">
        <v>0.90476190476190477</v>
      </c>
      <c r="F125" s="217"/>
      <c r="G125" s="218">
        <v>3.9144736842105261</v>
      </c>
      <c r="H125" s="218">
        <v>1.1750928235864271</v>
      </c>
      <c r="I125" s="223">
        <v>595</v>
      </c>
      <c r="J125" s="223">
        <v>657.63157894736833</v>
      </c>
      <c r="K125" s="219">
        <v>5.2820227525712837E-4</v>
      </c>
    </row>
    <row r="126" spans="1:11" ht="15" customHeight="1" x14ac:dyDescent="0.25">
      <c r="A126" s="88" t="s">
        <v>329</v>
      </c>
      <c r="B126" s="116" t="str">
        <f>VLOOKUP(A126,'0 Järjestäjätiedot'!A:H,2,FALSE)</f>
        <v>Länsirannikon Koulutus Oy</v>
      </c>
      <c r="C126" s="223">
        <v>2525</v>
      </c>
      <c r="D126" s="223">
        <v>1346</v>
      </c>
      <c r="E126" s="224">
        <v>0.5330693069306931</v>
      </c>
      <c r="F126" s="217"/>
      <c r="G126" s="218">
        <v>4.145245170876672</v>
      </c>
      <c r="H126" s="218">
        <v>1.0583302083640129</v>
      </c>
      <c r="I126" s="223">
        <v>22318</v>
      </c>
      <c r="J126" s="223">
        <v>28516.829422605628</v>
      </c>
      <c r="K126" s="219">
        <v>2.2904396118339707E-2</v>
      </c>
    </row>
    <row r="127" spans="1:11" ht="15" customHeight="1" x14ac:dyDescent="0.25">
      <c r="A127" s="88" t="s">
        <v>395</v>
      </c>
      <c r="B127" s="116" t="str">
        <f>VLOOKUP(A127,'0 Järjestäjätiedot'!A:H,2,FALSE)</f>
        <v>Etelä-Savon Koulutus Oy</v>
      </c>
      <c r="C127" s="223">
        <v>1404</v>
      </c>
      <c r="D127" s="223">
        <v>990</v>
      </c>
      <c r="E127" s="224">
        <v>0.70512820512820518</v>
      </c>
      <c r="F127" s="217"/>
      <c r="G127" s="218">
        <v>4.2099198396793591</v>
      </c>
      <c r="H127" s="218">
        <v>1.0134475543796668</v>
      </c>
      <c r="I127" s="223">
        <v>16671.282565130259</v>
      </c>
      <c r="J127" s="223">
        <v>21216.1354689779</v>
      </c>
      <c r="K127" s="219">
        <v>1.7040560985248039E-2</v>
      </c>
    </row>
    <row r="128" spans="1:11" ht="15" customHeight="1" x14ac:dyDescent="0.25">
      <c r="A128" s="88" t="s">
        <v>380</v>
      </c>
      <c r="B128" s="116" t="str">
        <f>VLOOKUP(A128,'0 Järjestäjätiedot'!A:H,2,FALSE)</f>
        <v>Hyria koulutus Oy</v>
      </c>
      <c r="C128" s="223">
        <v>2757</v>
      </c>
      <c r="D128" s="223">
        <v>1511</v>
      </c>
      <c r="E128" s="224">
        <v>0.54805948494740664</v>
      </c>
      <c r="F128" s="217"/>
      <c r="G128" s="218">
        <v>4.1244216787838734</v>
      </c>
      <c r="H128" s="218">
        <v>1.1245407725321468</v>
      </c>
      <c r="I128" s="223">
        <v>24928.004626569727</v>
      </c>
      <c r="J128" s="223">
        <v>31886.465929942173</v>
      </c>
      <c r="K128" s="219">
        <v>2.5610850198317964E-2</v>
      </c>
    </row>
    <row r="129" spans="1:11" ht="15" customHeight="1" x14ac:dyDescent="0.25">
      <c r="A129" s="88" t="s">
        <v>392</v>
      </c>
      <c r="B129" s="116" t="str">
        <f>VLOOKUP(A129,'0 Järjestäjätiedot'!A:H,2,FALSE)</f>
        <v>Folkhälsan Utbildning Ab</v>
      </c>
      <c r="C129" s="223">
        <v>55</v>
      </c>
      <c r="D129" s="223">
        <v>50</v>
      </c>
      <c r="E129" s="224">
        <v>0.90909090909090906</v>
      </c>
      <c r="F129" s="217"/>
      <c r="G129" s="218">
        <v>4.22</v>
      </c>
      <c r="H129" s="218">
        <v>0.97036075765665686</v>
      </c>
      <c r="I129" s="223">
        <v>844</v>
      </c>
      <c r="J129" s="223">
        <v>928.40000000000009</v>
      </c>
      <c r="K129" s="219">
        <v>7.4568042053826684E-4</v>
      </c>
    </row>
    <row r="130" spans="1:11" ht="15" customHeight="1" x14ac:dyDescent="0.25">
      <c r="A130" s="88" t="s">
        <v>323</v>
      </c>
      <c r="B130" s="116" t="str">
        <f>VLOOKUP(A130,'0 Järjestäjätiedot'!A:H,2,FALSE)</f>
        <v>Management Institute of Finland MIF Oy</v>
      </c>
      <c r="C130" s="223">
        <v>123</v>
      </c>
      <c r="D130" s="223">
        <v>99</v>
      </c>
      <c r="E130" s="224">
        <v>0.80487804878048785</v>
      </c>
      <c r="F130" s="217"/>
      <c r="G130" s="218">
        <v>4.1186868686868685</v>
      </c>
      <c r="H130" s="218">
        <v>1.0217603609859394</v>
      </c>
      <c r="I130" s="223">
        <v>1631</v>
      </c>
      <c r="J130" s="223">
        <v>2026.3939393939395</v>
      </c>
      <c r="K130" s="219">
        <v>1.6275767825328178E-3</v>
      </c>
    </row>
    <row r="131" spans="1:11" ht="15" customHeight="1" x14ac:dyDescent="0.25">
      <c r="A131" s="88" t="s">
        <v>379</v>
      </c>
      <c r="B131" s="116" t="str">
        <f>VLOOKUP(A131,'0 Järjestäjätiedot'!A:H,2,FALSE)</f>
        <v>Hämeen ammatti-instituutti Oy</v>
      </c>
      <c r="C131" s="223">
        <v>285</v>
      </c>
      <c r="D131" s="223">
        <v>187</v>
      </c>
      <c r="E131" s="224">
        <v>0.65614035087719302</v>
      </c>
      <c r="F131" s="217"/>
      <c r="G131" s="218">
        <v>4.433943089430894</v>
      </c>
      <c r="H131" s="218">
        <v>0.88328326718812344</v>
      </c>
      <c r="I131" s="223">
        <v>3316.5894308943089</v>
      </c>
      <c r="J131" s="223">
        <v>4241.2137831418422</v>
      </c>
      <c r="K131" s="219">
        <v>3.4064951286147159E-3</v>
      </c>
    </row>
    <row r="132" spans="1:11" ht="15" customHeight="1" x14ac:dyDescent="0.25">
      <c r="A132" s="88" t="s">
        <v>310</v>
      </c>
      <c r="B132" s="116" t="str">
        <f>VLOOKUP(A132,'0 Järjestäjätiedot'!A:H,2,FALSE)</f>
        <v>Perho Liiketalousopisto Oy</v>
      </c>
      <c r="C132" s="223">
        <v>908</v>
      </c>
      <c r="D132" s="223">
        <v>831</v>
      </c>
      <c r="E132" s="224">
        <v>0.91519823788546251</v>
      </c>
      <c r="F132" s="217"/>
      <c r="G132" s="218">
        <v>4.339651022864019</v>
      </c>
      <c r="H132" s="218">
        <v>0.9540486272453701</v>
      </c>
      <c r="I132" s="223">
        <v>14425</v>
      </c>
      <c r="J132" s="223">
        <v>15761.612515042119</v>
      </c>
      <c r="K132" s="219">
        <v>1.2659549599933021E-2</v>
      </c>
    </row>
    <row r="133" spans="1:11" ht="15" customHeight="1" x14ac:dyDescent="0.25">
      <c r="A133" s="88" t="s">
        <v>287</v>
      </c>
      <c r="B133" s="116" t="str">
        <f>VLOOKUP(A133,'0 Järjestäjätiedot'!A:H,2,FALSE)</f>
        <v>Suomen Diakoniaopisto - SDO Oy</v>
      </c>
      <c r="C133" s="223">
        <v>1409</v>
      </c>
      <c r="D133" s="223">
        <v>712</v>
      </c>
      <c r="E133" s="224">
        <v>0.50532292405961676</v>
      </c>
      <c r="F133" s="217"/>
      <c r="G133" s="218">
        <v>3.9947331460674156</v>
      </c>
      <c r="H133" s="218">
        <v>1.1597959969889855</v>
      </c>
      <c r="I133" s="223">
        <v>11377</v>
      </c>
      <c r="J133" s="223">
        <v>14497.10893042345</v>
      </c>
      <c r="K133" s="219">
        <v>1.1643914566810881E-2</v>
      </c>
    </row>
    <row r="134" spans="1:11" ht="15" customHeight="1" x14ac:dyDescent="0.25">
      <c r="A134" s="88" t="s">
        <v>404</v>
      </c>
      <c r="B134" s="116" t="str">
        <f>VLOOKUP(A134,'0 Järjestäjätiedot'!A:H,2,FALSE)</f>
        <v>Ammattiopisto Spesia Oy</v>
      </c>
      <c r="C134" s="223">
        <v>321</v>
      </c>
      <c r="D134" s="223">
        <v>297</v>
      </c>
      <c r="E134" s="224">
        <v>0.92523364485981308</v>
      </c>
      <c r="F134" s="217"/>
      <c r="G134" s="218">
        <v>4.1111111111111107</v>
      </c>
      <c r="H134" s="218">
        <v>1.1060490751670533</v>
      </c>
      <c r="I134" s="223">
        <v>4884</v>
      </c>
      <c r="J134" s="223">
        <v>5278.666666666667</v>
      </c>
      <c r="K134" s="219">
        <v>4.2397655965977291E-3</v>
      </c>
    </row>
    <row r="135" spans="1:11" ht="15" customHeight="1" x14ac:dyDescent="0.25">
      <c r="A135" s="88" t="s">
        <v>237</v>
      </c>
      <c r="B135" s="116" t="str">
        <f>VLOOKUP(A135,'0 Järjestäjätiedot'!A:H,2,FALSE)</f>
        <v>Careeria Oy</v>
      </c>
      <c r="C135" s="223">
        <v>2783</v>
      </c>
      <c r="D135" s="223">
        <v>1569</v>
      </c>
      <c r="E135" s="224">
        <v>0.56378009342436219</v>
      </c>
      <c r="F135" s="217"/>
      <c r="G135" s="218">
        <v>4.147068196303378</v>
      </c>
      <c r="H135" s="218">
        <v>1.0780012468208127</v>
      </c>
      <c r="I135" s="223">
        <v>26027</v>
      </c>
      <c r="J135" s="223">
        <v>33320.418481839748</v>
      </c>
      <c r="K135" s="219">
        <v>2.6762584732926864E-2</v>
      </c>
    </row>
    <row r="136" spans="1:11" ht="15" customHeight="1" x14ac:dyDescent="0.25">
      <c r="A136" s="88" t="s">
        <v>585</v>
      </c>
      <c r="B136" s="116" t="str">
        <f>VLOOKUP(A136,'0 Järjestäjätiedot'!A:H,2,FALSE)</f>
        <v>Turun musiikinopetus Oy</v>
      </c>
      <c r="C136" s="223">
        <v>46</v>
      </c>
      <c r="D136" s="223">
        <v>40</v>
      </c>
      <c r="E136" s="224">
        <v>0.86956521739130432</v>
      </c>
      <c r="F136" s="217"/>
      <c r="G136" s="218">
        <v>4.7374999999999998</v>
      </c>
      <c r="H136" s="218">
        <v>0.59673591311400309</v>
      </c>
      <c r="I136" s="223">
        <v>758</v>
      </c>
      <c r="J136" s="223">
        <v>871.7</v>
      </c>
      <c r="K136" s="219">
        <v>7.0013961932702197E-4</v>
      </c>
    </row>
    <row r="137" spans="1:11" ht="15" customHeight="1" x14ac:dyDescent="0.25">
      <c r="A137" s="88" t="s">
        <v>583</v>
      </c>
      <c r="B137" s="116" t="str">
        <f>VLOOKUP(A137,'0 Järjestäjätiedot'!A:H,2,FALSE)</f>
        <v>AEL-Amiedu Oy</v>
      </c>
      <c r="C137" s="223">
        <v>2586</v>
      </c>
      <c r="D137" s="223">
        <v>1060</v>
      </c>
      <c r="E137" s="224">
        <v>0.40989945862335653</v>
      </c>
      <c r="F137" s="217"/>
      <c r="G137" s="218">
        <v>4.0713276836158192</v>
      </c>
      <c r="H137" s="218">
        <v>1.1141729166084011</v>
      </c>
      <c r="I137" s="223">
        <v>17262.429378531073</v>
      </c>
      <c r="J137" s="223">
        <v>21630.117798539257</v>
      </c>
      <c r="K137" s="219">
        <v>1.7373066928378936E-2</v>
      </c>
    </row>
    <row r="138" spans="1:11" ht="15" customHeight="1" x14ac:dyDescent="0.25">
      <c r="A138" s="39" t="s">
        <v>21</v>
      </c>
      <c r="B138" s="39"/>
      <c r="C138" s="225">
        <v>108467</v>
      </c>
      <c r="D138" s="225">
        <v>59825</v>
      </c>
      <c r="E138" s="226">
        <v>0.55155024108715089</v>
      </c>
      <c r="F138" s="220"/>
      <c r="G138" s="221">
        <v>4.1792939375790246</v>
      </c>
      <c r="H138" s="221">
        <v>1.0547125045894292</v>
      </c>
      <c r="I138" s="225">
        <v>999987.47727594315</v>
      </c>
      <c r="J138" s="225">
        <v>1245037.3838833501</v>
      </c>
      <c r="K138" s="222">
        <v>1</v>
      </c>
    </row>
    <row r="139" spans="1:11" x14ac:dyDescent="0.25">
      <c r="E139" s="10"/>
      <c r="F139" s="10"/>
      <c r="G139" s="10"/>
      <c r="H139" s="10"/>
      <c r="I139" s="10"/>
      <c r="J139" s="10"/>
      <c r="K139" s="10"/>
    </row>
    <row r="140" spans="1:11" x14ac:dyDescent="0.25">
      <c r="A140" t="s">
        <v>645</v>
      </c>
    </row>
    <row r="141" spans="1:11" x14ac:dyDescent="0.25">
      <c r="A141" s="193" t="s">
        <v>649</v>
      </c>
    </row>
  </sheetData>
  <mergeCells count="1">
    <mergeCell ref="C5:K5"/>
  </mergeCells>
  <hyperlinks>
    <hyperlink ref="A141"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12</vt:i4>
      </vt:variant>
    </vt:vector>
  </HeadingPairs>
  <TitlesOfParts>
    <vt:vector size="12" baseType="lpstr">
      <vt:lpstr>OHJEET</vt:lpstr>
      <vt:lpstr>0 Järjestäjätiedot</vt:lpstr>
      <vt:lpstr>1.1 Jakotaulu</vt:lpstr>
      <vt:lpstr>1.2 Ohjaus-laskentataulu</vt:lpstr>
      <vt:lpstr>1.3 Vertailulukuja</vt:lpstr>
      <vt:lpstr>2.1 Toteut. op.vuodet</vt:lpstr>
      <vt:lpstr>2.2 Tutk. ja osien pain. pist.</vt:lpstr>
      <vt:lpstr>2.3 Työll. ja jatko-opisk.</vt:lpstr>
      <vt:lpstr>2.4 Aloittaneet palaute</vt:lpstr>
      <vt:lpstr>2.5 Päättäneet palaute</vt:lpstr>
      <vt:lpstr>3.1 Alv vahvistettu</vt:lpstr>
      <vt:lpstr>3.2 Suoritepäätös 2019</vt:lpstr>
    </vt:vector>
  </TitlesOfParts>
  <Company>Suomen valtion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johannes.peltola@minedu.fi</dc:creator>
  <cp:lastModifiedBy>Peltola Johannes (OKM)</cp:lastModifiedBy>
  <dcterms:created xsi:type="dcterms:W3CDTF">2019-05-14T05:56:15Z</dcterms:created>
  <dcterms:modified xsi:type="dcterms:W3CDTF">2019-11-18T09:26:30Z</dcterms:modified>
</cp:coreProperties>
</file>