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ämäTyökirja" hidePivotFieldList="1"/>
  <xr:revisionPtr revIDLastSave="0" documentId="13_ncr:1_{B9B3F64B-8029-4E46-AA88-171E19E5B328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HJEET" sheetId="41" r:id="rId1"/>
    <sheet name="1.1 Jakotaulu" sheetId="18" r:id="rId2"/>
    <sheet name="1.2 Ohjaus-laskentataulu" sheetId="17" r:id="rId3"/>
    <sheet name="1.3 Vertailulukuja" sheetId="24" r:id="rId4"/>
    <sheet name="1.4 Maakuntalukuja" sheetId="25" r:id="rId5"/>
    <sheet name="2.1 Toteut. op.vuodet" sheetId="5" r:id="rId6"/>
    <sheet name="2.2 Tutk. ja osien pain. pist." sheetId="27" r:id="rId7"/>
    <sheet name="2.3 Työll. ja jatko-opisk." sheetId="3" r:id="rId8"/>
    <sheet name="2.4 Aloittaneet palaute" sheetId="1" r:id="rId9"/>
    <sheet name="2.5 Päättäneet palaute" sheetId="2" r:id="rId10"/>
    <sheet name="2.6 Työpaikkaohjaajakysely" sheetId="61" r:id="rId11"/>
    <sheet name="2.7 Työpaikkakysely" sheetId="60" r:id="rId12"/>
    <sheet name="Suoritepäät. 2024 oikaistu" sheetId="63" state="hidden" r:id="rId13"/>
  </sheets>
  <definedNames>
    <definedName name="_xlnm._FilterDatabase" localSheetId="2" hidden="1">'1.2 Ohjaus-laskentataulu'!$C$6:$C$138</definedName>
    <definedName name="_xlnm._FilterDatabase" localSheetId="4" hidden="1">'1.4 Maakuntalukuja'!$F$6:$F$23</definedName>
    <definedName name="FuusiotKp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9" i="17" l="1"/>
  <c r="AK139" i="17"/>
  <c r="AJ139" i="17"/>
  <c r="AI139" i="17"/>
  <c r="AH139" i="17"/>
  <c r="AG139" i="17"/>
  <c r="AF139" i="17"/>
  <c r="AA139" i="17"/>
  <c r="X139" i="17"/>
  <c r="U139" i="17"/>
  <c r="R139" i="17"/>
  <c r="O139" i="17"/>
  <c r="L139" i="17"/>
  <c r="I139" i="17"/>
  <c r="G139" i="17"/>
  <c r="F139" i="17"/>
  <c r="AA6" i="17" l="1"/>
  <c r="AA7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1" i="17"/>
  <c r="AA82" i="17"/>
  <c r="AA83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119" i="17"/>
  <c r="AA120" i="17"/>
  <c r="AA121" i="17"/>
  <c r="AA122" i="17"/>
  <c r="AA123" i="17"/>
  <c r="AA124" i="17"/>
  <c r="AA125" i="17"/>
  <c r="AA126" i="17"/>
  <c r="AA127" i="17"/>
  <c r="AA128" i="17"/>
  <c r="AA129" i="17"/>
  <c r="AA130" i="17"/>
  <c r="AA131" i="17"/>
  <c r="AA132" i="17"/>
  <c r="AA133" i="17"/>
  <c r="AA134" i="17"/>
  <c r="AA135" i="17"/>
  <c r="AA136" i="17"/>
  <c r="AA137" i="17"/>
  <c r="AA138" i="17"/>
  <c r="X6" i="17"/>
  <c r="X7" i="17"/>
  <c r="X8" i="17"/>
  <c r="X9" i="17"/>
  <c r="X10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4" i="17"/>
  <c r="X35" i="17"/>
  <c r="X36" i="17"/>
  <c r="X37" i="17"/>
  <c r="X38" i="17"/>
  <c r="X39" i="17"/>
  <c r="X40" i="17"/>
  <c r="X41" i="17"/>
  <c r="X42" i="17"/>
  <c r="X43" i="17"/>
  <c r="X44" i="17"/>
  <c r="X45" i="17"/>
  <c r="X46" i="17"/>
  <c r="X47" i="17"/>
  <c r="X48" i="17"/>
  <c r="X49" i="17"/>
  <c r="X50" i="17"/>
  <c r="X51" i="17"/>
  <c r="X52" i="17"/>
  <c r="X53" i="17"/>
  <c r="X54" i="17"/>
  <c r="X55" i="17"/>
  <c r="X56" i="17"/>
  <c r="X57" i="17"/>
  <c r="X58" i="17"/>
  <c r="X59" i="17"/>
  <c r="X60" i="17"/>
  <c r="X61" i="17"/>
  <c r="X62" i="17"/>
  <c r="X63" i="17"/>
  <c r="X64" i="17"/>
  <c r="X65" i="17"/>
  <c r="X66" i="17"/>
  <c r="X67" i="17"/>
  <c r="X68" i="17"/>
  <c r="X69" i="17"/>
  <c r="X70" i="17"/>
  <c r="X71" i="17"/>
  <c r="X72" i="17"/>
  <c r="X73" i="17"/>
  <c r="X74" i="17"/>
  <c r="X75" i="17"/>
  <c r="X76" i="17"/>
  <c r="X77" i="17"/>
  <c r="X78" i="17"/>
  <c r="X79" i="17"/>
  <c r="X80" i="17"/>
  <c r="X81" i="17"/>
  <c r="X82" i="17"/>
  <c r="X83" i="17"/>
  <c r="X84" i="17"/>
  <c r="X85" i="17"/>
  <c r="X86" i="17"/>
  <c r="X87" i="17"/>
  <c r="X88" i="17"/>
  <c r="X89" i="17"/>
  <c r="X90" i="17"/>
  <c r="X91" i="17"/>
  <c r="X92" i="17"/>
  <c r="X93" i="17"/>
  <c r="X94" i="17"/>
  <c r="X95" i="17"/>
  <c r="X96" i="17"/>
  <c r="X97" i="17"/>
  <c r="X98" i="17"/>
  <c r="X99" i="17"/>
  <c r="X100" i="17"/>
  <c r="X101" i="17"/>
  <c r="X102" i="17"/>
  <c r="X103" i="17"/>
  <c r="X104" i="17"/>
  <c r="X105" i="17"/>
  <c r="X106" i="17"/>
  <c r="X107" i="17"/>
  <c r="X108" i="17"/>
  <c r="X109" i="17"/>
  <c r="X110" i="17"/>
  <c r="X111" i="17"/>
  <c r="X112" i="17"/>
  <c r="X113" i="17"/>
  <c r="X114" i="17"/>
  <c r="X115" i="17"/>
  <c r="X116" i="17"/>
  <c r="X117" i="17"/>
  <c r="X118" i="17"/>
  <c r="X119" i="17"/>
  <c r="X120" i="17"/>
  <c r="X121" i="17"/>
  <c r="X122" i="17"/>
  <c r="X123" i="17"/>
  <c r="X124" i="17"/>
  <c r="X125" i="17"/>
  <c r="X126" i="17"/>
  <c r="X127" i="17"/>
  <c r="X128" i="17"/>
  <c r="X129" i="17"/>
  <c r="X130" i="17"/>
  <c r="X131" i="17"/>
  <c r="X132" i="17"/>
  <c r="X133" i="17"/>
  <c r="X134" i="17"/>
  <c r="X135" i="17"/>
  <c r="X136" i="17"/>
  <c r="X137" i="17"/>
  <c r="X138" i="17"/>
  <c r="U6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4" i="17"/>
  <c r="U45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2" i="17"/>
  <c r="U63" i="17"/>
  <c r="U64" i="17"/>
  <c r="U65" i="17"/>
  <c r="U66" i="17"/>
  <c r="U67" i="17"/>
  <c r="U68" i="17"/>
  <c r="U69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82" i="17"/>
  <c r="U83" i="17"/>
  <c r="U84" i="17"/>
  <c r="U85" i="17"/>
  <c r="U86" i="17"/>
  <c r="U87" i="17"/>
  <c r="U88" i="17"/>
  <c r="U89" i="17"/>
  <c r="U90" i="17"/>
  <c r="U91" i="17"/>
  <c r="U92" i="17"/>
  <c r="U93" i="17"/>
  <c r="U94" i="17"/>
  <c r="U95" i="17"/>
  <c r="U96" i="17"/>
  <c r="U97" i="17"/>
  <c r="U98" i="17"/>
  <c r="U99" i="17"/>
  <c r="U100" i="17"/>
  <c r="U101" i="17"/>
  <c r="U102" i="17"/>
  <c r="U103" i="17"/>
  <c r="U104" i="17"/>
  <c r="U105" i="17"/>
  <c r="U106" i="17"/>
  <c r="U107" i="17"/>
  <c r="U108" i="17"/>
  <c r="U109" i="17"/>
  <c r="U110" i="17"/>
  <c r="U111" i="17"/>
  <c r="U112" i="17"/>
  <c r="U113" i="17"/>
  <c r="U114" i="17"/>
  <c r="U115" i="17"/>
  <c r="U116" i="17"/>
  <c r="U117" i="17"/>
  <c r="U118" i="17"/>
  <c r="U119" i="17"/>
  <c r="U120" i="17"/>
  <c r="U121" i="17"/>
  <c r="U122" i="17"/>
  <c r="U123" i="17"/>
  <c r="U124" i="17"/>
  <c r="U125" i="17"/>
  <c r="U126" i="17"/>
  <c r="U127" i="17"/>
  <c r="U128" i="17"/>
  <c r="U129" i="17"/>
  <c r="U130" i="17"/>
  <c r="U131" i="17"/>
  <c r="U132" i="17"/>
  <c r="U133" i="17"/>
  <c r="U134" i="17"/>
  <c r="U135" i="17"/>
  <c r="U136" i="17"/>
  <c r="U137" i="17"/>
  <c r="U138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AJ6" i="25"/>
  <c r="AJ7" i="25"/>
  <c r="AJ8" i="25"/>
  <c r="AJ9" i="25"/>
  <c r="AJ10" i="25"/>
  <c r="AJ11" i="25"/>
  <c r="AJ12" i="25"/>
  <c r="AJ13" i="25"/>
  <c r="AJ14" i="25"/>
  <c r="AJ15" i="25"/>
  <c r="AJ16" i="25"/>
  <c r="AJ17" i="25"/>
  <c r="AJ18" i="25"/>
  <c r="AJ19" i="25"/>
  <c r="AJ20" i="25"/>
  <c r="AJ21" i="25"/>
  <c r="AJ22" i="25"/>
  <c r="AJ23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I6" i="25"/>
  <c r="AI7" i="25"/>
  <c r="AI8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F23" i="25"/>
  <c r="C146" i="63" l="1"/>
  <c r="D146" i="63"/>
  <c r="E146" i="63"/>
  <c r="F146" i="63"/>
  <c r="G146" i="63"/>
  <c r="H146" i="63"/>
  <c r="I146" i="63"/>
  <c r="Z104" i="24" s="1"/>
  <c r="J146" i="63"/>
  <c r="K146" i="63"/>
  <c r="L146" i="63"/>
  <c r="M146" i="63"/>
  <c r="P146" i="63"/>
  <c r="Q146" i="63"/>
  <c r="R146" i="63"/>
  <c r="S146" i="63"/>
  <c r="T146" i="63"/>
  <c r="U146" i="63"/>
  <c r="V146" i="63"/>
  <c r="W146" i="63"/>
  <c r="X146" i="63"/>
  <c r="Y146" i="63"/>
  <c r="Z146" i="63"/>
  <c r="AC146" i="63"/>
  <c r="AD146" i="63"/>
  <c r="AE146" i="63"/>
  <c r="AF146" i="63"/>
  <c r="AG146" i="63"/>
  <c r="AH146" i="63"/>
  <c r="AI146" i="63"/>
  <c r="AJ146" i="63"/>
  <c r="AK146" i="63"/>
  <c r="R104" i="24" s="1"/>
  <c r="AL146" i="63"/>
  <c r="AH138" i="24"/>
  <c r="AD138" i="24"/>
  <c r="Z138" i="24"/>
  <c r="V138" i="24"/>
  <c r="R138" i="24"/>
  <c r="N138" i="24"/>
  <c r="AH137" i="24"/>
  <c r="AD137" i="24"/>
  <c r="Z137" i="24"/>
  <c r="V137" i="24"/>
  <c r="R137" i="24"/>
  <c r="N137" i="24"/>
  <c r="AH136" i="24"/>
  <c r="AD136" i="24"/>
  <c r="Z136" i="24"/>
  <c r="V136" i="24"/>
  <c r="R136" i="24"/>
  <c r="N136" i="24"/>
  <c r="AH135" i="24"/>
  <c r="AD135" i="24"/>
  <c r="Z135" i="24"/>
  <c r="V135" i="24"/>
  <c r="R135" i="24"/>
  <c r="N135" i="24"/>
  <c r="AH134" i="24"/>
  <c r="AD134" i="24"/>
  <c r="Z134" i="24"/>
  <c r="V134" i="24"/>
  <c r="R134" i="24"/>
  <c r="N134" i="24"/>
  <c r="AH133" i="24"/>
  <c r="AD133" i="24"/>
  <c r="Z133" i="24"/>
  <c r="V133" i="24"/>
  <c r="R133" i="24"/>
  <c r="N133" i="24"/>
  <c r="AH132" i="24"/>
  <c r="AD132" i="24"/>
  <c r="Z132" i="24"/>
  <c r="V132" i="24"/>
  <c r="R132" i="24"/>
  <c r="N132" i="24"/>
  <c r="AH131" i="24"/>
  <c r="AD131" i="24"/>
  <c r="Z131" i="24"/>
  <c r="V131" i="24"/>
  <c r="R131" i="24"/>
  <c r="N131" i="24"/>
  <c r="AH130" i="24"/>
  <c r="AD130" i="24"/>
  <c r="Z130" i="24"/>
  <c r="V130" i="24"/>
  <c r="R130" i="24"/>
  <c r="N130" i="24"/>
  <c r="AH128" i="24"/>
  <c r="AD128" i="24"/>
  <c r="Z128" i="24"/>
  <c r="V128" i="24"/>
  <c r="R128" i="24"/>
  <c r="N128" i="24"/>
  <c r="AH129" i="24"/>
  <c r="AD129" i="24"/>
  <c r="Z129" i="24"/>
  <c r="V129" i="24"/>
  <c r="R129" i="24"/>
  <c r="N129" i="24"/>
  <c r="AH127" i="24"/>
  <c r="AD127" i="24"/>
  <c r="Z127" i="24"/>
  <c r="V127" i="24"/>
  <c r="R127" i="24"/>
  <c r="N127" i="24"/>
  <c r="AH126" i="24"/>
  <c r="AD126" i="24"/>
  <c r="Z126" i="24"/>
  <c r="V126" i="24"/>
  <c r="R126" i="24"/>
  <c r="N126" i="24"/>
  <c r="AH125" i="24"/>
  <c r="AD125" i="24"/>
  <c r="Z125" i="24"/>
  <c r="V125" i="24"/>
  <c r="R125" i="24"/>
  <c r="N125" i="24"/>
  <c r="AH124" i="24"/>
  <c r="AD124" i="24"/>
  <c r="Z124" i="24"/>
  <c r="V124" i="24"/>
  <c r="R124" i="24"/>
  <c r="N124" i="24"/>
  <c r="AH123" i="24"/>
  <c r="AD123" i="24"/>
  <c r="Z123" i="24"/>
  <c r="V123" i="24"/>
  <c r="R123" i="24"/>
  <c r="N123" i="24"/>
  <c r="AH122" i="24"/>
  <c r="AD122" i="24"/>
  <c r="Z122" i="24"/>
  <c r="V122" i="24"/>
  <c r="R122" i="24"/>
  <c r="N122" i="24"/>
  <c r="AH121" i="24"/>
  <c r="AD121" i="24"/>
  <c r="Z121" i="24"/>
  <c r="V121" i="24"/>
  <c r="R121" i="24"/>
  <c r="N121" i="24"/>
  <c r="AH120" i="24"/>
  <c r="AD120" i="24"/>
  <c r="Z120" i="24"/>
  <c r="V120" i="24"/>
  <c r="R120" i="24"/>
  <c r="N120" i="24"/>
  <c r="AH119" i="24"/>
  <c r="AD119" i="24"/>
  <c r="Z119" i="24"/>
  <c r="V119" i="24"/>
  <c r="R119" i="24"/>
  <c r="N119" i="24"/>
  <c r="AH118" i="24"/>
  <c r="AD118" i="24"/>
  <c r="Z118" i="24"/>
  <c r="V118" i="24"/>
  <c r="R118" i="24"/>
  <c r="N118" i="24"/>
  <c r="AH117" i="24"/>
  <c r="AD117" i="24"/>
  <c r="Z117" i="24"/>
  <c r="V117" i="24"/>
  <c r="R117" i="24"/>
  <c r="N117" i="24"/>
  <c r="AH116" i="24"/>
  <c r="AD116" i="24"/>
  <c r="Z116" i="24"/>
  <c r="V116" i="24"/>
  <c r="R116" i="24"/>
  <c r="N116" i="24"/>
  <c r="AH115" i="24"/>
  <c r="AD115" i="24"/>
  <c r="Z115" i="24"/>
  <c r="V115" i="24"/>
  <c r="R115" i="24"/>
  <c r="N115" i="24"/>
  <c r="AH114" i="24"/>
  <c r="AD114" i="24"/>
  <c r="Z114" i="24"/>
  <c r="V114" i="24"/>
  <c r="R114" i="24"/>
  <c r="N114" i="24"/>
  <c r="AH113" i="24"/>
  <c r="AD113" i="24"/>
  <c r="Z113" i="24"/>
  <c r="V113" i="24"/>
  <c r="R113" i="24"/>
  <c r="N113" i="24"/>
  <c r="AH112" i="24"/>
  <c r="AD112" i="24"/>
  <c r="Z112" i="24"/>
  <c r="V112" i="24"/>
  <c r="R112" i="24"/>
  <c r="N112" i="24"/>
  <c r="AH111" i="24"/>
  <c r="AD111" i="24"/>
  <c r="Z111" i="24"/>
  <c r="V111" i="24"/>
  <c r="R111" i="24"/>
  <c r="N111" i="24"/>
  <c r="AH110" i="24"/>
  <c r="AD110" i="24"/>
  <c r="Z110" i="24"/>
  <c r="V110" i="24"/>
  <c r="R110" i="24"/>
  <c r="N110" i="24"/>
  <c r="AH109" i="24"/>
  <c r="AD109" i="24"/>
  <c r="Z109" i="24"/>
  <c r="V109" i="24"/>
  <c r="R109" i="24"/>
  <c r="N109" i="24"/>
  <c r="AH108" i="24"/>
  <c r="AD108" i="24"/>
  <c r="Z108" i="24"/>
  <c r="V108" i="24"/>
  <c r="R108" i="24"/>
  <c r="N108" i="24"/>
  <c r="AH107" i="24"/>
  <c r="AD107" i="24"/>
  <c r="Z107" i="24"/>
  <c r="V107" i="24"/>
  <c r="R107" i="24"/>
  <c r="N107" i="24"/>
  <c r="AH106" i="24"/>
  <c r="AD106" i="24"/>
  <c r="Z106" i="24"/>
  <c r="V106" i="24"/>
  <c r="R106" i="24"/>
  <c r="N106" i="24"/>
  <c r="AH105" i="24"/>
  <c r="AD105" i="24"/>
  <c r="Z105" i="24"/>
  <c r="V105" i="24"/>
  <c r="R105" i="24"/>
  <c r="N105" i="24"/>
  <c r="AH104" i="24"/>
  <c r="AD104" i="24"/>
  <c r="AH103" i="24"/>
  <c r="AD103" i="24"/>
  <c r="Z103" i="24"/>
  <c r="V103" i="24"/>
  <c r="R103" i="24"/>
  <c r="N103" i="24"/>
  <c r="AH102" i="24"/>
  <c r="AD102" i="24"/>
  <c r="Z102" i="24"/>
  <c r="V102" i="24"/>
  <c r="R102" i="24"/>
  <c r="N102" i="24"/>
  <c r="AH101" i="24"/>
  <c r="AD101" i="24"/>
  <c r="Z101" i="24"/>
  <c r="V101" i="24"/>
  <c r="R101" i="24"/>
  <c r="N101" i="24"/>
  <c r="AH100" i="24"/>
  <c r="AD100" i="24"/>
  <c r="Z100" i="24"/>
  <c r="V100" i="24"/>
  <c r="R100" i="24"/>
  <c r="N100" i="24"/>
  <c r="AH99" i="24"/>
  <c r="AD99" i="24"/>
  <c r="Z99" i="24"/>
  <c r="V99" i="24"/>
  <c r="R99" i="24"/>
  <c r="N99" i="24"/>
  <c r="AH98" i="24"/>
  <c r="AD98" i="24"/>
  <c r="Z98" i="24"/>
  <c r="V98" i="24"/>
  <c r="R98" i="24"/>
  <c r="N98" i="24"/>
  <c r="AH97" i="24"/>
  <c r="AD97" i="24"/>
  <c r="Z97" i="24"/>
  <c r="V97" i="24"/>
  <c r="R97" i="24"/>
  <c r="N97" i="24"/>
  <c r="AH96" i="24"/>
  <c r="AD96" i="24"/>
  <c r="Z96" i="24"/>
  <c r="V96" i="24"/>
  <c r="R96" i="24"/>
  <c r="N96" i="24"/>
  <c r="AH95" i="24"/>
  <c r="AD95" i="24"/>
  <c r="Z95" i="24"/>
  <c r="V95" i="24"/>
  <c r="R95" i="24"/>
  <c r="N95" i="24"/>
  <c r="AH94" i="24"/>
  <c r="AD94" i="24"/>
  <c r="Z94" i="24"/>
  <c r="V94" i="24"/>
  <c r="R94" i="24"/>
  <c r="N94" i="24"/>
  <c r="AH93" i="24"/>
  <c r="AD93" i="24"/>
  <c r="Z93" i="24"/>
  <c r="V93" i="24"/>
  <c r="R93" i="24"/>
  <c r="N93" i="24"/>
  <c r="AH92" i="24"/>
  <c r="AD92" i="24"/>
  <c r="Z92" i="24"/>
  <c r="V92" i="24"/>
  <c r="R92" i="24"/>
  <c r="N92" i="24"/>
  <c r="AH91" i="24"/>
  <c r="AD91" i="24"/>
  <c r="Z91" i="24"/>
  <c r="V91" i="24"/>
  <c r="R91" i="24"/>
  <c r="N91" i="24"/>
  <c r="AH90" i="24"/>
  <c r="AD90" i="24"/>
  <c r="Z90" i="24"/>
  <c r="V90" i="24"/>
  <c r="R90" i="24"/>
  <c r="N90" i="24"/>
  <c r="AH89" i="24"/>
  <c r="AD89" i="24"/>
  <c r="Z89" i="24"/>
  <c r="V89" i="24"/>
  <c r="R89" i="24"/>
  <c r="N89" i="24"/>
  <c r="AH88" i="24"/>
  <c r="AD88" i="24"/>
  <c r="Z88" i="24"/>
  <c r="V88" i="24"/>
  <c r="R88" i="24"/>
  <c r="N88" i="24"/>
  <c r="AH87" i="24"/>
  <c r="AD87" i="24"/>
  <c r="Z87" i="24"/>
  <c r="V87" i="24"/>
  <c r="R87" i="24"/>
  <c r="N87" i="24"/>
  <c r="AH86" i="24"/>
  <c r="AD86" i="24"/>
  <c r="Z86" i="24"/>
  <c r="V86" i="24"/>
  <c r="R86" i="24"/>
  <c r="N86" i="24"/>
  <c r="AH85" i="24"/>
  <c r="AD85" i="24"/>
  <c r="Z85" i="24"/>
  <c r="V85" i="24"/>
  <c r="R85" i="24"/>
  <c r="N85" i="24"/>
  <c r="AH84" i="24"/>
  <c r="AD84" i="24"/>
  <c r="Z84" i="24"/>
  <c r="V84" i="24"/>
  <c r="R84" i="24"/>
  <c r="N84" i="24"/>
  <c r="AH83" i="24"/>
  <c r="AD83" i="24"/>
  <c r="Z83" i="24"/>
  <c r="V83" i="24"/>
  <c r="R83" i="24"/>
  <c r="N83" i="24"/>
  <c r="AH82" i="24"/>
  <c r="AD82" i="24"/>
  <c r="Z82" i="24"/>
  <c r="V82" i="24"/>
  <c r="R82" i="24"/>
  <c r="N82" i="24"/>
  <c r="AH81" i="24"/>
  <c r="AD81" i="24"/>
  <c r="Z81" i="24"/>
  <c r="V81" i="24"/>
  <c r="R81" i="24"/>
  <c r="N81" i="24"/>
  <c r="AH80" i="24"/>
  <c r="AD80" i="24"/>
  <c r="Z80" i="24"/>
  <c r="V80" i="24"/>
  <c r="R80" i="24"/>
  <c r="N80" i="24"/>
  <c r="AH79" i="24"/>
  <c r="AD79" i="24"/>
  <c r="Z79" i="24"/>
  <c r="V79" i="24"/>
  <c r="R79" i="24"/>
  <c r="N79" i="24"/>
  <c r="AH78" i="24"/>
  <c r="AD78" i="24"/>
  <c r="Z78" i="24"/>
  <c r="V78" i="24"/>
  <c r="R78" i="24"/>
  <c r="N78" i="24"/>
  <c r="AH77" i="24"/>
  <c r="AD77" i="24"/>
  <c r="Z77" i="24"/>
  <c r="V77" i="24"/>
  <c r="R77" i="24"/>
  <c r="N77" i="24"/>
  <c r="AH76" i="24"/>
  <c r="AD76" i="24"/>
  <c r="Z76" i="24"/>
  <c r="V76" i="24"/>
  <c r="R76" i="24"/>
  <c r="N76" i="24"/>
  <c r="AH75" i="24"/>
  <c r="AD75" i="24"/>
  <c r="Z75" i="24"/>
  <c r="V75" i="24"/>
  <c r="R75" i="24"/>
  <c r="N75" i="24"/>
  <c r="AH74" i="24"/>
  <c r="AD74" i="24"/>
  <c r="Z74" i="24"/>
  <c r="V74" i="24"/>
  <c r="R74" i="24"/>
  <c r="N74" i="24"/>
  <c r="AH73" i="24"/>
  <c r="AD73" i="24"/>
  <c r="Z73" i="24"/>
  <c r="V73" i="24"/>
  <c r="R73" i="24"/>
  <c r="N73" i="24"/>
  <c r="AH72" i="24"/>
  <c r="AD72" i="24"/>
  <c r="Z72" i="24"/>
  <c r="V72" i="24"/>
  <c r="R72" i="24"/>
  <c r="N72" i="24"/>
  <c r="AH71" i="24"/>
  <c r="AD71" i="24"/>
  <c r="Z71" i="24"/>
  <c r="V71" i="24"/>
  <c r="R71" i="24"/>
  <c r="N71" i="24"/>
  <c r="AH70" i="24"/>
  <c r="AD70" i="24"/>
  <c r="Z70" i="24"/>
  <c r="V70" i="24"/>
  <c r="R70" i="24"/>
  <c r="N70" i="24"/>
  <c r="AH69" i="24"/>
  <c r="AD69" i="24"/>
  <c r="Z69" i="24"/>
  <c r="V69" i="24"/>
  <c r="R69" i="24"/>
  <c r="N69" i="24"/>
  <c r="AH68" i="24"/>
  <c r="AD68" i="24"/>
  <c r="Z68" i="24"/>
  <c r="V68" i="24"/>
  <c r="R68" i="24"/>
  <c r="N68" i="24"/>
  <c r="AH67" i="24"/>
  <c r="AD67" i="24"/>
  <c r="Z67" i="24"/>
  <c r="V67" i="24"/>
  <c r="R67" i="24"/>
  <c r="N67" i="24"/>
  <c r="AH66" i="24"/>
  <c r="AD66" i="24"/>
  <c r="Z66" i="24"/>
  <c r="V66" i="24"/>
  <c r="R66" i="24"/>
  <c r="N66" i="24"/>
  <c r="AH65" i="24"/>
  <c r="AD65" i="24"/>
  <c r="Z65" i="24"/>
  <c r="V65" i="24"/>
  <c r="R65" i="24"/>
  <c r="N65" i="24"/>
  <c r="AH64" i="24"/>
  <c r="AD64" i="24"/>
  <c r="Z64" i="24"/>
  <c r="V64" i="24"/>
  <c r="R64" i="24"/>
  <c r="N64" i="24"/>
  <c r="AH63" i="24"/>
  <c r="AD63" i="24"/>
  <c r="Z63" i="24"/>
  <c r="V63" i="24"/>
  <c r="R63" i="24"/>
  <c r="N63" i="24"/>
  <c r="AH62" i="24"/>
  <c r="AD62" i="24"/>
  <c r="Z62" i="24"/>
  <c r="V62" i="24"/>
  <c r="R62" i="24"/>
  <c r="N62" i="24"/>
  <c r="AH61" i="24"/>
  <c r="AD61" i="24"/>
  <c r="Z61" i="24"/>
  <c r="V61" i="24"/>
  <c r="R61" i="24"/>
  <c r="N61" i="24"/>
  <c r="AH60" i="24"/>
  <c r="AD60" i="24"/>
  <c r="Z60" i="24"/>
  <c r="V60" i="24"/>
  <c r="R60" i="24"/>
  <c r="N60" i="24"/>
  <c r="AH59" i="24"/>
  <c r="AD59" i="24"/>
  <c r="Z59" i="24"/>
  <c r="V59" i="24"/>
  <c r="R59" i="24"/>
  <c r="N59" i="24"/>
  <c r="AH58" i="24"/>
  <c r="AD58" i="24"/>
  <c r="Z58" i="24"/>
  <c r="V58" i="24"/>
  <c r="R58" i="24"/>
  <c r="N58" i="24"/>
  <c r="AH57" i="24"/>
  <c r="AD57" i="24"/>
  <c r="Z57" i="24"/>
  <c r="V57" i="24"/>
  <c r="R57" i="24"/>
  <c r="N57" i="24"/>
  <c r="AH56" i="24"/>
  <c r="AD56" i="24"/>
  <c r="Z56" i="24"/>
  <c r="V56" i="24"/>
  <c r="R56" i="24"/>
  <c r="N56" i="24"/>
  <c r="AH55" i="24"/>
  <c r="AD55" i="24"/>
  <c r="Z55" i="24"/>
  <c r="V55" i="24"/>
  <c r="R55" i="24"/>
  <c r="N55" i="24"/>
  <c r="AH54" i="24"/>
  <c r="AD54" i="24"/>
  <c r="Z54" i="24"/>
  <c r="V54" i="24"/>
  <c r="R54" i="24"/>
  <c r="N54" i="24"/>
  <c r="AH53" i="24"/>
  <c r="AD53" i="24"/>
  <c r="Z53" i="24"/>
  <c r="V53" i="24"/>
  <c r="R53" i="24"/>
  <c r="N53" i="24"/>
  <c r="AH52" i="24"/>
  <c r="AD52" i="24"/>
  <c r="Z52" i="24"/>
  <c r="V52" i="24"/>
  <c r="R52" i="24"/>
  <c r="N52" i="24"/>
  <c r="AH51" i="24"/>
  <c r="AD51" i="24"/>
  <c r="Z51" i="24"/>
  <c r="V51" i="24"/>
  <c r="R51" i="24"/>
  <c r="N51" i="24"/>
  <c r="AH50" i="24"/>
  <c r="AD50" i="24"/>
  <c r="Z50" i="24"/>
  <c r="V50" i="24"/>
  <c r="R50" i="24"/>
  <c r="N50" i="24"/>
  <c r="AH49" i="24"/>
  <c r="AD49" i="24"/>
  <c r="Z49" i="24"/>
  <c r="V49" i="24"/>
  <c r="R49" i="24"/>
  <c r="N49" i="24"/>
  <c r="AH48" i="24"/>
  <c r="AD48" i="24"/>
  <c r="Z48" i="24"/>
  <c r="V48" i="24"/>
  <c r="R48" i="24"/>
  <c r="N48" i="24"/>
  <c r="AH47" i="24"/>
  <c r="AD47" i="24"/>
  <c r="Z47" i="24"/>
  <c r="V47" i="24"/>
  <c r="R47" i="24"/>
  <c r="N47" i="24"/>
  <c r="AH46" i="24"/>
  <c r="AD46" i="24"/>
  <c r="Z46" i="24"/>
  <c r="V46" i="24"/>
  <c r="R46" i="24"/>
  <c r="N46" i="24"/>
  <c r="AH45" i="24"/>
  <c r="AD45" i="24"/>
  <c r="Z45" i="24"/>
  <c r="V45" i="24"/>
  <c r="R45" i="24"/>
  <c r="N45" i="24"/>
  <c r="AH44" i="24"/>
  <c r="AD44" i="24"/>
  <c r="Z44" i="24"/>
  <c r="V44" i="24"/>
  <c r="R44" i="24"/>
  <c r="N44" i="24"/>
  <c r="AH43" i="24"/>
  <c r="AD43" i="24"/>
  <c r="Z43" i="24"/>
  <c r="V43" i="24"/>
  <c r="R43" i="24"/>
  <c r="N43" i="24"/>
  <c r="AH42" i="24"/>
  <c r="AD42" i="24"/>
  <c r="Z42" i="24"/>
  <c r="V42" i="24"/>
  <c r="R42" i="24"/>
  <c r="N42" i="24"/>
  <c r="AH41" i="24"/>
  <c r="AD41" i="24"/>
  <c r="Z41" i="24"/>
  <c r="V41" i="24"/>
  <c r="R41" i="24"/>
  <c r="N41" i="24"/>
  <c r="AH40" i="24"/>
  <c r="AD40" i="24"/>
  <c r="Z40" i="24"/>
  <c r="V40" i="24"/>
  <c r="R40" i="24"/>
  <c r="N40" i="24"/>
  <c r="AH39" i="24"/>
  <c r="AD39" i="24"/>
  <c r="Z39" i="24"/>
  <c r="V39" i="24"/>
  <c r="R39" i="24"/>
  <c r="N39" i="24"/>
  <c r="AH38" i="24"/>
  <c r="AD38" i="24"/>
  <c r="Z38" i="24"/>
  <c r="V38" i="24"/>
  <c r="R38" i="24"/>
  <c r="N38" i="24"/>
  <c r="AH37" i="24"/>
  <c r="AD37" i="24"/>
  <c r="Z37" i="24"/>
  <c r="V37" i="24"/>
  <c r="R37" i="24"/>
  <c r="N37" i="24"/>
  <c r="AH36" i="24"/>
  <c r="AD36" i="24"/>
  <c r="Z36" i="24"/>
  <c r="V36" i="24"/>
  <c r="R36" i="24"/>
  <c r="N36" i="24"/>
  <c r="AH35" i="24"/>
  <c r="AD35" i="24"/>
  <c r="Z35" i="24"/>
  <c r="V35" i="24"/>
  <c r="R35" i="24"/>
  <c r="N35" i="24"/>
  <c r="AH34" i="24"/>
  <c r="AD34" i="24"/>
  <c r="Z34" i="24"/>
  <c r="V34" i="24"/>
  <c r="R34" i="24"/>
  <c r="N34" i="24"/>
  <c r="AH33" i="24"/>
  <c r="AD33" i="24"/>
  <c r="Z33" i="24"/>
  <c r="V33" i="24"/>
  <c r="R33" i="24"/>
  <c r="N33" i="24"/>
  <c r="AH32" i="24"/>
  <c r="AD32" i="24"/>
  <c r="Z32" i="24"/>
  <c r="V32" i="24"/>
  <c r="R32" i="24"/>
  <c r="N32" i="24"/>
  <c r="AH31" i="24"/>
  <c r="AD31" i="24"/>
  <c r="Z31" i="24"/>
  <c r="V31" i="24"/>
  <c r="R31" i="24"/>
  <c r="N31" i="24"/>
  <c r="AH30" i="24"/>
  <c r="AD30" i="24"/>
  <c r="Z30" i="24"/>
  <c r="V30" i="24"/>
  <c r="R30" i="24"/>
  <c r="N30" i="24"/>
  <c r="AH29" i="24"/>
  <c r="AD29" i="24"/>
  <c r="Z29" i="24"/>
  <c r="V29" i="24"/>
  <c r="R29" i="24"/>
  <c r="N29" i="24"/>
  <c r="AH28" i="24"/>
  <c r="AD28" i="24"/>
  <c r="Z28" i="24"/>
  <c r="V28" i="24"/>
  <c r="R28" i="24"/>
  <c r="N28" i="24"/>
  <c r="AH27" i="24"/>
  <c r="AD27" i="24"/>
  <c r="Z27" i="24"/>
  <c r="V27" i="24"/>
  <c r="R27" i="24"/>
  <c r="N27" i="24"/>
  <c r="AH26" i="24"/>
  <c r="AD26" i="24"/>
  <c r="Z26" i="24"/>
  <c r="V26" i="24"/>
  <c r="R26" i="24"/>
  <c r="N26" i="24"/>
  <c r="AH25" i="24"/>
  <c r="AD25" i="24"/>
  <c r="Z25" i="24"/>
  <c r="V25" i="24"/>
  <c r="R25" i="24"/>
  <c r="N25" i="24"/>
  <c r="AH24" i="24"/>
  <c r="AD24" i="24"/>
  <c r="Z24" i="24"/>
  <c r="V24" i="24"/>
  <c r="R24" i="24"/>
  <c r="N24" i="24"/>
  <c r="AH23" i="24"/>
  <c r="AD23" i="24"/>
  <c r="Z23" i="24"/>
  <c r="V23" i="24"/>
  <c r="R23" i="24"/>
  <c r="N23" i="24"/>
  <c r="AH22" i="24"/>
  <c r="AD22" i="24"/>
  <c r="Z22" i="24"/>
  <c r="V22" i="24"/>
  <c r="R22" i="24"/>
  <c r="N22" i="24"/>
  <c r="AH21" i="24"/>
  <c r="AD21" i="24"/>
  <c r="Z21" i="24"/>
  <c r="V21" i="24"/>
  <c r="R21" i="24"/>
  <c r="N21" i="24"/>
  <c r="AH20" i="24"/>
  <c r="AD20" i="24"/>
  <c r="Z20" i="24"/>
  <c r="V20" i="24"/>
  <c r="R20" i="24"/>
  <c r="N20" i="24"/>
  <c r="AH19" i="24"/>
  <c r="AD19" i="24"/>
  <c r="Z19" i="24"/>
  <c r="V19" i="24"/>
  <c r="R19" i="24"/>
  <c r="N19" i="24"/>
  <c r="AH18" i="24"/>
  <c r="AD18" i="24"/>
  <c r="Z18" i="24"/>
  <c r="V18" i="24"/>
  <c r="R18" i="24"/>
  <c r="N18" i="24"/>
  <c r="AH17" i="24"/>
  <c r="AD17" i="24"/>
  <c r="Z17" i="24"/>
  <c r="V17" i="24"/>
  <c r="R17" i="24"/>
  <c r="N17" i="24"/>
  <c r="AH16" i="24"/>
  <c r="AD16" i="24"/>
  <c r="Z16" i="24"/>
  <c r="V16" i="24"/>
  <c r="R16" i="24"/>
  <c r="N16" i="24"/>
  <c r="AH15" i="24"/>
  <c r="AD15" i="24"/>
  <c r="Z15" i="24"/>
  <c r="V15" i="24"/>
  <c r="R15" i="24"/>
  <c r="N15" i="24"/>
  <c r="AH14" i="24"/>
  <c r="AD14" i="24"/>
  <c r="Z14" i="24"/>
  <c r="V14" i="24"/>
  <c r="R14" i="24"/>
  <c r="N14" i="24"/>
  <c r="AH13" i="24"/>
  <c r="AD13" i="24"/>
  <c r="Z13" i="24"/>
  <c r="V13" i="24"/>
  <c r="R13" i="24"/>
  <c r="N13" i="24"/>
  <c r="AH12" i="24"/>
  <c r="AD12" i="24"/>
  <c r="Z12" i="24"/>
  <c r="V12" i="24"/>
  <c r="R12" i="24"/>
  <c r="N12" i="24"/>
  <c r="AH11" i="24"/>
  <c r="AD11" i="24"/>
  <c r="Z11" i="24"/>
  <c r="V11" i="24"/>
  <c r="R11" i="24"/>
  <c r="N11" i="24"/>
  <c r="AH10" i="24"/>
  <c r="AD10" i="24"/>
  <c r="Z10" i="24"/>
  <c r="V10" i="24"/>
  <c r="R10" i="24"/>
  <c r="N10" i="24"/>
  <c r="AH9" i="24"/>
  <c r="AD9" i="24"/>
  <c r="Z9" i="24"/>
  <c r="V9" i="24"/>
  <c r="R9" i="24"/>
  <c r="N9" i="24"/>
  <c r="AH8" i="24"/>
  <c r="AD8" i="24"/>
  <c r="Z8" i="24"/>
  <c r="V8" i="24"/>
  <c r="R8" i="24"/>
  <c r="N8" i="24"/>
  <c r="AH7" i="24"/>
  <c r="AD7" i="24"/>
  <c r="Z7" i="24"/>
  <c r="V7" i="24"/>
  <c r="R7" i="24"/>
  <c r="N7" i="24"/>
  <c r="AH6" i="24"/>
  <c r="AD6" i="24"/>
  <c r="Z6" i="24"/>
  <c r="V6" i="24"/>
  <c r="R6" i="24"/>
  <c r="N6" i="24"/>
  <c r="V104" i="24" l="1"/>
  <c r="N104" i="24"/>
  <c r="AK6" i="17"/>
  <c r="AK7" i="17"/>
  <c r="AK8" i="17"/>
  <c r="AK9" i="17"/>
  <c r="AK10" i="17"/>
  <c r="AK11" i="17"/>
  <c r="AK12" i="17"/>
  <c r="AK13" i="17"/>
  <c r="AK14" i="17"/>
  <c r="AK15" i="17"/>
  <c r="AK16" i="17"/>
  <c r="AK6" i="25" s="1"/>
  <c r="AK17" i="17"/>
  <c r="AK8" i="25" s="1"/>
  <c r="AK18" i="17"/>
  <c r="AK19" i="17"/>
  <c r="AK20" i="17"/>
  <c r="AK21" i="17"/>
  <c r="AK16" i="25" s="1"/>
  <c r="AK22" i="17"/>
  <c r="AK23" i="17"/>
  <c r="AK24" i="17"/>
  <c r="AK25" i="17"/>
  <c r="AK26" i="17"/>
  <c r="AK27" i="17"/>
  <c r="AK28" i="17"/>
  <c r="AK29" i="17"/>
  <c r="AK10" i="25" s="1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7" i="25" s="1"/>
  <c r="AK42" i="17"/>
  <c r="AK9" i="25" s="1"/>
  <c r="AK43" i="17"/>
  <c r="AK44" i="17"/>
  <c r="AK45" i="17"/>
  <c r="AK46" i="17"/>
  <c r="AK47" i="17"/>
  <c r="AK48" i="17"/>
  <c r="AK49" i="17"/>
  <c r="AK11" i="25" s="1"/>
  <c r="AK50" i="17"/>
  <c r="AK51" i="17"/>
  <c r="AK52" i="17"/>
  <c r="AK53" i="17"/>
  <c r="AK54" i="17"/>
  <c r="AK55" i="17"/>
  <c r="AK56" i="17"/>
  <c r="AK57" i="17"/>
  <c r="AK58" i="17"/>
  <c r="AK59" i="17"/>
  <c r="AK60" i="17"/>
  <c r="AK61" i="17"/>
  <c r="AK62" i="17"/>
  <c r="AK63" i="17"/>
  <c r="AK64" i="17"/>
  <c r="AK65" i="17"/>
  <c r="AK66" i="17"/>
  <c r="AK19" i="25" s="1"/>
  <c r="AK67" i="17"/>
  <c r="AK68" i="17"/>
  <c r="AK69" i="17"/>
  <c r="AK70" i="17"/>
  <c r="AK71" i="17"/>
  <c r="AK72" i="17"/>
  <c r="AK73" i="17"/>
  <c r="AK74" i="17"/>
  <c r="AK75" i="17"/>
  <c r="AK23" i="25" s="1"/>
  <c r="AK76" i="17"/>
  <c r="AK77" i="17"/>
  <c r="AK78" i="17"/>
  <c r="AK79" i="17"/>
  <c r="AK80" i="17"/>
  <c r="AK81" i="17"/>
  <c r="AK82" i="17"/>
  <c r="AK83" i="17"/>
  <c r="AK84" i="17"/>
  <c r="AK85" i="17"/>
  <c r="AK86" i="17"/>
  <c r="AK87" i="17"/>
  <c r="AK88" i="17"/>
  <c r="AK89" i="17"/>
  <c r="AK90" i="17"/>
  <c r="AK91" i="17"/>
  <c r="AK92" i="17"/>
  <c r="AK93" i="17"/>
  <c r="AK94" i="17"/>
  <c r="AK95" i="17"/>
  <c r="AK96" i="17"/>
  <c r="AK97" i="17"/>
  <c r="AK98" i="17"/>
  <c r="AK99" i="17"/>
  <c r="AK100" i="17"/>
  <c r="AK101" i="17"/>
  <c r="AK102" i="17"/>
  <c r="AK103" i="17"/>
  <c r="AK104" i="17"/>
  <c r="AK105" i="17"/>
  <c r="AK106" i="17"/>
  <c r="AK107" i="17"/>
  <c r="AK108" i="17"/>
  <c r="AK109" i="17"/>
  <c r="AK110" i="17"/>
  <c r="AK111" i="17"/>
  <c r="AK112" i="17"/>
  <c r="AK113" i="17"/>
  <c r="AK114" i="17"/>
  <c r="AK115" i="17"/>
  <c r="AK116" i="17"/>
  <c r="AK117" i="17"/>
  <c r="AK118" i="17"/>
  <c r="AK119" i="17"/>
  <c r="AK120" i="17"/>
  <c r="AK121" i="17"/>
  <c r="AK122" i="17"/>
  <c r="AK123" i="17"/>
  <c r="AK124" i="17"/>
  <c r="AK125" i="17"/>
  <c r="AK126" i="17"/>
  <c r="AK127" i="17"/>
  <c r="AK128" i="17"/>
  <c r="AK129" i="17"/>
  <c r="AK130" i="17"/>
  <c r="AK131" i="17"/>
  <c r="AK132" i="17"/>
  <c r="AK133" i="17"/>
  <c r="AK134" i="17"/>
  <c r="AK135" i="17"/>
  <c r="AK136" i="17"/>
  <c r="AK137" i="17"/>
  <c r="AK138" i="17"/>
  <c r="AK12" i="25" l="1"/>
  <c r="AK14" i="25"/>
  <c r="AK13" i="25"/>
  <c r="AK18" i="25"/>
  <c r="AK20" i="25"/>
  <c r="AK17" i="25"/>
  <c r="AK15" i="25"/>
  <c r="AK21" i="25"/>
  <c r="AK22" i="25"/>
  <c r="U23" i="25"/>
  <c r="R21" i="18"/>
  <c r="R20" i="18"/>
  <c r="Q19" i="18" l="1"/>
  <c r="Q16" i="18"/>
  <c r="Q15" i="18"/>
  <c r="AD139" i="24" l="1"/>
  <c r="AH139" i="24"/>
  <c r="Z139" i="24"/>
  <c r="V139" i="24" l="1"/>
  <c r="AY7" i="25" l="1"/>
  <c r="AY11" i="25"/>
  <c r="AY15" i="25"/>
  <c r="AY19" i="25"/>
  <c r="AY23" i="25"/>
  <c r="AY9" i="25"/>
  <c r="AY17" i="25"/>
  <c r="AY6" i="25"/>
  <c r="AY14" i="25"/>
  <c r="AY22" i="25"/>
  <c r="AY8" i="25"/>
  <c r="AY12" i="25"/>
  <c r="AY16" i="25"/>
  <c r="AY20" i="25"/>
  <c r="AY13" i="25"/>
  <c r="AY21" i="25"/>
  <c r="AY10" i="25"/>
  <c r="AY18" i="25"/>
  <c r="AY24" i="25" l="1"/>
  <c r="S18" i="17" l="1"/>
  <c r="M18" i="17"/>
  <c r="P18" i="17"/>
  <c r="V18" i="17" l="1"/>
  <c r="V6" i="17"/>
  <c r="J8" i="18" l="1"/>
  <c r="J24" i="18" s="1"/>
  <c r="K14" i="18" l="1"/>
  <c r="K13" i="18"/>
  <c r="N18" i="17" s="1"/>
  <c r="AM18" i="17" s="1"/>
  <c r="J22" i="18"/>
  <c r="J23" i="18"/>
  <c r="L11" i="18" l="1"/>
  <c r="L12" i="18"/>
  <c r="R139" i="24" l="1"/>
  <c r="H6" i="18" l="1"/>
  <c r="R18" i="18" l="1"/>
  <c r="R17" i="18"/>
  <c r="N27" i="18" l="1"/>
  <c r="N28" i="18"/>
  <c r="N26" i="18"/>
  <c r="L19" i="18" l="1"/>
  <c r="O28" i="18"/>
  <c r="O27" i="18"/>
  <c r="N7" i="18"/>
  <c r="M21" i="18" l="1"/>
  <c r="M20" i="18"/>
  <c r="O19" i="18"/>
  <c r="N19" i="18"/>
  <c r="K23" i="18"/>
  <c r="O24" i="18"/>
  <c r="N24" i="18"/>
  <c r="P27" i="18"/>
  <c r="P28" i="18"/>
  <c r="N9" i="18"/>
  <c r="O9" i="18"/>
  <c r="O20" i="18" l="1"/>
  <c r="N20" i="18"/>
  <c r="O21" i="18"/>
  <c r="N21" i="18"/>
  <c r="N139" i="24"/>
  <c r="N14" i="18"/>
  <c r="L16" i="18"/>
  <c r="L15" i="18"/>
  <c r="Q18" i="17" s="1"/>
  <c r="Q14" i="18"/>
  <c r="N13" i="18"/>
  <c r="M18" i="18" l="1"/>
  <c r="M17" i="18"/>
  <c r="T18" i="17" s="1"/>
  <c r="N10" i="18"/>
  <c r="L24" i="18"/>
  <c r="P10" i="18"/>
  <c r="O16" i="18"/>
  <c r="N16" i="18"/>
  <c r="R16" i="18"/>
  <c r="O15" i="18"/>
  <c r="N15" i="18"/>
  <c r="W18" i="17" l="1"/>
  <c r="W6" i="17"/>
  <c r="N11" i="18"/>
  <c r="P11" i="18"/>
  <c r="O11" i="18"/>
  <c r="P12" i="18"/>
  <c r="O12" i="18"/>
  <c r="N12" i="18"/>
  <c r="N17" i="18"/>
  <c r="Q17" i="18"/>
  <c r="O17" i="18"/>
  <c r="Q18" i="18"/>
  <c r="O18" i="18"/>
  <c r="N18" i="18"/>
  <c r="F11" i="25" l="1"/>
  <c r="F17" i="25"/>
  <c r="F23" i="25"/>
  <c r="F8" i="25"/>
  <c r="F9" i="25"/>
  <c r="F14" i="25"/>
  <c r="F15" i="25"/>
  <c r="F6" i="25"/>
  <c r="F12" i="25"/>
  <c r="F18" i="25"/>
  <c r="F7" i="25"/>
  <c r="F13" i="25"/>
  <c r="F19" i="25"/>
  <c r="F20" i="25"/>
  <c r="F21" i="25"/>
  <c r="F10" i="25"/>
  <c r="F16" i="25"/>
  <c r="F22" i="25"/>
  <c r="AG23" i="25"/>
  <c r="AG6" i="25"/>
  <c r="AG22" i="25"/>
  <c r="AG10" i="25"/>
  <c r="AG9" i="25"/>
  <c r="AG12" i="25"/>
  <c r="AG20" i="25"/>
  <c r="AG14" i="25"/>
  <c r="AJ24" i="25"/>
  <c r="AG7" i="25"/>
  <c r="AG15" i="25"/>
  <c r="AG21" i="25"/>
  <c r="AG16" i="25"/>
  <c r="AG18" i="25"/>
  <c r="AG19" i="25"/>
  <c r="AG13" i="25"/>
  <c r="AH24" i="25"/>
  <c r="AG8" i="25"/>
  <c r="AG11" i="25"/>
  <c r="AG17" i="25"/>
  <c r="P58" i="17"/>
  <c r="Q58" i="17" s="1"/>
  <c r="M29" i="17"/>
  <c r="N29" i="17" s="1"/>
  <c r="V16" i="17"/>
  <c r="W16" i="17" s="1"/>
  <c r="AF6" i="25"/>
  <c r="AF12" i="25"/>
  <c r="AF18" i="25"/>
  <c r="U10" i="25"/>
  <c r="R13" i="25"/>
  <c r="U17" i="25"/>
  <c r="L21" i="25"/>
  <c r="O20" i="25"/>
  <c r="B22" i="25"/>
  <c r="U15" i="25"/>
  <c r="R20" i="25"/>
  <c r="R19" i="25"/>
  <c r="C23" i="25"/>
  <c r="B9" i="25"/>
  <c r="D11" i="25"/>
  <c r="L17" i="25"/>
  <c r="R23" i="25"/>
  <c r="L7" i="25"/>
  <c r="U18" i="25"/>
  <c r="R12" i="25"/>
  <c r="R9" i="25"/>
  <c r="E10" i="25"/>
  <c r="O11" i="25"/>
  <c r="D19" i="25"/>
  <c r="C12" i="25"/>
  <c r="L9" i="25"/>
  <c r="R7" i="25"/>
  <c r="B13" i="25"/>
  <c r="E13" i="25"/>
  <c r="O18" i="25"/>
  <c r="C21" i="25"/>
  <c r="D7" i="25"/>
  <c r="B15" i="25"/>
  <c r="D12" i="25"/>
  <c r="R16" i="25"/>
  <c r="L15" i="25"/>
  <c r="L13" i="25"/>
  <c r="R15" i="25"/>
  <c r="O13" i="25"/>
  <c r="O12" i="25"/>
  <c r="D15" i="25"/>
  <c r="C16" i="25"/>
  <c r="E14" i="25"/>
  <c r="R10" i="25"/>
  <c r="L14" i="25"/>
  <c r="D8" i="25"/>
  <c r="B23" i="25"/>
  <c r="E23" i="25"/>
  <c r="E19" i="25"/>
  <c r="B14" i="25"/>
  <c r="D22" i="25"/>
  <c r="O23" i="25"/>
  <c r="U11" i="25"/>
  <c r="U16" i="25"/>
  <c r="D18" i="25"/>
  <c r="E7" i="25"/>
  <c r="O15" i="25"/>
  <c r="L20" i="25"/>
  <c r="R18" i="25"/>
  <c r="L19" i="25"/>
  <c r="L18" i="25"/>
  <c r="O8" i="25"/>
  <c r="B19" i="25"/>
  <c r="B16" i="25"/>
  <c r="C19" i="25"/>
  <c r="C15" i="25"/>
  <c r="B20" i="25"/>
  <c r="C9" i="25"/>
  <c r="O22" i="25"/>
  <c r="U22" i="25"/>
  <c r="E22" i="25"/>
  <c r="E17" i="25"/>
  <c r="E15" i="25"/>
  <c r="U19" i="25"/>
  <c r="B10" i="25"/>
  <c r="E16" i="25"/>
  <c r="L16" i="25"/>
  <c r="C7" i="25"/>
  <c r="O19" i="25"/>
  <c r="C8" i="25"/>
  <c r="U7" i="25"/>
  <c r="U12" i="25"/>
  <c r="L23" i="25"/>
  <c r="R11" i="25"/>
  <c r="B8" i="25"/>
  <c r="E20" i="25"/>
  <c r="U9" i="25"/>
  <c r="O9" i="25"/>
  <c r="D13" i="25"/>
  <c r="L8" i="25"/>
  <c r="D14" i="25"/>
  <c r="E11" i="25"/>
  <c r="C10" i="25"/>
  <c r="B11" i="25"/>
  <c r="D17" i="25"/>
  <c r="U21" i="25"/>
  <c r="C22" i="25"/>
  <c r="R14" i="25"/>
  <c r="B17" i="25"/>
  <c r="E21" i="25"/>
  <c r="C11" i="25"/>
  <c r="U14" i="25"/>
  <c r="B21" i="25"/>
  <c r="C14" i="25"/>
  <c r="R22" i="25"/>
  <c r="B7" i="25"/>
  <c r="C18" i="25"/>
  <c r="D16" i="25"/>
  <c r="R8" i="25"/>
  <c r="L12" i="25"/>
  <c r="L10" i="25"/>
  <c r="D9" i="25"/>
  <c r="D20" i="25"/>
  <c r="E18" i="25"/>
  <c r="B12" i="25"/>
  <c r="E8" i="25"/>
  <c r="O21" i="25"/>
  <c r="O14" i="25"/>
  <c r="E12" i="25"/>
  <c r="L22" i="25"/>
  <c r="C13" i="25"/>
  <c r="D21" i="25"/>
  <c r="R17" i="25"/>
  <c r="C20" i="25"/>
  <c r="R21" i="25"/>
  <c r="D23" i="25"/>
  <c r="E9" i="25"/>
  <c r="C17" i="25"/>
  <c r="L11" i="25"/>
  <c r="U8" i="25"/>
  <c r="U13" i="25"/>
  <c r="O17" i="25"/>
  <c r="U20" i="25"/>
  <c r="O16" i="25"/>
  <c r="D10" i="25"/>
  <c r="O7" i="25"/>
  <c r="O10" i="25"/>
  <c r="B18" i="25"/>
  <c r="U6" i="25"/>
  <c r="AF11" i="25"/>
  <c r="AF13" i="25"/>
  <c r="AF20" i="25"/>
  <c r="B6" i="25"/>
  <c r="AF14" i="25"/>
  <c r="AF9" i="25"/>
  <c r="L6" i="25"/>
  <c r="O6" i="25"/>
  <c r="AF21" i="25"/>
  <c r="AF8" i="25"/>
  <c r="AF22" i="25"/>
  <c r="C6" i="25"/>
  <c r="D6" i="25"/>
  <c r="E6" i="25"/>
  <c r="AF16" i="25"/>
  <c r="R6" i="25"/>
  <c r="AF10" i="25"/>
  <c r="AF17" i="25"/>
  <c r="AF19" i="25"/>
  <c r="AF15" i="25"/>
  <c r="AF7" i="25"/>
  <c r="F24" i="25" l="1"/>
  <c r="U24" i="25"/>
  <c r="D24" i="25"/>
  <c r="C24" i="25"/>
  <c r="O24" i="25"/>
  <c r="AF24" i="25"/>
  <c r="L24" i="25"/>
  <c r="AI24" i="25"/>
  <c r="AG24" i="25"/>
  <c r="R24" i="25"/>
  <c r="B24" i="25"/>
  <c r="E24" i="25"/>
  <c r="AK24" i="25"/>
  <c r="M37" i="17"/>
  <c r="P39" i="17"/>
  <c r="Q39" i="17" s="1"/>
  <c r="P135" i="17"/>
  <c r="Q135" i="17" s="1"/>
  <c r="M102" i="17"/>
  <c r="N102" i="17" s="1"/>
  <c r="M114" i="17"/>
  <c r="M106" i="17"/>
  <c r="M30" i="17"/>
  <c r="M10" i="17"/>
  <c r="M38" i="17"/>
  <c r="M24" i="17"/>
  <c r="M81" i="17"/>
  <c r="M12" i="17"/>
  <c r="N12" i="17" s="1"/>
  <c r="S96" i="17"/>
  <c r="T96" i="17" s="1"/>
  <c r="S134" i="17"/>
  <c r="T134" i="17" s="1"/>
  <c r="S100" i="17"/>
  <c r="T100" i="17" s="1"/>
  <c r="S135" i="17"/>
  <c r="T135" i="17" s="1"/>
  <c r="P136" i="17"/>
  <c r="Q136" i="17" s="1"/>
  <c r="P123" i="17"/>
  <c r="Q123" i="17" s="1"/>
  <c r="S84" i="17"/>
  <c r="T84" i="17" s="1"/>
  <c r="S36" i="17"/>
  <c r="T36" i="17" s="1"/>
  <c r="P90" i="17"/>
  <c r="Q90" i="17" s="1"/>
  <c r="S127" i="17"/>
  <c r="T127" i="17" s="1"/>
  <c r="P47" i="17"/>
  <c r="Q47" i="17" s="1"/>
  <c r="M83" i="17"/>
  <c r="S132" i="17"/>
  <c r="T132" i="17" s="1"/>
  <c r="S59" i="17"/>
  <c r="T59" i="17" s="1"/>
  <c r="P107" i="17"/>
  <c r="Q107" i="17" s="1"/>
  <c r="S41" i="17"/>
  <c r="T41" i="17" s="1"/>
  <c r="S56" i="17"/>
  <c r="T56" i="17" s="1"/>
  <c r="S80" i="17"/>
  <c r="T80" i="17" s="1"/>
  <c r="P95" i="17"/>
  <c r="Q95" i="17" s="1"/>
  <c r="P83" i="17"/>
  <c r="Q83" i="17" s="1"/>
  <c r="S73" i="17"/>
  <c r="T73" i="17" s="1"/>
  <c r="P101" i="17"/>
  <c r="Q101" i="17" s="1"/>
  <c r="S20" i="17"/>
  <c r="T20" i="17" s="1"/>
  <c r="P85" i="17"/>
  <c r="Q85" i="17" s="1"/>
  <c r="S81" i="17"/>
  <c r="T81" i="17" s="1"/>
  <c r="S61" i="17"/>
  <c r="T61" i="17" s="1"/>
  <c r="P62" i="17"/>
  <c r="Q62" i="17" s="1"/>
  <c r="P48" i="17"/>
  <c r="Q48" i="17" s="1"/>
  <c r="P50" i="17"/>
  <c r="Q50" i="17" s="1"/>
  <c r="S54" i="17"/>
  <c r="T54" i="17" s="1"/>
  <c r="S13" i="17"/>
  <c r="T13" i="17" s="1"/>
  <c r="S29" i="17"/>
  <c r="T29" i="17" s="1"/>
  <c r="S12" i="17"/>
  <c r="T12" i="17" s="1"/>
  <c r="S122" i="17"/>
  <c r="T122" i="17" s="1"/>
  <c r="S11" i="17"/>
  <c r="T11" i="17" s="1"/>
  <c r="S21" i="17"/>
  <c r="T21" i="17" s="1"/>
  <c r="P25" i="17"/>
  <c r="Q25" i="17" s="1"/>
  <c r="S95" i="17"/>
  <c r="T95" i="17" s="1"/>
  <c r="S126" i="17"/>
  <c r="T126" i="17" s="1"/>
  <c r="S79" i="17"/>
  <c r="T79" i="17" s="1"/>
  <c r="S85" i="17"/>
  <c r="T85" i="17" s="1"/>
  <c r="S27" i="17"/>
  <c r="T27" i="17" s="1"/>
  <c r="P79" i="17"/>
  <c r="Q79" i="17" s="1"/>
  <c r="P32" i="17"/>
  <c r="Q32" i="17" s="1"/>
  <c r="P6" i="17"/>
  <c r="P86" i="17"/>
  <c r="Q86" i="17" s="1"/>
  <c r="P122" i="17"/>
  <c r="Q122" i="17" s="1"/>
  <c r="S17" i="17"/>
  <c r="T17" i="17" s="1"/>
  <c r="S34" i="17"/>
  <c r="T34" i="17" s="1"/>
  <c r="S123" i="17"/>
  <c r="T123" i="17" s="1"/>
  <c r="S112" i="17"/>
  <c r="T112" i="17" s="1"/>
  <c r="S66" i="17"/>
  <c r="T66" i="17" s="1"/>
  <c r="S129" i="17"/>
  <c r="T129" i="17" s="1"/>
  <c r="P26" i="17"/>
  <c r="Q26" i="17" s="1"/>
  <c r="P68" i="17"/>
  <c r="Q68" i="17" s="1"/>
  <c r="S131" i="17"/>
  <c r="T131" i="17" s="1"/>
  <c r="S50" i="17"/>
  <c r="T50" i="17" s="1"/>
  <c r="S121" i="17"/>
  <c r="T121" i="17" s="1"/>
  <c r="S65" i="17"/>
  <c r="T65" i="17" s="1"/>
  <c r="S71" i="17"/>
  <c r="T71" i="17" s="1"/>
  <c r="P77" i="17"/>
  <c r="Q77" i="17" s="1"/>
  <c r="P94" i="17"/>
  <c r="Q94" i="17" s="1"/>
  <c r="P80" i="17"/>
  <c r="Q80" i="17" s="1"/>
  <c r="P75" i="17"/>
  <c r="Q75" i="17" s="1"/>
  <c r="P99" i="17"/>
  <c r="Q99" i="17" s="1"/>
  <c r="P12" i="17"/>
  <c r="Q12" i="17" s="1"/>
  <c r="M60" i="17"/>
  <c r="M88" i="17"/>
  <c r="M73" i="17"/>
  <c r="M120" i="17"/>
  <c r="M128" i="17"/>
  <c r="M8" i="17"/>
  <c r="M26" i="17"/>
  <c r="M46" i="17"/>
  <c r="M104" i="17"/>
  <c r="M85" i="17"/>
  <c r="M36" i="17"/>
  <c r="M69" i="17"/>
  <c r="M54" i="17"/>
  <c r="M7" i="17"/>
  <c r="M11" i="17"/>
  <c r="M82" i="17"/>
  <c r="M31" i="17"/>
  <c r="M122" i="17"/>
  <c r="M41" i="17"/>
  <c r="M101" i="17"/>
  <c r="M59" i="17"/>
  <c r="M25" i="17"/>
  <c r="M92" i="17"/>
  <c r="M87" i="17"/>
  <c r="M86" i="17"/>
  <c r="M9" i="17"/>
  <c r="M79" i="17"/>
  <c r="M93" i="17"/>
  <c r="M89" i="17"/>
  <c r="M97" i="17"/>
  <c r="M48" i="17"/>
  <c r="M110" i="17"/>
  <c r="M138" i="17"/>
  <c r="M74" i="17"/>
  <c r="M32" i="17"/>
  <c r="M134" i="17"/>
  <c r="M66" i="17"/>
  <c r="M6" i="17"/>
  <c r="S109" i="17"/>
  <c r="T109" i="17" s="1"/>
  <c r="S108" i="17"/>
  <c r="T108" i="17" s="1"/>
  <c r="S86" i="17"/>
  <c r="T86" i="17" s="1"/>
  <c r="S75" i="17"/>
  <c r="T75" i="17" s="1"/>
  <c r="S83" i="17"/>
  <c r="T83" i="17" s="1"/>
  <c r="S77" i="17"/>
  <c r="T77" i="17" s="1"/>
  <c r="P126" i="17"/>
  <c r="Q126" i="17" s="1"/>
  <c r="P52" i="17"/>
  <c r="Q52" i="17" s="1"/>
  <c r="P103" i="17"/>
  <c r="Q103" i="17" s="1"/>
  <c r="S55" i="17"/>
  <c r="T55" i="17" s="1"/>
  <c r="S125" i="17"/>
  <c r="T125" i="17" s="1"/>
  <c r="S82" i="17"/>
  <c r="T82" i="17" s="1"/>
  <c r="S128" i="17"/>
  <c r="T128" i="17" s="1"/>
  <c r="S106" i="17"/>
  <c r="T106" i="17" s="1"/>
  <c r="S99" i="17"/>
  <c r="T99" i="17" s="1"/>
  <c r="P97" i="17"/>
  <c r="Q97" i="17" s="1"/>
  <c r="P112" i="17"/>
  <c r="Q112" i="17" s="1"/>
  <c r="P9" i="17"/>
  <c r="Q9" i="17" s="1"/>
  <c r="P88" i="17"/>
  <c r="Q88" i="17" s="1"/>
  <c r="P110" i="17"/>
  <c r="Q110" i="17" s="1"/>
  <c r="S76" i="17"/>
  <c r="T76" i="17" s="1"/>
  <c r="S40" i="17"/>
  <c r="T40" i="17" s="1"/>
  <c r="S44" i="17"/>
  <c r="T44" i="17" s="1"/>
  <c r="S110" i="17"/>
  <c r="T110" i="17" s="1"/>
  <c r="S52" i="17"/>
  <c r="T52" i="17" s="1"/>
  <c r="S33" i="17"/>
  <c r="T33" i="17" s="1"/>
  <c r="S104" i="17"/>
  <c r="T104" i="17" s="1"/>
  <c r="S37" i="17"/>
  <c r="T37" i="17" s="1"/>
  <c r="S22" i="17"/>
  <c r="T22" i="17" s="1"/>
  <c r="S51" i="17"/>
  <c r="T51" i="17" s="1"/>
  <c r="S111" i="17"/>
  <c r="T111" i="17" s="1"/>
  <c r="S31" i="17"/>
  <c r="T31" i="17" s="1"/>
  <c r="S97" i="17"/>
  <c r="T97" i="17" s="1"/>
  <c r="S93" i="17"/>
  <c r="T93" i="17" s="1"/>
  <c r="S91" i="17"/>
  <c r="T91" i="17" s="1"/>
  <c r="S119" i="17"/>
  <c r="T119" i="17" s="1"/>
  <c r="S58" i="17"/>
  <c r="T58" i="17" s="1"/>
  <c r="S115" i="17"/>
  <c r="T115" i="17" s="1"/>
  <c r="S23" i="17"/>
  <c r="T23" i="17" s="1"/>
  <c r="S45" i="17"/>
  <c r="T45" i="17" s="1"/>
  <c r="S46" i="17"/>
  <c r="T46" i="17" s="1"/>
  <c r="S57" i="17"/>
  <c r="T57" i="17" s="1"/>
  <c r="S102" i="17"/>
  <c r="T102" i="17" s="1"/>
  <c r="S16" i="17"/>
  <c r="T16" i="17" s="1"/>
  <c r="S116" i="17"/>
  <c r="T116" i="17" s="1"/>
  <c r="S137" i="17"/>
  <c r="T137" i="17" s="1"/>
  <c r="S43" i="17"/>
  <c r="T43" i="17" s="1"/>
  <c r="S136" i="17"/>
  <c r="T136" i="17" s="1"/>
  <c r="S124" i="17"/>
  <c r="T124" i="17" s="1"/>
  <c r="S90" i="17"/>
  <c r="T90" i="17" s="1"/>
  <c r="S26" i="17"/>
  <c r="T26" i="17" s="1"/>
  <c r="S48" i="17"/>
  <c r="T48" i="17" s="1"/>
  <c r="S120" i="17"/>
  <c r="T120" i="17" s="1"/>
  <c r="S138" i="17"/>
  <c r="T138" i="17" s="1"/>
  <c r="S15" i="17"/>
  <c r="T15" i="17" s="1"/>
  <c r="S8" i="17"/>
  <c r="T8" i="17" s="1"/>
  <c r="S107" i="17"/>
  <c r="T107" i="17" s="1"/>
  <c r="S87" i="17"/>
  <c r="T87" i="17" s="1"/>
  <c r="S103" i="17"/>
  <c r="T103" i="17" s="1"/>
  <c r="S32" i="17"/>
  <c r="T32" i="17" s="1"/>
  <c r="S70" i="17"/>
  <c r="T70" i="17" s="1"/>
  <c r="S94" i="17"/>
  <c r="T94" i="17" s="1"/>
  <c r="S69" i="17"/>
  <c r="T69" i="17" s="1"/>
  <c r="S49" i="17"/>
  <c r="T49" i="17" s="1"/>
  <c r="S24" i="17"/>
  <c r="T24" i="17" s="1"/>
  <c r="S130" i="17"/>
  <c r="T130" i="17" s="1"/>
  <c r="S72" i="17"/>
  <c r="T72" i="17" s="1"/>
  <c r="S35" i="17"/>
  <c r="T35" i="17" s="1"/>
  <c r="S53" i="17"/>
  <c r="T53" i="17" s="1"/>
  <c r="S98" i="17"/>
  <c r="T98" i="17" s="1"/>
  <c r="S39" i="17"/>
  <c r="T39" i="17" s="1"/>
  <c r="S47" i="17"/>
  <c r="T47" i="17" s="1"/>
  <c r="S10" i="17"/>
  <c r="T10" i="17" s="1"/>
  <c r="S78" i="17"/>
  <c r="T78" i="17" s="1"/>
  <c r="S68" i="17"/>
  <c r="T68" i="17" s="1"/>
  <c r="S14" i="17"/>
  <c r="T14" i="17" s="1"/>
  <c r="S118" i="17"/>
  <c r="T118" i="17" s="1"/>
  <c r="S64" i="17"/>
  <c r="T64" i="17" s="1"/>
  <c r="S6" i="17"/>
  <c r="S38" i="17"/>
  <c r="T38" i="17" s="1"/>
  <c r="S133" i="17"/>
  <c r="T133" i="17" s="1"/>
  <c r="S105" i="17"/>
  <c r="T105" i="17" s="1"/>
  <c r="S67" i="17"/>
  <c r="T67" i="17" s="1"/>
  <c r="S92" i="17"/>
  <c r="T92" i="17" s="1"/>
  <c r="S117" i="17"/>
  <c r="T117" i="17" s="1"/>
  <c r="S62" i="17"/>
  <c r="T62" i="17" s="1"/>
  <c r="S88" i="17"/>
  <c r="T88" i="17" s="1"/>
  <c r="S30" i="17"/>
  <c r="T30" i="17" s="1"/>
  <c r="S101" i="17"/>
  <c r="T101" i="17" s="1"/>
  <c r="S28" i="17"/>
  <c r="T28" i="17" s="1"/>
  <c r="S7" i="17"/>
  <c r="T7" i="17" s="1"/>
  <c r="S9" i="17"/>
  <c r="T9" i="17" s="1"/>
  <c r="S63" i="17"/>
  <c r="T63" i="17" s="1"/>
  <c r="S74" i="17"/>
  <c r="T74" i="17" s="1"/>
  <c r="S60" i="17"/>
  <c r="T60" i="17" s="1"/>
  <c r="S89" i="17"/>
  <c r="T89" i="17" s="1"/>
  <c r="S114" i="17"/>
  <c r="T114" i="17" s="1"/>
  <c r="S42" i="17"/>
  <c r="T42" i="17" s="1"/>
  <c r="S25" i="17"/>
  <c r="T25" i="17" s="1"/>
  <c r="S19" i="17"/>
  <c r="T19" i="17" s="1"/>
  <c r="S113" i="17"/>
  <c r="T113" i="17" s="1"/>
  <c r="M42" i="17"/>
  <c r="M13" i="17"/>
  <c r="M64" i="17"/>
  <c r="M57" i="17"/>
  <c r="M47" i="17"/>
  <c r="M107" i="17"/>
  <c r="M94" i="17"/>
  <c r="M53" i="17"/>
  <c r="M112" i="17"/>
  <c r="M103" i="17"/>
  <c r="M51" i="17"/>
  <c r="M21" i="17"/>
  <c r="M123" i="17"/>
  <c r="M16" i="17"/>
  <c r="M68" i="17"/>
  <c r="M119" i="17"/>
  <c r="V71" i="17"/>
  <c r="W71" i="17" s="1"/>
  <c r="P74" i="17"/>
  <c r="Q74" i="17" s="1"/>
  <c r="V13" i="17"/>
  <c r="W13" i="17" s="1"/>
  <c r="V34" i="17"/>
  <c r="W34" i="17" s="1"/>
  <c r="V63" i="17"/>
  <c r="W63" i="17" s="1"/>
  <c r="V51" i="17"/>
  <c r="W51" i="17" s="1"/>
  <c r="V100" i="17"/>
  <c r="W100" i="17" s="1"/>
  <c r="M63" i="17"/>
  <c r="M50" i="17"/>
  <c r="M72" i="17"/>
  <c r="P82" i="17"/>
  <c r="Q82" i="17" s="1"/>
  <c r="M80" i="17"/>
  <c r="M56" i="17"/>
  <c r="M100" i="17"/>
  <c r="M55" i="17"/>
  <c r="M127" i="17"/>
  <c r="M135" i="17"/>
  <c r="M67" i="17"/>
  <c r="M61" i="17"/>
  <c r="P127" i="17"/>
  <c r="Q127" i="17" s="1"/>
  <c r="V91" i="17"/>
  <c r="W91" i="17" s="1"/>
  <c r="V15" i="17"/>
  <c r="W15" i="17" s="1"/>
  <c r="M20" i="17"/>
  <c r="M132" i="17"/>
  <c r="M58" i="17"/>
  <c r="M28" i="17"/>
  <c r="M109" i="17"/>
  <c r="M131" i="17"/>
  <c r="M23" i="17"/>
  <c r="M62" i="17"/>
  <c r="M116" i="17"/>
  <c r="M99" i="17"/>
  <c r="P96" i="17"/>
  <c r="Q96" i="17" s="1"/>
  <c r="P35" i="17"/>
  <c r="Q35" i="17" s="1"/>
  <c r="P51" i="17"/>
  <c r="Q51" i="17" s="1"/>
  <c r="P71" i="17"/>
  <c r="Q71" i="17" s="1"/>
  <c r="M71" i="17"/>
  <c r="M70" i="17"/>
  <c r="M96" i="17"/>
  <c r="M113" i="17"/>
  <c r="M98" i="17"/>
  <c r="M115" i="17"/>
  <c r="M14" i="17"/>
  <c r="M136" i="17"/>
  <c r="M126" i="17"/>
  <c r="M118" i="17"/>
  <c r="M129" i="17"/>
  <c r="M22" i="17"/>
  <c r="M95" i="17"/>
  <c r="M65" i="17"/>
  <c r="M137" i="17"/>
  <c r="M40" i="17"/>
  <c r="M44" i="17"/>
  <c r="M34" i="17"/>
  <c r="M45" i="17"/>
  <c r="M76" i="17"/>
  <c r="V40" i="17"/>
  <c r="W40" i="17" s="1"/>
  <c r="V89" i="17"/>
  <c r="W89" i="17" s="1"/>
  <c r="V10" i="17"/>
  <c r="W10" i="17" s="1"/>
  <c r="P43" i="17"/>
  <c r="Q43" i="17" s="1"/>
  <c r="M78" i="17"/>
  <c r="N78" i="17" s="1"/>
  <c r="M33" i="17"/>
  <c r="N33" i="17" s="1"/>
  <c r="M39" i="17"/>
  <c r="M77" i="17"/>
  <c r="M105" i="17"/>
  <c r="M15" i="17"/>
  <c r="M91" i="17"/>
  <c r="M35" i="17"/>
  <c r="M125" i="17"/>
  <c r="M117" i="17"/>
  <c r="M75" i="17"/>
  <c r="M108" i="17"/>
  <c r="M90" i="17"/>
  <c r="M43" i="17"/>
  <c r="M19" i="17"/>
  <c r="M121" i="17"/>
  <c r="M84" i="17"/>
  <c r="M27" i="17"/>
  <c r="M111" i="17"/>
  <c r="M124" i="17"/>
  <c r="M49" i="17"/>
  <c r="M133" i="17"/>
  <c r="M17" i="17"/>
  <c r="M52" i="17"/>
  <c r="M130" i="17"/>
  <c r="V22" i="17"/>
  <c r="W22" i="17" s="1"/>
  <c r="V99" i="17"/>
  <c r="W99" i="17" s="1"/>
  <c r="V19" i="17"/>
  <c r="W19" i="17" s="1"/>
  <c r="V109" i="17"/>
  <c r="W109" i="17" s="1"/>
  <c r="V68" i="17"/>
  <c r="W68" i="17" s="1"/>
  <c r="V137" i="17"/>
  <c r="W137" i="17" s="1"/>
  <c r="V27" i="17"/>
  <c r="W27" i="17" s="1"/>
  <c r="V17" i="17"/>
  <c r="W17" i="17" s="1"/>
  <c r="V121" i="17"/>
  <c r="W121" i="17" s="1"/>
  <c r="V62" i="17"/>
  <c r="W62" i="17" s="1"/>
  <c r="V82" i="17"/>
  <c r="W82" i="17" s="1"/>
  <c r="V111" i="17"/>
  <c r="W111" i="17" s="1"/>
  <c r="V83" i="17"/>
  <c r="W83" i="17" s="1"/>
  <c r="V126" i="17"/>
  <c r="W126" i="17" s="1"/>
  <c r="V76" i="17"/>
  <c r="W76" i="17" s="1"/>
  <c r="V24" i="17"/>
  <c r="W24" i="17" s="1"/>
  <c r="V131" i="17"/>
  <c r="W131" i="17" s="1"/>
  <c r="V38" i="17"/>
  <c r="W38" i="17" s="1"/>
  <c r="V72" i="17"/>
  <c r="W72" i="17" s="1"/>
  <c r="V114" i="17"/>
  <c r="W114" i="17" s="1"/>
  <c r="V122" i="17"/>
  <c r="W122" i="17" s="1"/>
  <c r="V48" i="17"/>
  <c r="W48" i="17" s="1"/>
  <c r="V54" i="17"/>
  <c r="W54" i="17" s="1"/>
  <c r="V28" i="17"/>
  <c r="W28" i="17" s="1"/>
  <c r="V35" i="17"/>
  <c r="W35" i="17" s="1"/>
  <c r="V106" i="17"/>
  <c r="W106" i="17" s="1"/>
  <c r="V101" i="17"/>
  <c r="W101" i="17" s="1"/>
  <c r="V42" i="17"/>
  <c r="W42" i="17" s="1"/>
  <c r="V21" i="17"/>
  <c r="W21" i="17" s="1"/>
  <c r="V9" i="17"/>
  <c r="W9" i="17" s="1"/>
  <c r="V56" i="17"/>
  <c r="W56" i="17" s="1"/>
  <c r="V94" i="17"/>
  <c r="W94" i="17" s="1"/>
  <c r="V44" i="17"/>
  <c r="W44" i="17" s="1"/>
  <c r="V133" i="17"/>
  <c r="W133" i="17" s="1"/>
  <c r="V88" i="17"/>
  <c r="W88" i="17" s="1"/>
  <c r="V74" i="17"/>
  <c r="W74" i="17" s="1"/>
  <c r="V85" i="17"/>
  <c r="W85" i="17" s="1"/>
  <c r="V110" i="17"/>
  <c r="W110" i="17" s="1"/>
  <c r="V59" i="17"/>
  <c r="W59" i="17" s="1"/>
  <c r="V136" i="17"/>
  <c r="W136" i="17" s="1"/>
  <c r="V127" i="17"/>
  <c r="W127" i="17" s="1"/>
  <c r="V20" i="17"/>
  <c r="W20" i="17" s="1"/>
  <c r="V70" i="17"/>
  <c r="W70" i="17" s="1"/>
  <c r="V125" i="17"/>
  <c r="W125" i="17" s="1"/>
  <c r="V120" i="17"/>
  <c r="W120" i="17" s="1"/>
  <c r="V87" i="17"/>
  <c r="W87" i="17" s="1"/>
  <c r="V138" i="17"/>
  <c r="W138" i="17" s="1"/>
  <c r="V41" i="17"/>
  <c r="W41" i="17" s="1"/>
  <c r="V90" i="17"/>
  <c r="W90" i="17" s="1"/>
  <c r="V119" i="17"/>
  <c r="W119" i="17" s="1"/>
  <c r="V77" i="17"/>
  <c r="W77" i="17" s="1"/>
  <c r="V97" i="17"/>
  <c r="W97" i="17" s="1"/>
  <c r="V118" i="17"/>
  <c r="W118" i="17" s="1"/>
  <c r="V66" i="17"/>
  <c r="W66" i="17" s="1"/>
  <c r="V67" i="17"/>
  <c r="W67" i="17" s="1"/>
  <c r="V12" i="17"/>
  <c r="W12" i="17" s="1"/>
  <c r="V128" i="17"/>
  <c r="W128" i="17" s="1"/>
  <c r="V26" i="17"/>
  <c r="W26" i="17" s="1"/>
  <c r="V55" i="17"/>
  <c r="W55" i="17" s="1"/>
  <c r="V81" i="17"/>
  <c r="W81" i="17" s="1"/>
  <c r="V7" i="17"/>
  <c r="V50" i="17"/>
  <c r="W50" i="17" s="1"/>
  <c r="V92" i="17"/>
  <c r="W92" i="17" s="1"/>
  <c r="V30" i="17"/>
  <c r="W30" i="17" s="1"/>
  <c r="V79" i="17"/>
  <c r="W79" i="17" s="1"/>
  <c r="P113" i="17"/>
  <c r="Q113" i="17" s="1"/>
  <c r="P117" i="17"/>
  <c r="Q117" i="17" s="1"/>
  <c r="P89" i="17"/>
  <c r="Q89" i="17" s="1"/>
  <c r="P63" i="17"/>
  <c r="Q63" i="17" s="1"/>
  <c r="P115" i="17"/>
  <c r="Q115" i="17" s="1"/>
  <c r="P124" i="17"/>
  <c r="Q124" i="17" s="1"/>
  <c r="P120" i="17"/>
  <c r="Q120" i="17" s="1"/>
  <c r="P116" i="17"/>
  <c r="Q116" i="17" s="1"/>
  <c r="P10" i="17"/>
  <c r="Q10" i="17" s="1"/>
  <c r="P15" i="17"/>
  <c r="Q15" i="17" s="1"/>
  <c r="P81" i="17"/>
  <c r="Q81" i="17" s="1"/>
  <c r="P29" i="17"/>
  <c r="Q29" i="17" s="1"/>
  <c r="P102" i="17"/>
  <c r="Q102" i="17" s="1"/>
  <c r="P60" i="17"/>
  <c r="Q60" i="17" s="1"/>
  <c r="P130" i="17"/>
  <c r="Q130" i="17" s="1"/>
  <c r="P69" i="17"/>
  <c r="Q69" i="17" s="1"/>
  <c r="P98" i="17"/>
  <c r="Q98" i="17" s="1"/>
  <c r="P13" i="17"/>
  <c r="Q13" i="17" s="1"/>
  <c r="P92" i="17"/>
  <c r="Q92" i="17" s="1"/>
  <c r="P104" i="17"/>
  <c r="Q104" i="17" s="1"/>
  <c r="P105" i="17"/>
  <c r="Q105" i="17" s="1"/>
  <c r="P78" i="17"/>
  <c r="Q78" i="17" s="1"/>
  <c r="P19" i="17"/>
  <c r="Q19" i="17" s="1"/>
  <c r="P44" i="17"/>
  <c r="Q44" i="17" s="1"/>
  <c r="P67" i="17"/>
  <c r="Q67" i="17" s="1"/>
  <c r="P84" i="17"/>
  <c r="Q84" i="17" s="1"/>
  <c r="P36" i="17"/>
  <c r="Q36" i="17" s="1"/>
  <c r="P14" i="17"/>
  <c r="Q14" i="17" s="1"/>
  <c r="P87" i="17"/>
  <c r="Q87" i="17" s="1"/>
  <c r="P40" i="17"/>
  <c r="Q40" i="17" s="1"/>
  <c r="P34" i="17"/>
  <c r="Q34" i="17" s="1"/>
  <c r="P16" i="17"/>
  <c r="Q16" i="17" s="1"/>
  <c r="P8" i="17"/>
  <c r="Q8" i="17" s="1"/>
  <c r="P11" i="17"/>
  <c r="Q11" i="17" s="1"/>
  <c r="P31" i="17"/>
  <c r="Q31" i="17" s="1"/>
  <c r="P132" i="17"/>
  <c r="Q132" i="17" s="1"/>
  <c r="P137" i="17"/>
  <c r="Q137" i="17" s="1"/>
  <c r="P38" i="17"/>
  <c r="Q38" i="17" s="1"/>
  <c r="P17" i="17"/>
  <c r="Q17" i="17" s="1"/>
  <c r="P21" i="17"/>
  <c r="Q21" i="17" s="1"/>
  <c r="P134" i="17"/>
  <c r="Q134" i="17" s="1"/>
  <c r="P119" i="17"/>
  <c r="Q119" i="17" s="1"/>
  <c r="P28" i="17"/>
  <c r="Q28" i="17" s="1"/>
  <c r="P49" i="17"/>
  <c r="Q49" i="17" s="1"/>
  <c r="P27" i="17"/>
  <c r="Q27" i="17" s="1"/>
  <c r="P70" i="17"/>
  <c r="Q70" i="17" s="1"/>
  <c r="P53" i="17"/>
  <c r="Q53" i="17" s="1"/>
  <c r="P66" i="17"/>
  <c r="Q66" i="17" s="1"/>
  <c r="P91" i="17"/>
  <c r="Q91" i="17" s="1"/>
  <c r="P33" i="17"/>
  <c r="Q33" i="17" s="1"/>
  <c r="P76" i="17"/>
  <c r="Q76" i="17" s="1"/>
  <c r="P125" i="17"/>
  <c r="Q125" i="17" s="1"/>
  <c r="P111" i="17"/>
  <c r="Q111" i="17" s="1"/>
  <c r="P128" i="17"/>
  <c r="Q128" i="17" s="1"/>
  <c r="P22" i="17"/>
  <c r="Q22" i="17" s="1"/>
  <c r="P45" i="17"/>
  <c r="Q45" i="17" s="1"/>
  <c r="P41" i="17"/>
  <c r="Q41" i="17" s="1"/>
  <c r="P109" i="17"/>
  <c r="Q109" i="17" s="1"/>
  <c r="P100" i="17"/>
  <c r="Q100" i="17" s="1"/>
  <c r="P46" i="17"/>
  <c r="Q46" i="17" s="1"/>
  <c r="P65" i="17"/>
  <c r="Q65" i="17" s="1"/>
  <c r="P108" i="17"/>
  <c r="Q108" i="17" s="1"/>
  <c r="P72" i="17"/>
  <c r="Q72" i="17" s="1"/>
  <c r="P54" i="17"/>
  <c r="Q54" i="17" s="1"/>
  <c r="P73" i="17"/>
  <c r="Q73" i="17" s="1"/>
  <c r="P30" i="17"/>
  <c r="Q30" i="17" s="1"/>
  <c r="P59" i="17"/>
  <c r="Q59" i="17" s="1"/>
  <c r="P133" i="17"/>
  <c r="Q133" i="17" s="1"/>
  <c r="P129" i="17"/>
  <c r="Q129" i="17" s="1"/>
  <c r="P55" i="17"/>
  <c r="Q55" i="17" s="1"/>
  <c r="P61" i="17"/>
  <c r="Q61" i="17" s="1"/>
  <c r="P20" i="17"/>
  <c r="Q20" i="17" s="1"/>
  <c r="P37" i="17"/>
  <c r="Q37" i="17" s="1"/>
  <c r="P106" i="17"/>
  <c r="Q106" i="17" s="1"/>
  <c r="P57" i="17"/>
  <c r="Q57" i="17" s="1"/>
  <c r="V46" i="17"/>
  <c r="W46" i="17" s="1"/>
  <c r="V93" i="17"/>
  <c r="W93" i="17" s="1"/>
  <c r="V39" i="17"/>
  <c r="W39" i="17" s="1"/>
  <c r="V130" i="17"/>
  <c r="W130" i="17" s="1"/>
  <c r="V86" i="17"/>
  <c r="W86" i="17" s="1"/>
  <c r="V78" i="17"/>
  <c r="W78" i="17" s="1"/>
  <c r="V84" i="17"/>
  <c r="W84" i="17" s="1"/>
  <c r="P131" i="17"/>
  <c r="Q131" i="17" s="1"/>
  <c r="P42" i="17"/>
  <c r="Q42" i="17" s="1"/>
  <c r="P118" i="17"/>
  <c r="Q118" i="17" s="1"/>
  <c r="P93" i="17"/>
  <c r="Q93" i="17" s="1"/>
  <c r="P64" i="17"/>
  <c r="Q64" i="17" s="1"/>
  <c r="P24" i="17"/>
  <c r="Q24" i="17" s="1"/>
  <c r="P114" i="17"/>
  <c r="Q114" i="17" s="1"/>
  <c r="V11" i="17"/>
  <c r="W11" i="17" s="1"/>
  <c r="V113" i="17"/>
  <c r="W113" i="17" s="1"/>
  <c r="V43" i="17"/>
  <c r="W43" i="17" s="1"/>
  <c r="V52" i="17"/>
  <c r="W52" i="17" s="1"/>
  <c r="V23" i="17"/>
  <c r="W23" i="17" s="1"/>
  <c r="V108" i="17"/>
  <c r="W108" i="17" s="1"/>
  <c r="V123" i="17"/>
  <c r="W123" i="17" s="1"/>
  <c r="V132" i="17"/>
  <c r="W132" i="17" s="1"/>
  <c r="V117" i="17"/>
  <c r="W117" i="17" s="1"/>
  <c r="V57" i="17"/>
  <c r="W57" i="17" s="1"/>
  <c r="V60" i="17"/>
  <c r="W60" i="17" s="1"/>
  <c r="V103" i="17"/>
  <c r="W103" i="17" s="1"/>
  <c r="V105" i="17"/>
  <c r="W105" i="17" s="1"/>
  <c r="V95" i="17"/>
  <c r="W95" i="17" s="1"/>
  <c r="V37" i="17"/>
  <c r="W37" i="17" s="1"/>
  <c r="V47" i="17"/>
  <c r="W47" i="17" s="1"/>
  <c r="V61" i="17"/>
  <c r="W61" i="17" s="1"/>
  <c r="V102" i="17"/>
  <c r="W102" i="17" s="1"/>
  <c r="P138" i="17"/>
  <c r="Q138" i="17" s="1"/>
  <c r="P121" i="17"/>
  <c r="Q121" i="17" s="1"/>
  <c r="V32" i="17"/>
  <c r="W32" i="17" s="1"/>
  <c r="V25" i="17"/>
  <c r="W25" i="17" s="1"/>
  <c r="V31" i="17"/>
  <c r="W31" i="17" s="1"/>
  <c r="V116" i="17"/>
  <c r="W116" i="17" s="1"/>
  <c r="V53" i="17"/>
  <c r="W53" i="17" s="1"/>
  <c r="V58" i="17"/>
  <c r="W58" i="17" s="1"/>
  <c r="V107" i="17"/>
  <c r="W107" i="17" s="1"/>
  <c r="V14" i="17"/>
  <c r="W14" i="17" s="1"/>
  <c r="V45" i="17"/>
  <c r="W45" i="17" s="1"/>
  <c r="V134" i="17"/>
  <c r="W134" i="17" s="1"/>
  <c r="V64" i="17"/>
  <c r="W64" i="17" s="1"/>
  <c r="V80" i="17"/>
  <c r="W80" i="17" s="1"/>
  <c r="V104" i="17"/>
  <c r="W104" i="17" s="1"/>
  <c r="V124" i="17"/>
  <c r="W124" i="17" s="1"/>
  <c r="V8" i="17"/>
  <c r="W8" i="17" s="1"/>
  <c r="V65" i="17"/>
  <c r="W65" i="17" s="1"/>
  <c r="V69" i="17"/>
  <c r="W69" i="17" s="1"/>
  <c r="V36" i="17"/>
  <c r="W36" i="17" s="1"/>
  <c r="V96" i="17"/>
  <c r="W96" i="17" s="1"/>
  <c r="V49" i="17"/>
  <c r="W49" i="17" s="1"/>
  <c r="V135" i="17"/>
  <c r="W135" i="17" s="1"/>
  <c r="V29" i="17"/>
  <c r="W29" i="17" s="1"/>
  <c r="V75" i="17"/>
  <c r="V115" i="17"/>
  <c r="W115" i="17" s="1"/>
  <c r="V98" i="17"/>
  <c r="W98" i="17" s="1"/>
  <c r="V73" i="17"/>
  <c r="W73" i="17" s="1"/>
  <c r="V129" i="17"/>
  <c r="W129" i="17" s="1"/>
  <c r="V33" i="17"/>
  <c r="W33" i="17" s="1"/>
  <c r="V112" i="17"/>
  <c r="W112" i="17" s="1"/>
  <c r="P7" i="17"/>
  <c r="Q7" i="17" s="1"/>
  <c r="P56" i="17"/>
  <c r="Q56" i="17" s="1"/>
  <c r="P23" i="17"/>
  <c r="Q23" i="17" s="1"/>
  <c r="AM29" i="17"/>
  <c r="P139" i="17" l="1"/>
  <c r="M139" i="17"/>
  <c r="V139" i="17"/>
  <c r="S139" i="17"/>
  <c r="W7" i="17"/>
  <c r="T6" i="17"/>
  <c r="T139" i="17" s="1"/>
  <c r="Q6" i="17"/>
  <c r="Q139" i="17" s="1"/>
  <c r="W75" i="17"/>
  <c r="W23" i="25" s="1"/>
  <c r="V23" i="25"/>
  <c r="AM12" i="17"/>
  <c r="AM102" i="17"/>
  <c r="N111" i="17"/>
  <c r="N35" i="17"/>
  <c r="AE35" i="24" s="1"/>
  <c r="AF35" i="24" s="1"/>
  <c r="AG35" i="24" s="1"/>
  <c r="N76" i="17"/>
  <c r="N28" i="17"/>
  <c r="N64" i="17"/>
  <c r="N84" i="17"/>
  <c r="N117" i="17"/>
  <c r="N15" i="17"/>
  <c r="N39" i="17"/>
  <c r="N34" i="17"/>
  <c r="N65" i="17"/>
  <c r="N129" i="17"/>
  <c r="N14" i="17"/>
  <c r="N116" i="17"/>
  <c r="N109" i="17"/>
  <c r="N132" i="17"/>
  <c r="N135" i="17"/>
  <c r="N56" i="17"/>
  <c r="AE56" i="24" s="1"/>
  <c r="AF56" i="24" s="1"/>
  <c r="AG56" i="24" s="1"/>
  <c r="N72" i="17"/>
  <c r="N16" i="17"/>
  <c r="N103" i="17"/>
  <c r="N42" i="17"/>
  <c r="N52" i="17"/>
  <c r="N124" i="17"/>
  <c r="N121" i="17"/>
  <c r="N90" i="17"/>
  <c r="N125" i="17"/>
  <c r="N105" i="17"/>
  <c r="N44" i="17"/>
  <c r="N95" i="17"/>
  <c r="N118" i="17"/>
  <c r="N115" i="17"/>
  <c r="N96" i="17"/>
  <c r="N62" i="17"/>
  <c r="N61" i="17"/>
  <c r="N127" i="17"/>
  <c r="N80" i="17"/>
  <c r="N50" i="17"/>
  <c r="N123" i="17"/>
  <c r="N112" i="17"/>
  <c r="N107" i="17"/>
  <c r="N66" i="17"/>
  <c r="N138" i="17"/>
  <c r="N89" i="17"/>
  <c r="N9" i="17"/>
  <c r="AE9" i="24" s="1"/>
  <c r="AF9" i="24" s="1"/>
  <c r="AG9" i="24" s="1"/>
  <c r="N92" i="17"/>
  <c r="N101" i="17"/>
  <c r="N54" i="17"/>
  <c r="N46" i="17"/>
  <c r="N120" i="17"/>
  <c r="N60" i="17"/>
  <c r="N38" i="17"/>
  <c r="N37" i="17"/>
  <c r="N98" i="17"/>
  <c r="N55" i="17"/>
  <c r="N63" i="17"/>
  <c r="N119" i="17"/>
  <c r="N134" i="17"/>
  <c r="N110" i="17"/>
  <c r="N93" i="17"/>
  <c r="N25" i="17"/>
  <c r="N41" i="17"/>
  <c r="N82" i="17"/>
  <c r="N69" i="17"/>
  <c r="N85" i="17"/>
  <c r="N26" i="17"/>
  <c r="N73" i="17"/>
  <c r="N106" i="17"/>
  <c r="N17" i="17"/>
  <c r="N108" i="17"/>
  <c r="AE108" i="24" s="1"/>
  <c r="AF108" i="24" s="1"/>
  <c r="AG108" i="24" s="1"/>
  <c r="N77" i="17"/>
  <c r="N40" i="17"/>
  <c r="N47" i="17"/>
  <c r="N130" i="17"/>
  <c r="N133" i="17"/>
  <c r="N27" i="17"/>
  <c r="N43" i="17"/>
  <c r="N75" i="17"/>
  <c r="AE78" i="24" s="1"/>
  <c r="AF78" i="24" s="1"/>
  <c r="AG78" i="24" s="1"/>
  <c r="N91" i="17"/>
  <c r="N45" i="17"/>
  <c r="N137" i="17"/>
  <c r="N22" i="17"/>
  <c r="N136" i="17"/>
  <c r="N113" i="17"/>
  <c r="N71" i="17"/>
  <c r="N99" i="17"/>
  <c r="N131" i="17"/>
  <c r="N58" i="17"/>
  <c r="N20" i="17"/>
  <c r="N67" i="17"/>
  <c r="N100" i="17"/>
  <c r="N68" i="17"/>
  <c r="N51" i="17"/>
  <c r="N94" i="17"/>
  <c r="N57" i="17"/>
  <c r="N13" i="17"/>
  <c r="N6" i="17"/>
  <c r="N32" i="17"/>
  <c r="N48" i="17"/>
  <c r="N86" i="17"/>
  <c r="N122" i="17"/>
  <c r="N11" i="17"/>
  <c r="N36" i="17"/>
  <c r="N104" i="17"/>
  <c r="N8" i="17"/>
  <c r="N88" i="17"/>
  <c r="N81" i="17"/>
  <c r="AE81" i="24" s="1"/>
  <c r="AF81" i="24" s="1"/>
  <c r="AG81" i="24" s="1"/>
  <c r="N10" i="17"/>
  <c r="N114" i="17"/>
  <c r="N19" i="17"/>
  <c r="N126" i="17"/>
  <c r="N70" i="17"/>
  <c r="N23" i="17"/>
  <c r="N21" i="17"/>
  <c r="N53" i="17"/>
  <c r="N49" i="17"/>
  <c r="N74" i="17"/>
  <c r="N97" i="17"/>
  <c r="N79" i="17"/>
  <c r="N87" i="17"/>
  <c r="N59" i="17"/>
  <c r="N31" i="17"/>
  <c r="N7" i="17"/>
  <c r="N128" i="17"/>
  <c r="N83" i="17"/>
  <c r="N24" i="17"/>
  <c r="N30" i="17"/>
  <c r="T6" i="25"/>
  <c r="S6" i="25"/>
  <c r="T20" i="25"/>
  <c r="T21" i="25"/>
  <c r="S11" i="25"/>
  <c r="T9" i="25"/>
  <c r="T23" i="25"/>
  <c r="T12" i="25"/>
  <c r="T14" i="25"/>
  <c r="S20" i="25"/>
  <c r="S9" i="25"/>
  <c r="S13" i="25"/>
  <c r="S8" i="25"/>
  <c r="T19" i="25"/>
  <c r="T7" i="25"/>
  <c r="T10" i="25"/>
  <c r="T17" i="25"/>
  <c r="M16" i="25"/>
  <c r="S23" i="25"/>
  <c r="S7" i="25"/>
  <c r="S14" i="25"/>
  <c r="T11" i="25"/>
  <c r="AM78" i="17"/>
  <c r="T13" i="25"/>
  <c r="T8" i="25"/>
  <c r="T15" i="25"/>
  <c r="S16" i="25"/>
  <c r="T16" i="25"/>
  <c r="S15" i="25"/>
  <c r="S12" i="25"/>
  <c r="S10" i="25"/>
  <c r="S17" i="25"/>
  <c r="T18" i="25"/>
  <c r="M17" i="25"/>
  <c r="S19" i="25"/>
  <c r="S22" i="25"/>
  <c r="S18" i="25"/>
  <c r="M23" i="25"/>
  <c r="S21" i="25"/>
  <c r="M13" i="25"/>
  <c r="M22" i="25"/>
  <c r="M19" i="25"/>
  <c r="M15" i="25"/>
  <c r="M8" i="25"/>
  <c r="M20" i="25"/>
  <c r="M21" i="25"/>
  <c r="M18" i="25"/>
  <c r="M12" i="25"/>
  <c r="M6" i="25"/>
  <c r="V14" i="25"/>
  <c r="M7" i="25"/>
  <c r="M10" i="25"/>
  <c r="M9" i="25"/>
  <c r="M11" i="25"/>
  <c r="V12" i="25"/>
  <c r="M14" i="25"/>
  <c r="P14" i="25"/>
  <c r="V15" i="25"/>
  <c r="P17" i="25"/>
  <c r="P22" i="25"/>
  <c r="V8" i="25"/>
  <c r="V18" i="25"/>
  <c r="V20" i="25"/>
  <c r="V10" i="25"/>
  <c r="V7" i="25"/>
  <c r="P18" i="25"/>
  <c r="Q15" i="25"/>
  <c r="P12" i="25"/>
  <c r="P9" i="25"/>
  <c r="P13" i="25"/>
  <c r="V9" i="25"/>
  <c r="V21" i="25"/>
  <c r="V17" i="25"/>
  <c r="V13" i="25"/>
  <c r="P16" i="25"/>
  <c r="P21" i="25"/>
  <c r="V22" i="25"/>
  <c r="V6" i="25"/>
  <c r="V11" i="25"/>
  <c r="V19" i="25"/>
  <c r="W15" i="25"/>
  <c r="T22" i="25"/>
  <c r="P15" i="25"/>
  <c r="P23" i="25"/>
  <c r="P8" i="25"/>
  <c r="P11" i="25"/>
  <c r="P6" i="25"/>
  <c r="P10" i="25"/>
  <c r="P20" i="25"/>
  <c r="P19" i="25"/>
  <c r="P7" i="25"/>
  <c r="W12" i="25"/>
  <c r="V16" i="25"/>
  <c r="N139" i="17" l="1"/>
  <c r="W139" i="17"/>
  <c r="AE6" i="24"/>
  <c r="S24" i="25"/>
  <c r="T24" i="25"/>
  <c r="M24" i="25"/>
  <c r="V24" i="25"/>
  <c r="P24" i="25"/>
  <c r="AE111" i="24"/>
  <c r="AF111" i="24" s="1"/>
  <c r="AG111" i="24" s="1"/>
  <c r="AE40" i="24"/>
  <c r="AF40" i="24" s="1"/>
  <c r="AG40" i="24" s="1"/>
  <c r="AE14" i="24"/>
  <c r="AF14" i="24" s="1"/>
  <c r="AG14" i="24" s="1"/>
  <c r="AE43" i="24"/>
  <c r="AF43" i="24" s="1"/>
  <c r="AG43" i="24" s="1"/>
  <c r="AE44" i="24"/>
  <c r="AF44" i="24" s="1"/>
  <c r="AG44" i="24" s="1"/>
  <c r="AE33" i="24"/>
  <c r="AF33" i="24" s="1"/>
  <c r="AG33" i="24" s="1"/>
  <c r="AE31" i="24"/>
  <c r="AF31" i="24" s="1"/>
  <c r="AG31" i="24" s="1"/>
  <c r="AE52" i="24"/>
  <c r="AF52" i="24" s="1"/>
  <c r="AG52" i="24" s="1"/>
  <c r="AE101" i="24"/>
  <c r="AF101" i="24" s="1"/>
  <c r="AG101" i="24" s="1"/>
  <c r="AE68" i="24"/>
  <c r="AF68" i="24" s="1"/>
  <c r="AG68" i="24" s="1"/>
  <c r="AE23" i="24"/>
  <c r="AF23" i="24" s="1"/>
  <c r="AG23" i="24" s="1"/>
  <c r="AE21" i="24"/>
  <c r="AF21" i="24" s="1"/>
  <c r="AG21" i="24" s="1"/>
  <c r="AM71" i="17"/>
  <c r="AE74" i="24"/>
  <c r="AF74" i="24" s="1"/>
  <c r="AG74" i="24" s="1"/>
  <c r="AM17" i="17"/>
  <c r="AE19" i="24"/>
  <c r="AF19" i="24" s="1"/>
  <c r="AG19" i="24" s="1"/>
  <c r="AM61" i="17"/>
  <c r="AE64" i="24"/>
  <c r="AF64" i="24" s="1"/>
  <c r="AG64" i="24" s="1"/>
  <c r="AM53" i="17"/>
  <c r="AM82" i="17"/>
  <c r="AE85" i="24"/>
  <c r="AF85" i="24" s="1"/>
  <c r="AG85" i="24" s="1"/>
  <c r="AM79" i="17"/>
  <c r="AE82" i="24"/>
  <c r="AF82" i="24" s="1"/>
  <c r="AG82" i="24" s="1"/>
  <c r="AM6" i="17"/>
  <c r="AE7" i="24"/>
  <c r="AF7" i="24" s="1"/>
  <c r="AG7" i="24" s="1"/>
  <c r="AM130" i="17"/>
  <c r="AE135" i="24"/>
  <c r="AF135" i="24" s="1"/>
  <c r="AG135" i="24" s="1"/>
  <c r="AM54" i="17"/>
  <c r="AM112" i="17"/>
  <c r="AE119" i="24"/>
  <c r="AF119" i="24" s="1"/>
  <c r="AG119" i="24" s="1"/>
  <c r="AM62" i="17"/>
  <c r="AE65" i="24"/>
  <c r="AF65" i="24" s="1"/>
  <c r="AG65" i="24" s="1"/>
  <c r="AM56" i="17"/>
  <c r="AE58" i="24"/>
  <c r="AF58" i="24" s="1"/>
  <c r="AG58" i="24" s="1"/>
  <c r="AM76" i="17"/>
  <c r="AE79" i="24"/>
  <c r="AF79" i="24" s="1"/>
  <c r="AG79" i="24" s="1"/>
  <c r="AM97" i="17"/>
  <c r="AE103" i="24"/>
  <c r="AF103" i="24" s="1"/>
  <c r="AG103" i="24" s="1"/>
  <c r="AM36" i="17"/>
  <c r="AE38" i="24"/>
  <c r="AF38" i="24" s="1"/>
  <c r="AG38" i="24" s="1"/>
  <c r="AM13" i="17"/>
  <c r="AE15" i="24"/>
  <c r="AF15" i="24" s="1"/>
  <c r="AG15" i="24" s="1"/>
  <c r="AM137" i="17"/>
  <c r="AM73" i="17"/>
  <c r="AE76" i="24"/>
  <c r="AF76" i="24" s="1"/>
  <c r="AG76" i="24" s="1"/>
  <c r="AM93" i="17"/>
  <c r="AE99" i="24"/>
  <c r="AF99" i="24" s="1"/>
  <c r="AG99" i="24" s="1"/>
  <c r="AM37" i="17"/>
  <c r="AE39" i="24"/>
  <c r="AF39" i="24" s="1"/>
  <c r="AG39" i="24" s="1"/>
  <c r="AM101" i="17"/>
  <c r="AE107" i="24"/>
  <c r="AF107" i="24" s="1"/>
  <c r="AG107" i="24" s="1"/>
  <c r="AM123" i="17"/>
  <c r="AE128" i="24"/>
  <c r="AF128" i="24" s="1"/>
  <c r="AG128" i="24" s="1"/>
  <c r="AM96" i="17"/>
  <c r="AE102" i="24"/>
  <c r="AF102" i="24" s="1"/>
  <c r="AG102" i="24" s="1"/>
  <c r="AM121" i="17"/>
  <c r="AE127" i="24"/>
  <c r="AF127" i="24" s="1"/>
  <c r="AG127" i="24" s="1"/>
  <c r="AM135" i="17"/>
  <c r="AM39" i="17"/>
  <c r="AE41" i="24"/>
  <c r="AF41" i="24" s="1"/>
  <c r="AG41" i="24" s="1"/>
  <c r="AM35" i="17"/>
  <c r="AE37" i="24"/>
  <c r="AF37" i="24" s="1"/>
  <c r="AG37" i="24" s="1"/>
  <c r="AM74" i="17"/>
  <c r="AE77" i="24"/>
  <c r="AF77" i="24" s="1"/>
  <c r="AG77" i="24" s="1"/>
  <c r="AM19" i="17"/>
  <c r="AE22" i="24"/>
  <c r="AF22" i="24" s="1"/>
  <c r="AG22" i="24" s="1"/>
  <c r="AM11" i="17"/>
  <c r="AE13" i="24"/>
  <c r="AF13" i="24" s="1"/>
  <c r="AG13" i="24" s="1"/>
  <c r="AM57" i="17"/>
  <c r="AE59" i="24"/>
  <c r="AF59" i="24" s="1"/>
  <c r="AG59" i="24" s="1"/>
  <c r="AM58" i="17"/>
  <c r="AE61" i="24"/>
  <c r="AF61" i="24" s="1"/>
  <c r="AG61" i="24" s="1"/>
  <c r="AM45" i="17"/>
  <c r="AE47" i="24"/>
  <c r="AF47" i="24" s="1"/>
  <c r="AG47" i="24" s="1"/>
  <c r="AM40" i="17"/>
  <c r="AE42" i="24"/>
  <c r="AF42" i="24" s="1"/>
  <c r="AG42" i="24" s="1"/>
  <c r="AM26" i="17"/>
  <c r="AM110" i="17"/>
  <c r="AE117" i="24"/>
  <c r="AF117" i="24" s="1"/>
  <c r="AG117" i="24" s="1"/>
  <c r="AE137" i="24"/>
  <c r="AF137" i="24" s="1"/>
  <c r="AG137" i="24" s="1"/>
  <c r="AM92" i="17"/>
  <c r="AE98" i="24"/>
  <c r="AF98" i="24" s="1"/>
  <c r="AG98" i="24" s="1"/>
  <c r="AM115" i="17"/>
  <c r="AE122" i="24"/>
  <c r="AF122" i="24" s="1"/>
  <c r="AG122" i="24" s="1"/>
  <c r="AM124" i="17"/>
  <c r="AE131" i="24"/>
  <c r="AF131" i="24" s="1"/>
  <c r="AG131" i="24" s="1"/>
  <c r="AM132" i="17"/>
  <c r="AM15" i="17"/>
  <c r="AE17" i="24"/>
  <c r="AF17" i="24" s="1"/>
  <c r="AG17" i="24" s="1"/>
  <c r="AM111" i="17"/>
  <c r="AE118" i="24"/>
  <c r="AF118" i="24" s="1"/>
  <c r="AG118" i="24" s="1"/>
  <c r="AM22" i="17"/>
  <c r="AE25" i="24"/>
  <c r="AF25" i="24" s="1"/>
  <c r="AG25" i="24" s="1"/>
  <c r="AE138" i="24"/>
  <c r="AF138" i="24" s="1"/>
  <c r="AG138" i="24" s="1"/>
  <c r="AM34" i="17"/>
  <c r="AE36" i="24"/>
  <c r="AF36" i="24" s="1"/>
  <c r="AG36" i="24" s="1"/>
  <c r="AM128" i="17"/>
  <c r="AM126" i="17"/>
  <c r="AE133" i="24"/>
  <c r="AF133" i="24" s="1"/>
  <c r="AG133" i="24" s="1"/>
  <c r="AM47" i="17"/>
  <c r="AE49" i="24"/>
  <c r="AF49" i="24" s="1"/>
  <c r="AG49" i="24" s="1"/>
  <c r="AE55" i="24"/>
  <c r="AF55" i="24" s="1"/>
  <c r="AG55" i="24" s="1"/>
  <c r="AE20" i="24"/>
  <c r="AF20" i="24" s="1"/>
  <c r="AG20" i="24" s="1"/>
  <c r="AM114" i="17"/>
  <c r="AE121" i="24"/>
  <c r="AF121" i="24" s="1"/>
  <c r="AG121" i="24" s="1"/>
  <c r="AM122" i="17"/>
  <c r="AE129" i="24"/>
  <c r="AF129" i="24" s="1"/>
  <c r="AG129" i="24" s="1"/>
  <c r="AM94" i="17"/>
  <c r="AE100" i="24"/>
  <c r="AF100" i="24" s="1"/>
  <c r="AG100" i="24" s="1"/>
  <c r="AM131" i="17"/>
  <c r="AE136" i="24"/>
  <c r="AF136" i="24" s="1"/>
  <c r="AG136" i="24" s="1"/>
  <c r="AM91" i="17"/>
  <c r="AE97" i="24"/>
  <c r="AF97" i="24" s="1"/>
  <c r="AG97" i="24" s="1"/>
  <c r="AM77" i="17"/>
  <c r="AE80" i="24"/>
  <c r="AF80" i="24" s="1"/>
  <c r="AG80" i="24" s="1"/>
  <c r="AM85" i="17"/>
  <c r="AE90" i="24"/>
  <c r="AF90" i="24" s="1"/>
  <c r="AG90" i="24" s="1"/>
  <c r="AM134" i="17"/>
  <c r="AM9" i="17"/>
  <c r="AE11" i="24"/>
  <c r="AF11" i="24" s="1"/>
  <c r="AG11" i="24" s="1"/>
  <c r="AM80" i="17"/>
  <c r="AE83" i="24"/>
  <c r="AF83" i="24" s="1"/>
  <c r="AG83" i="24" s="1"/>
  <c r="AM118" i="17"/>
  <c r="AE124" i="24"/>
  <c r="AF124" i="24" s="1"/>
  <c r="AG124" i="24" s="1"/>
  <c r="AM52" i="17"/>
  <c r="AE54" i="24"/>
  <c r="AF54" i="24" s="1"/>
  <c r="AG54" i="24" s="1"/>
  <c r="AM109" i="17"/>
  <c r="AE116" i="24"/>
  <c r="AF116" i="24" s="1"/>
  <c r="AG116" i="24" s="1"/>
  <c r="AM117" i="17"/>
  <c r="AM70" i="17"/>
  <c r="AE73" i="24"/>
  <c r="AF73" i="24" s="1"/>
  <c r="AG73" i="24" s="1"/>
  <c r="AM67" i="17"/>
  <c r="AE70" i="24"/>
  <c r="AF70" i="24" s="1"/>
  <c r="AG70" i="24" s="1"/>
  <c r="AE60" i="24"/>
  <c r="AF60" i="24" s="1"/>
  <c r="AG60" i="24" s="1"/>
  <c r="AM90" i="17"/>
  <c r="AE96" i="24"/>
  <c r="AF96" i="24" s="1"/>
  <c r="AG96" i="24" s="1"/>
  <c r="AM7" i="17"/>
  <c r="AE8" i="24"/>
  <c r="AF8" i="24" s="1"/>
  <c r="AG8" i="24" s="1"/>
  <c r="AM49" i="17"/>
  <c r="AE51" i="24"/>
  <c r="AF51" i="24" s="1"/>
  <c r="AG51" i="24" s="1"/>
  <c r="AM10" i="17"/>
  <c r="AE12" i="24"/>
  <c r="AF12" i="24" s="1"/>
  <c r="AG12" i="24" s="1"/>
  <c r="AM86" i="17"/>
  <c r="AE92" i="24"/>
  <c r="AF92" i="24" s="1"/>
  <c r="AG92" i="24" s="1"/>
  <c r="AM51" i="17"/>
  <c r="AE53" i="24"/>
  <c r="AF53" i="24" s="1"/>
  <c r="AG53" i="24" s="1"/>
  <c r="AM99" i="17"/>
  <c r="AE105" i="24"/>
  <c r="AF105" i="24" s="1"/>
  <c r="AG105" i="24" s="1"/>
  <c r="AM108" i="17"/>
  <c r="AE115" i="24"/>
  <c r="AF115" i="24" s="1"/>
  <c r="AG115" i="24" s="1"/>
  <c r="AM69" i="17"/>
  <c r="AE72" i="24"/>
  <c r="AF72" i="24" s="1"/>
  <c r="AG72" i="24" s="1"/>
  <c r="AM119" i="17"/>
  <c r="AE125" i="24"/>
  <c r="AF125" i="24" s="1"/>
  <c r="AG125" i="24" s="1"/>
  <c r="AM60" i="17"/>
  <c r="AE63" i="24"/>
  <c r="AF63" i="24" s="1"/>
  <c r="AG63" i="24" s="1"/>
  <c r="AM89" i="17"/>
  <c r="AE95" i="24"/>
  <c r="AF95" i="24" s="1"/>
  <c r="AG95" i="24" s="1"/>
  <c r="AM127" i="17"/>
  <c r="AE134" i="24"/>
  <c r="AF134" i="24" s="1"/>
  <c r="AG134" i="24" s="1"/>
  <c r="AM116" i="17"/>
  <c r="AE123" i="24"/>
  <c r="AF123" i="24" s="1"/>
  <c r="AG123" i="24" s="1"/>
  <c r="AM84" i="17"/>
  <c r="AE89" i="24"/>
  <c r="AF89" i="24" s="1"/>
  <c r="AG89" i="24" s="1"/>
  <c r="AF6" i="24"/>
  <c r="AM30" i="17"/>
  <c r="AE32" i="24"/>
  <c r="AF32" i="24" s="1"/>
  <c r="AG32" i="24" s="1"/>
  <c r="AM81" i="17"/>
  <c r="AE84" i="24"/>
  <c r="AF84" i="24" s="1"/>
  <c r="AG84" i="24" s="1"/>
  <c r="AM68" i="17"/>
  <c r="AE71" i="24"/>
  <c r="AF71" i="24" s="1"/>
  <c r="AG71" i="24" s="1"/>
  <c r="AM43" i="17"/>
  <c r="AE45" i="24"/>
  <c r="AF45" i="24" s="1"/>
  <c r="AG45" i="24" s="1"/>
  <c r="AM63" i="17"/>
  <c r="AE66" i="24"/>
  <c r="AF66" i="24" s="1"/>
  <c r="AG66" i="24" s="1"/>
  <c r="AM120" i="17"/>
  <c r="AE126" i="24"/>
  <c r="AF126" i="24" s="1"/>
  <c r="AG126" i="24" s="1"/>
  <c r="AM138" i="17"/>
  <c r="AM44" i="17"/>
  <c r="AE46" i="24"/>
  <c r="AF46" i="24" s="1"/>
  <c r="AG46" i="24" s="1"/>
  <c r="AM103" i="17"/>
  <c r="AE109" i="24"/>
  <c r="AF109" i="24" s="1"/>
  <c r="AG109" i="24" s="1"/>
  <c r="AM14" i="17"/>
  <c r="AE16" i="24"/>
  <c r="AF16" i="24" s="1"/>
  <c r="AG16" i="24" s="1"/>
  <c r="AM64" i="17"/>
  <c r="AE67" i="24"/>
  <c r="AF67" i="24" s="1"/>
  <c r="AG67" i="24" s="1"/>
  <c r="AM24" i="17"/>
  <c r="AE27" i="24"/>
  <c r="AF27" i="24" s="1"/>
  <c r="AG27" i="24" s="1"/>
  <c r="AM59" i="17"/>
  <c r="AE62" i="24"/>
  <c r="AF62" i="24" s="1"/>
  <c r="AG62" i="24" s="1"/>
  <c r="AM21" i="17"/>
  <c r="AE24" i="24"/>
  <c r="AF24" i="24" s="1"/>
  <c r="AG24" i="24" s="1"/>
  <c r="AM88" i="17"/>
  <c r="AE94" i="24"/>
  <c r="AF94" i="24" s="1"/>
  <c r="AG94" i="24" s="1"/>
  <c r="AM48" i="17"/>
  <c r="AE50" i="24"/>
  <c r="AF50" i="24" s="1"/>
  <c r="AG50" i="24" s="1"/>
  <c r="AE110" i="24"/>
  <c r="AF110" i="24" s="1"/>
  <c r="AG110" i="24" s="1"/>
  <c r="AM113" i="17"/>
  <c r="AE120" i="24"/>
  <c r="AF120" i="24" s="1"/>
  <c r="AG120" i="24" s="1"/>
  <c r="AM27" i="17"/>
  <c r="AE29" i="24"/>
  <c r="AF29" i="24" s="1"/>
  <c r="AG29" i="24" s="1"/>
  <c r="AM106" i="17"/>
  <c r="AE113" i="24"/>
  <c r="AF113" i="24" s="1"/>
  <c r="AG113" i="24" s="1"/>
  <c r="AM55" i="17"/>
  <c r="AE57" i="24"/>
  <c r="AF57" i="24" s="1"/>
  <c r="AG57" i="24" s="1"/>
  <c r="AM66" i="17"/>
  <c r="AE69" i="24"/>
  <c r="AF69" i="24" s="1"/>
  <c r="AG69" i="24" s="1"/>
  <c r="AM105" i="17"/>
  <c r="AE112" i="24"/>
  <c r="AF112" i="24" s="1"/>
  <c r="AG112" i="24" s="1"/>
  <c r="AM16" i="17"/>
  <c r="AE18" i="24"/>
  <c r="AF18" i="24" s="1"/>
  <c r="AG18" i="24" s="1"/>
  <c r="AE91" i="24"/>
  <c r="AF91" i="24" s="1"/>
  <c r="AG91" i="24" s="1"/>
  <c r="AM46" i="17"/>
  <c r="AE48" i="24"/>
  <c r="AF48" i="24" s="1"/>
  <c r="AG48" i="24" s="1"/>
  <c r="AE87" i="24"/>
  <c r="AF87" i="24" s="1"/>
  <c r="AG87" i="24" s="1"/>
  <c r="AM129" i="17"/>
  <c r="AM83" i="17"/>
  <c r="AE88" i="24"/>
  <c r="AF88" i="24" s="1"/>
  <c r="AG88" i="24" s="1"/>
  <c r="AM87" i="17"/>
  <c r="AE93" i="24"/>
  <c r="AF93" i="24" s="1"/>
  <c r="AG93" i="24" s="1"/>
  <c r="AM23" i="17"/>
  <c r="AE26" i="24"/>
  <c r="AF26" i="24" s="1"/>
  <c r="AG26" i="24" s="1"/>
  <c r="AM8" i="17"/>
  <c r="AE10" i="24"/>
  <c r="AF10" i="24" s="1"/>
  <c r="AG10" i="24" s="1"/>
  <c r="AM32" i="17"/>
  <c r="AE34" i="24"/>
  <c r="AF34" i="24" s="1"/>
  <c r="AG34" i="24" s="1"/>
  <c r="AM100" i="17"/>
  <c r="AE106" i="24"/>
  <c r="AF106" i="24" s="1"/>
  <c r="AG106" i="24" s="1"/>
  <c r="AM136" i="17"/>
  <c r="AM133" i="17"/>
  <c r="AE130" i="24"/>
  <c r="AF130" i="24" s="1"/>
  <c r="AG130" i="24" s="1"/>
  <c r="AM25" i="17"/>
  <c r="AE28" i="24"/>
  <c r="AF28" i="24" s="1"/>
  <c r="AG28" i="24" s="1"/>
  <c r="AM98" i="17"/>
  <c r="AE104" i="24"/>
  <c r="AF104" i="24" s="1"/>
  <c r="AG104" i="24" s="1"/>
  <c r="AE86" i="24"/>
  <c r="AF86" i="24" s="1"/>
  <c r="AG86" i="24" s="1"/>
  <c r="AM107" i="17"/>
  <c r="AE114" i="24"/>
  <c r="AF114" i="24" s="1"/>
  <c r="AG114" i="24" s="1"/>
  <c r="AM125" i="17"/>
  <c r="AE132" i="24"/>
  <c r="AF132" i="24" s="1"/>
  <c r="AG132" i="24" s="1"/>
  <c r="AM72" i="17"/>
  <c r="AE75" i="24"/>
  <c r="AF75" i="24" s="1"/>
  <c r="AG75" i="24" s="1"/>
  <c r="AM28" i="17"/>
  <c r="AE30" i="24"/>
  <c r="AF30" i="24" s="1"/>
  <c r="AG30" i="24" s="1"/>
  <c r="N20" i="25"/>
  <c r="N6" i="25"/>
  <c r="N8" i="25"/>
  <c r="N21" i="25"/>
  <c r="N13" i="25"/>
  <c r="AM20" i="17"/>
  <c r="N16" i="25"/>
  <c r="AM75" i="17"/>
  <c r="N23" i="25"/>
  <c r="AM38" i="17"/>
  <c r="N12" i="25"/>
  <c r="AM95" i="17"/>
  <c r="N19" i="25"/>
  <c r="AM42" i="17"/>
  <c r="N9" i="25"/>
  <c r="AM31" i="17"/>
  <c r="N10" i="25"/>
  <c r="AM104" i="17"/>
  <c r="N15" i="25"/>
  <c r="AM41" i="17"/>
  <c r="N7" i="25"/>
  <c r="AM50" i="17"/>
  <c r="N11" i="25"/>
  <c r="AM65" i="17"/>
  <c r="N18" i="25"/>
  <c r="N17" i="25"/>
  <c r="N22" i="25"/>
  <c r="W14" i="25"/>
  <c r="Q13" i="25"/>
  <c r="Q14" i="25"/>
  <c r="Q23" i="25"/>
  <c r="N14" i="25"/>
  <c r="AM33" i="17"/>
  <c r="Q7" i="25"/>
  <c r="W16" i="25"/>
  <c r="Q6" i="25"/>
  <c r="W19" i="25"/>
  <c r="W11" i="25"/>
  <c r="W22" i="25"/>
  <c r="W17" i="25"/>
  <c r="W21" i="25"/>
  <c r="Q12" i="25"/>
  <c r="W7" i="25"/>
  <c r="W10" i="25"/>
  <c r="W20" i="25"/>
  <c r="Q22" i="25"/>
  <c r="Q18" i="25"/>
  <c r="Q11" i="25"/>
  <c r="Q16" i="25"/>
  <c r="Q19" i="25"/>
  <c r="Q20" i="25"/>
  <c r="Q10" i="25"/>
  <c r="Q8" i="25"/>
  <c r="W18" i="25"/>
  <c r="W8" i="25"/>
  <c r="Q17" i="25"/>
  <c r="W6" i="25"/>
  <c r="Q21" i="25"/>
  <c r="W13" i="25"/>
  <c r="W9" i="25"/>
  <c r="Q9" i="25"/>
  <c r="AM139" i="17" l="1"/>
  <c r="N24" i="25"/>
  <c r="W24" i="25"/>
  <c r="Q24" i="25"/>
  <c r="AM6" i="25"/>
  <c r="AM13" i="25"/>
  <c r="AM21" i="25"/>
  <c r="AM20" i="25"/>
  <c r="AE139" i="24"/>
  <c r="AF139" i="24"/>
  <c r="AG139" i="24" s="1"/>
  <c r="AG6" i="24"/>
  <c r="AM19" i="25"/>
  <c r="AM23" i="25"/>
  <c r="AM14" i="25"/>
  <c r="AM11" i="25"/>
  <c r="AM15" i="25"/>
  <c r="AM9" i="25"/>
  <c r="AM12" i="25"/>
  <c r="AM16" i="25"/>
  <c r="AM18" i="25"/>
  <c r="AM7" i="25"/>
  <c r="AM10" i="25"/>
  <c r="AM17" i="25"/>
  <c r="AM8" i="25"/>
  <c r="AM22" i="25"/>
  <c r="AM24" i="25" l="1"/>
  <c r="I105" i="17" l="1"/>
  <c r="G19" i="25"/>
  <c r="I54" i="17"/>
  <c r="I62" i="17"/>
  <c r="I61" i="17"/>
  <c r="I50" i="17"/>
  <c r="I41" i="17"/>
  <c r="G12" i="25"/>
  <c r="I100" i="17"/>
  <c r="G23" i="25"/>
  <c r="I18" i="17"/>
  <c r="I138" i="17"/>
  <c r="I85" i="17"/>
  <c r="I113" i="17"/>
  <c r="I126" i="17"/>
  <c r="I137" i="17"/>
  <c r="I49" i="17"/>
  <c r="G9" i="25"/>
  <c r="I29" i="17"/>
  <c r="I9" i="17"/>
  <c r="I76" i="17"/>
  <c r="I83" i="17"/>
  <c r="I24" i="17"/>
  <c r="I22" i="17"/>
  <c r="I46" i="17"/>
  <c r="I28" i="17"/>
  <c r="I93" i="17"/>
  <c r="I48" i="17"/>
  <c r="I60" i="17"/>
  <c r="I120" i="17"/>
  <c r="I32" i="17"/>
  <c r="I125" i="17"/>
  <c r="I129" i="17"/>
  <c r="I134" i="17"/>
  <c r="G14" i="25"/>
  <c r="I10" i="17"/>
  <c r="I133" i="17"/>
  <c r="I58" i="17"/>
  <c r="I12" i="17"/>
  <c r="I112" i="17"/>
  <c r="I90" i="17"/>
  <c r="I64" i="17"/>
  <c r="I102" i="17"/>
  <c r="I124" i="17"/>
  <c r="I94" i="17"/>
  <c r="I59" i="17"/>
  <c r="I53" i="17"/>
  <c r="I91" i="17"/>
  <c r="I116" i="17"/>
  <c r="I117" i="17"/>
  <c r="I99" i="17"/>
  <c r="I84" i="17"/>
  <c r="I86" i="17"/>
  <c r="G21" i="25"/>
  <c r="I65" i="17"/>
  <c r="I20" i="17"/>
  <c r="I17" i="17"/>
  <c r="I89" i="17"/>
  <c r="I16" i="17"/>
  <c r="I79" i="17"/>
  <c r="I109" i="17"/>
  <c r="I77" i="17"/>
  <c r="G13" i="25"/>
  <c r="I82" i="17"/>
  <c r="I52" i="17"/>
  <c r="I123" i="17"/>
  <c r="I26" i="17"/>
  <c r="I14" i="17"/>
  <c r="I132" i="17"/>
  <c r="I75" i="17"/>
  <c r="I36" i="17"/>
  <c r="I118" i="17"/>
  <c r="I68" i="17"/>
  <c r="I111" i="17"/>
  <c r="I98" i="17"/>
  <c r="I35" i="17"/>
  <c r="G6" i="25"/>
  <c r="I47" i="17"/>
  <c r="I33" i="17"/>
  <c r="G10" i="25"/>
  <c r="G11" i="25"/>
  <c r="I67" i="17"/>
  <c r="I71" i="17"/>
  <c r="G7" i="25"/>
  <c r="I40" i="17"/>
  <c r="I19" i="17"/>
  <c r="I7" i="17"/>
  <c r="I6" i="17"/>
  <c r="I72" i="17"/>
  <c r="I63" i="17"/>
  <c r="I73" i="17"/>
  <c r="I108" i="17"/>
  <c r="I70" i="17"/>
  <c r="I66" i="17"/>
  <c r="I135" i="17"/>
  <c r="I23" i="17"/>
  <c r="I88" i="17"/>
  <c r="I121" i="17"/>
  <c r="I87" i="17"/>
  <c r="I81" i="17"/>
  <c r="I57" i="17"/>
  <c r="G16" i="25"/>
  <c r="I21" i="17"/>
  <c r="I131" i="17"/>
  <c r="G17" i="25"/>
  <c r="I34" i="17"/>
  <c r="I13" i="17"/>
  <c r="I101" i="17"/>
  <c r="I128" i="17"/>
  <c r="I44" i="17"/>
  <c r="I106" i="17"/>
  <c r="I115" i="17"/>
  <c r="I31" i="17"/>
  <c r="I80" i="17"/>
  <c r="I15" i="17"/>
  <c r="I136" i="17"/>
  <c r="I55" i="17"/>
  <c r="I110" i="17"/>
  <c r="I25" i="17"/>
  <c r="I78" i="17"/>
  <c r="I27" i="17"/>
  <c r="I11" i="17"/>
  <c r="I104" i="17"/>
  <c r="I74" i="17"/>
  <c r="I130" i="17"/>
  <c r="I107" i="17"/>
  <c r="I30" i="17"/>
  <c r="I45" i="17"/>
  <c r="I51" i="17"/>
  <c r="I96" i="17"/>
  <c r="G20" i="25"/>
  <c r="I119" i="17"/>
  <c r="I92" i="17"/>
  <c r="I43" i="17"/>
  <c r="I69" i="17"/>
  <c r="I37" i="17"/>
  <c r="I39" i="17"/>
  <c r="I11" i="25" l="1"/>
  <c r="H11" i="25" s="1"/>
  <c r="I95" i="17"/>
  <c r="I19" i="25" s="1"/>
  <c r="H19" i="25" s="1"/>
  <c r="I114" i="17"/>
  <c r="I127" i="17"/>
  <c r="I97" i="17"/>
  <c r="I38" i="17"/>
  <c r="I56" i="17"/>
  <c r="G22" i="25"/>
  <c r="G8" i="25"/>
  <c r="G18" i="25"/>
  <c r="I103" i="17"/>
  <c r="I42" i="17"/>
  <c r="I9" i="25" s="1"/>
  <c r="H9" i="25" s="1"/>
  <c r="I122" i="17"/>
  <c r="I8" i="17"/>
  <c r="G15" i="25"/>
  <c r="I14" i="25"/>
  <c r="H14" i="25" s="1"/>
  <c r="I6" i="25"/>
  <c r="I21" i="25"/>
  <c r="H21" i="25" s="1"/>
  <c r="I13" i="25"/>
  <c r="H13" i="25" s="1"/>
  <c r="I20" i="25"/>
  <c r="H20" i="25" s="1"/>
  <c r="I7" i="25"/>
  <c r="H7" i="25" s="1"/>
  <c r="I18" i="25"/>
  <c r="I10" i="25"/>
  <c r="H10" i="25" s="1"/>
  <c r="I16" i="25"/>
  <c r="H16" i="25" s="1"/>
  <c r="I17" i="25"/>
  <c r="H17" i="25" s="1"/>
  <c r="G24" i="25" l="1"/>
  <c r="H6" i="25"/>
  <c r="I8" i="25"/>
  <c r="H8" i="25" s="1"/>
  <c r="H18" i="25"/>
  <c r="I12" i="25"/>
  <c r="H12" i="25" s="1"/>
  <c r="I22" i="25"/>
  <c r="H22" i="25" s="1"/>
  <c r="I23" i="25"/>
  <c r="H23" i="25" s="1"/>
  <c r="I15" i="25"/>
  <c r="H15" i="25" s="1"/>
  <c r="J66" i="17" l="1"/>
  <c r="K66" i="17" s="1"/>
  <c r="I24" i="25"/>
  <c r="H24" i="25" s="1"/>
  <c r="J7" i="17"/>
  <c r="J93" i="17"/>
  <c r="K93" i="17" s="1"/>
  <c r="J116" i="17"/>
  <c r="K116" i="17" s="1"/>
  <c r="AL116" i="17" s="1"/>
  <c r="J105" i="17"/>
  <c r="K105" i="17" s="1"/>
  <c r="J126" i="17"/>
  <c r="K126" i="17" s="1"/>
  <c r="AL126" i="17" s="1"/>
  <c r="J53" i="17"/>
  <c r="K53" i="17" s="1"/>
  <c r="AL53" i="17" s="1"/>
  <c r="J127" i="17"/>
  <c r="K127" i="17" s="1"/>
  <c r="AL127" i="17" s="1"/>
  <c r="J102" i="17"/>
  <c r="K102" i="17" s="1"/>
  <c r="AL102" i="17" s="1"/>
  <c r="J50" i="17"/>
  <c r="K50" i="17" s="1"/>
  <c r="AL50" i="17" s="1"/>
  <c r="J124" i="17"/>
  <c r="K124" i="17" s="1"/>
  <c r="J64" i="17"/>
  <c r="K64" i="17" s="1"/>
  <c r="J44" i="17"/>
  <c r="K44" i="17" s="1"/>
  <c r="J96" i="17"/>
  <c r="K96" i="17" s="1"/>
  <c r="AL96" i="17" s="1"/>
  <c r="J78" i="17"/>
  <c r="K78" i="17" s="1"/>
  <c r="J79" i="17"/>
  <c r="K79" i="17" s="1"/>
  <c r="AL79" i="17" s="1"/>
  <c r="J9" i="17"/>
  <c r="K9" i="17" s="1"/>
  <c r="AL9" i="17" s="1"/>
  <c r="J18" i="17"/>
  <c r="K18" i="17" s="1"/>
  <c r="J14" i="17"/>
  <c r="K14" i="17" s="1"/>
  <c r="J58" i="17"/>
  <c r="K58" i="17" s="1"/>
  <c r="AL58" i="17" s="1"/>
  <c r="J49" i="17"/>
  <c r="K49" i="17" s="1"/>
  <c r="J52" i="17"/>
  <c r="K52" i="17" s="1"/>
  <c r="AL52" i="17" s="1"/>
  <c r="J75" i="17"/>
  <c r="K75" i="17" s="1"/>
  <c r="J10" i="17"/>
  <c r="K10" i="17" s="1"/>
  <c r="J46" i="17"/>
  <c r="K46" i="17" s="1"/>
  <c r="J90" i="17"/>
  <c r="K90" i="17" s="1"/>
  <c r="J95" i="17"/>
  <c r="K95" i="17" s="1"/>
  <c r="J89" i="17"/>
  <c r="K89" i="17" s="1"/>
  <c r="AL89" i="17" s="1"/>
  <c r="J68" i="17"/>
  <c r="K68" i="17" s="1"/>
  <c r="AL68" i="17" s="1"/>
  <c r="J77" i="17"/>
  <c r="K77" i="17" s="1"/>
  <c r="AL77" i="17" s="1"/>
  <c r="J99" i="17"/>
  <c r="K99" i="17" s="1"/>
  <c r="AL99" i="17" s="1"/>
  <c r="J29" i="17"/>
  <c r="K29" i="17" s="1"/>
  <c r="J101" i="17"/>
  <c r="K101" i="17" s="1"/>
  <c r="AL101" i="17" s="1"/>
  <c r="J31" i="17"/>
  <c r="K31" i="17" s="1"/>
  <c r="AL31" i="17" s="1"/>
  <c r="J114" i="17"/>
  <c r="K114" i="17" s="1"/>
  <c r="AL114" i="17" s="1"/>
  <c r="J103" i="17"/>
  <c r="K103" i="17" s="1"/>
  <c r="J51" i="17"/>
  <c r="K51" i="17" s="1"/>
  <c r="AL51" i="17" s="1"/>
  <c r="J38" i="17"/>
  <c r="K38" i="17" s="1"/>
  <c r="J59" i="17"/>
  <c r="K59" i="17" s="1"/>
  <c r="AL59" i="17" s="1"/>
  <c r="J21" i="17"/>
  <c r="K21" i="17" s="1"/>
  <c r="AL21" i="17" s="1"/>
  <c r="J86" i="17"/>
  <c r="K86" i="17" s="1"/>
  <c r="AL86" i="17" s="1"/>
  <c r="J62" i="17"/>
  <c r="K62" i="17" s="1"/>
  <c r="J67" i="17"/>
  <c r="K67" i="17" s="1"/>
  <c r="AL67" i="17" s="1"/>
  <c r="J128" i="17"/>
  <c r="K128" i="17" s="1"/>
  <c r="AL128" i="17" s="1"/>
  <c r="J136" i="17"/>
  <c r="K136" i="17" s="1"/>
  <c r="AL136" i="17" s="1"/>
  <c r="J133" i="17"/>
  <c r="K133" i="17" s="1"/>
  <c r="AL133" i="17" s="1"/>
  <c r="J118" i="17"/>
  <c r="K118" i="17" s="1"/>
  <c r="J123" i="17"/>
  <c r="K123" i="17" s="1"/>
  <c r="AL123" i="17" s="1"/>
  <c r="J43" i="17"/>
  <c r="K43" i="17" s="1"/>
  <c r="AL43" i="17" s="1"/>
  <c r="J27" i="17"/>
  <c r="K27" i="17" s="1"/>
  <c r="J110" i="17"/>
  <c r="K110" i="17" s="1"/>
  <c r="AL110" i="17" s="1"/>
  <c r="J54" i="17"/>
  <c r="K54" i="17" s="1"/>
  <c r="AL54" i="17" s="1"/>
  <c r="J137" i="17"/>
  <c r="K137" i="17" s="1"/>
  <c r="AL137" i="17" s="1"/>
  <c r="J48" i="17"/>
  <c r="J23" i="17"/>
  <c r="K23" i="17" s="1"/>
  <c r="J117" i="17"/>
  <c r="K117" i="17" s="1"/>
  <c r="AL117" i="17" s="1"/>
  <c r="J26" i="17"/>
  <c r="K26" i="17" s="1"/>
  <c r="AL26" i="17" s="1"/>
  <c r="J61" i="17"/>
  <c r="K61" i="17" s="1"/>
  <c r="J84" i="17"/>
  <c r="K84" i="17" s="1"/>
  <c r="AL84" i="17" s="1"/>
  <c r="J104" i="17"/>
  <c r="K104" i="17" s="1"/>
  <c r="AL104" i="17" s="1"/>
  <c r="AA104" i="24" s="1"/>
  <c r="AB104" i="24" s="1"/>
  <c r="AC104" i="24" s="1"/>
  <c r="J80" i="17"/>
  <c r="K80" i="17" s="1"/>
  <c r="J41" i="17"/>
  <c r="K41" i="17" s="1"/>
  <c r="J20" i="17"/>
  <c r="K20" i="17" s="1"/>
  <c r="AL20" i="17" s="1"/>
  <c r="J122" i="17"/>
  <c r="K122" i="17" s="1"/>
  <c r="AL122" i="17" s="1"/>
  <c r="J97" i="17"/>
  <c r="K97" i="17" s="1"/>
  <c r="AL97" i="17" s="1"/>
  <c r="J45" i="17"/>
  <c r="K45" i="17" s="1"/>
  <c r="AL45" i="17" s="1"/>
  <c r="AA45" i="24" s="1"/>
  <c r="AB45" i="24" s="1"/>
  <c r="AC45" i="24" s="1"/>
  <c r="J106" i="17"/>
  <c r="K106" i="17" s="1"/>
  <c r="AL106" i="17" s="1"/>
  <c r="AA106" i="24" s="1"/>
  <c r="AB106" i="24" s="1"/>
  <c r="AC106" i="24" s="1"/>
  <c r="J24" i="17"/>
  <c r="K24" i="17" s="1"/>
  <c r="J72" i="17"/>
  <c r="K72" i="17" s="1"/>
  <c r="J87" i="17"/>
  <c r="K87" i="17" s="1"/>
  <c r="J109" i="17"/>
  <c r="K109" i="17" s="1"/>
  <c r="AL109" i="17" s="1"/>
  <c r="J42" i="17"/>
  <c r="J9" i="25" s="1"/>
  <c r="J132" i="17"/>
  <c r="K132" i="17" s="1"/>
  <c r="AL132" i="17" s="1"/>
  <c r="J82" i="17"/>
  <c r="K82" i="17" s="1"/>
  <c r="AL82" i="17" s="1"/>
  <c r="J6" i="17"/>
  <c r="J40" i="17"/>
  <c r="K40" i="17" s="1"/>
  <c r="J13" i="17"/>
  <c r="K13" i="17" s="1"/>
  <c r="AL13" i="17" s="1"/>
  <c r="J16" i="17"/>
  <c r="K16" i="17" s="1"/>
  <c r="J8" i="17"/>
  <c r="K8" i="17" s="1"/>
  <c r="J91" i="17"/>
  <c r="K91" i="17" s="1"/>
  <c r="AL91" i="17" s="1"/>
  <c r="J36" i="17"/>
  <c r="K36" i="17" s="1"/>
  <c r="J108" i="17"/>
  <c r="K108" i="17" s="1"/>
  <c r="AL108" i="17" s="1"/>
  <c r="J121" i="17"/>
  <c r="K121" i="17" s="1"/>
  <c r="AL121" i="17" s="1"/>
  <c r="J25" i="17"/>
  <c r="K25" i="17" s="1"/>
  <c r="J129" i="17"/>
  <c r="K129" i="17" s="1"/>
  <c r="J17" i="17"/>
  <c r="K17" i="17" s="1"/>
  <c r="J135" i="17"/>
  <c r="K135" i="17" s="1"/>
  <c r="J19" i="17"/>
  <c r="K19" i="17" s="1"/>
  <c r="J30" i="17"/>
  <c r="K30" i="17" s="1"/>
  <c r="AL30" i="17" s="1"/>
  <c r="J37" i="17"/>
  <c r="K37" i="17" s="1"/>
  <c r="AL37" i="17" s="1"/>
  <c r="J98" i="17"/>
  <c r="K98" i="17" s="1"/>
  <c r="AL98" i="17" s="1"/>
  <c r="J60" i="17"/>
  <c r="K60" i="17" s="1"/>
  <c r="J33" i="17"/>
  <c r="K33" i="17" s="1"/>
  <c r="AL33" i="17" s="1"/>
  <c r="J113" i="17"/>
  <c r="K113" i="17" s="1"/>
  <c r="J125" i="17"/>
  <c r="K125" i="17" s="1"/>
  <c r="J63" i="17"/>
  <c r="K63" i="17" s="1"/>
  <c r="AL63" i="17" s="1"/>
  <c r="AA63" i="24" s="1"/>
  <c r="AB63" i="24" s="1"/>
  <c r="AC63" i="24" s="1"/>
  <c r="J55" i="17"/>
  <c r="K55" i="17" s="1"/>
  <c r="AL55" i="17" s="1"/>
  <c r="J70" i="17"/>
  <c r="K70" i="17" s="1"/>
  <c r="J34" i="17"/>
  <c r="K34" i="17" s="1"/>
  <c r="AL34" i="17" s="1"/>
  <c r="J107" i="17"/>
  <c r="K107" i="17" s="1"/>
  <c r="AL107" i="17" s="1"/>
  <c r="AA107" i="24" s="1"/>
  <c r="AB107" i="24" s="1"/>
  <c r="AC107" i="24" s="1"/>
  <c r="J100" i="17"/>
  <c r="K100" i="17" s="1"/>
  <c r="AL100" i="17" s="1"/>
  <c r="J94" i="17"/>
  <c r="K94" i="17" s="1"/>
  <c r="J111" i="17"/>
  <c r="K111" i="17" s="1"/>
  <c r="J120" i="17"/>
  <c r="K120" i="17" s="1"/>
  <c r="AL120" i="17" s="1"/>
  <c r="J32" i="17"/>
  <c r="K32" i="17" s="1"/>
  <c r="AL32" i="17" s="1"/>
  <c r="J22" i="17"/>
  <c r="K22" i="17" s="1"/>
  <c r="J69" i="17"/>
  <c r="K69" i="17" s="1"/>
  <c r="J88" i="17"/>
  <c r="K88" i="17" s="1"/>
  <c r="J74" i="17"/>
  <c r="K74" i="17" s="1"/>
  <c r="J39" i="17"/>
  <c r="K39" i="17" s="1"/>
  <c r="J83" i="17"/>
  <c r="K83" i="17" s="1"/>
  <c r="AL83" i="17" s="1"/>
  <c r="J134" i="17"/>
  <c r="K134" i="17" s="1"/>
  <c r="AL134" i="17" s="1"/>
  <c r="J47" i="17"/>
  <c r="K47" i="17" s="1"/>
  <c r="AL47" i="17" s="1"/>
  <c r="J138" i="17"/>
  <c r="K138" i="17" s="1"/>
  <c r="AL138" i="17" s="1"/>
  <c r="J56" i="17"/>
  <c r="K56" i="17" s="1"/>
  <c r="J71" i="17"/>
  <c r="K71" i="17" s="1"/>
  <c r="AL71" i="17" s="1"/>
  <c r="J81" i="17"/>
  <c r="K81" i="17" s="1"/>
  <c r="J130" i="17"/>
  <c r="K130" i="17" s="1"/>
  <c r="J15" i="17"/>
  <c r="K15" i="17" s="1"/>
  <c r="J65" i="17"/>
  <c r="K65" i="17" s="1"/>
  <c r="J85" i="17"/>
  <c r="K85" i="17" s="1"/>
  <c r="AL85" i="17" s="1"/>
  <c r="J76" i="17"/>
  <c r="K76" i="17" s="1"/>
  <c r="J12" i="17"/>
  <c r="K12" i="17" s="1"/>
  <c r="AL12" i="17" s="1"/>
  <c r="J35" i="17"/>
  <c r="K35" i="17" s="1"/>
  <c r="AL35" i="17" s="1"/>
  <c r="J28" i="17"/>
  <c r="K28" i="17" s="1"/>
  <c r="AL28" i="17" s="1"/>
  <c r="J112" i="17"/>
  <c r="K112" i="17" s="1"/>
  <c r="AL112" i="17" s="1"/>
  <c r="J73" i="17"/>
  <c r="K73" i="17" s="1"/>
  <c r="J11" i="17"/>
  <c r="K11" i="17" s="1"/>
  <c r="AL11" i="17" s="1"/>
  <c r="AA11" i="24" s="1"/>
  <c r="AB11" i="24" s="1"/>
  <c r="AC11" i="24" s="1"/>
  <c r="J119" i="17"/>
  <c r="K119" i="17" s="1"/>
  <c r="J57" i="17"/>
  <c r="K57" i="17" s="1"/>
  <c r="AL57" i="17" s="1"/>
  <c r="J92" i="17"/>
  <c r="K92" i="17" s="1"/>
  <c r="J131" i="17"/>
  <c r="K131" i="17" s="1"/>
  <c r="J115" i="17"/>
  <c r="K115" i="17" s="1"/>
  <c r="AL78" i="17"/>
  <c r="AL105" i="17"/>
  <c r="K7" i="17"/>
  <c r="AL95" i="17"/>
  <c r="AL93" i="17"/>
  <c r="AL66" i="17"/>
  <c r="J139" i="17" l="1"/>
  <c r="K6" i="17"/>
  <c r="J14" i="25"/>
  <c r="J13" i="25"/>
  <c r="J21" i="25"/>
  <c r="AL61" i="17"/>
  <c r="J20" i="25"/>
  <c r="AL87" i="17"/>
  <c r="AA87" i="24" s="1"/>
  <c r="AB87" i="24" s="1"/>
  <c r="AC87" i="24" s="1"/>
  <c r="J11" i="25"/>
  <c r="AL125" i="17"/>
  <c r="AL10" i="17"/>
  <c r="AA10" i="24" s="1"/>
  <c r="AB10" i="24" s="1"/>
  <c r="AC10" i="24" s="1"/>
  <c r="K42" i="17"/>
  <c r="AA121" i="24"/>
  <c r="AB121" i="24" s="1"/>
  <c r="AC121" i="24" s="1"/>
  <c r="AL118" i="17"/>
  <c r="AA118" i="24" s="1"/>
  <c r="AB118" i="24" s="1"/>
  <c r="AC118" i="24" s="1"/>
  <c r="AL124" i="17"/>
  <c r="AA124" i="24" s="1"/>
  <c r="AB124" i="24" s="1"/>
  <c r="AC124" i="24" s="1"/>
  <c r="AL103" i="17"/>
  <c r="AL64" i="17"/>
  <c r="AA64" i="24" s="1"/>
  <c r="AB64" i="24" s="1"/>
  <c r="AC64" i="24" s="1"/>
  <c r="AL36" i="17"/>
  <c r="AL56" i="17"/>
  <c r="AA56" i="24" s="1"/>
  <c r="AB56" i="24" s="1"/>
  <c r="AC56" i="24" s="1"/>
  <c r="AL44" i="17"/>
  <c r="AL113" i="17"/>
  <c r="AA57" i="24"/>
  <c r="AB57" i="24" s="1"/>
  <c r="AC57" i="24" s="1"/>
  <c r="AL22" i="17"/>
  <c r="AA22" i="24" s="1"/>
  <c r="AB22" i="24" s="1"/>
  <c r="AC22" i="24" s="1"/>
  <c r="AL14" i="17"/>
  <c r="AL8" i="17"/>
  <c r="J19" i="25"/>
  <c r="K19" i="25"/>
  <c r="AL72" i="17"/>
  <c r="AA72" i="24" s="1"/>
  <c r="AB72" i="24" s="1"/>
  <c r="AC72" i="24" s="1"/>
  <c r="AL65" i="17"/>
  <c r="AA65" i="24" s="1"/>
  <c r="AB65" i="24" s="1"/>
  <c r="AC65" i="24" s="1"/>
  <c r="K22" i="25"/>
  <c r="J15" i="25"/>
  <c r="AL90" i="17"/>
  <c r="AL17" i="25" s="1"/>
  <c r="AL76" i="17"/>
  <c r="AA76" i="24" s="1"/>
  <c r="AB76" i="24" s="1"/>
  <c r="AC76" i="24" s="1"/>
  <c r="AL70" i="17"/>
  <c r="AA70" i="24" s="1"/>
  <c r="AB70" i="24" s="1"/>
  <c r="AC70" i="24" s="1"/>
  <c r="AL39" i="17"/>
  <c r="AA39" i="24" s="1"/>
  <c r="AB39" i="24" s="1"/>
  <c r="AC39" i="24" s="1"/>
  <c r="AA51" i="24"/>
  <c r="AB51" i="24" s="1"/>
  <c r="AC51" i="24" s="1"/>
  <c r="AL46" i="17"/>
  <c r="AL27" i="17"/>
  <c r="AA27" i="24" s="1"/>
  <c r="AB27" i="24" s="1"/>
  <c r="AC27" i="24" s="1"/>
  <c r="AA108" i="24"/>
  <c r="AB108" i="24" s="1"/>
  <c r="AC108" i="24" s="1"/>
  <c r="AL40" i="17"/>
  <c r="J12" i="25"/>
  <c r="J22" i="25"/>
  <c r="AL94" i="17"/>
  <c r="AL135" i="17"/>
  <c r="AL62" i="17"/>
  <c r="AA62" i="24" s="1"/>
  <c r="AB62" i="24" s="1"/>
  <c r="AC62" i="24" s="1"/>
  <c r="J6" i="25"/>
  <c r="K48" i="17"/>
  <c r="K14" i="25" s="1"/>
  <c r="AL111" i="17"/>
  <c r="AL73" i="17"/>
  <c r="AA73" i="24" s="1"/>
  <c r="AB73" i="24" s="1"/>
  <c r="AC73" i="24" s="1"/>
  <c r="K16" i="25"/>
  <c r="AL80" i="17"/>
  <c r="AA80" i="24" s="1"/>
  <c r="AB80" i="24" s="1"/>
  <c r="AC80" i="24" s="1"/>
  <c r="J7" i="25"/>
  <c r="J16" i="25"/>
  <c r="AL129" i="17"/>
  <c r="AL25" i="17"/>
  <c r="AA25" i="24" s="1"/>
  <c r="AB25" i="24" s="1"/>
  <c r="AC25" i="24" s="1"/>
  <c r="J18" i="25"/>
  <c r="AA55" i="24"/>
  <c r="AB55" i="24" s="1"/>
  <c r="AC55" i="24" s="1"/>
  <c r="AL130" i="17"/>
  <c r="AA43" i="24"/>
  <c r="AB43" i="24" s="1"/>
  <c r="AC43" i="24" s="1"/>
  <c r="J23" i="25"/>
  <c r="K17" i="25"/>
  <c r="J10" i="25"/>
  <c r="AL74" i="17"/>
  <c r="J17" i="25"/>
  <c r="AL88" i="17"/>
  <c r="AL19" i="17"/>
  <c r="AL92" i="17"/>
  <c r="AA92" i="24" s="1"/>
  <c r="AB92" i="24" s="1"/>
  <c r="AC92" i="24" s="1"/>
  <c r="AL81" i="17"/>
  <c r="AA81" i="24" s="1"/>
  <c r="AB81" i="24" s="1"/>
  <c r="AC81" i="24" s="1"/>
  <c r="AL15" i="17"/>
  <c r="AL69" i="17"/>
  <c r="J8" i="25"/>
  <c r="AL119" i="17"/>
  <c r="AL131" i="17"/>
  <c r="AL115" i="17"/>
  <c r="AA128" i="24"/>
  <c r="AB128" i="24" s="1"/>
  <c r="AC128" i="24" s="1"/>
  <c r="AA40" i="24"/>
  <c r="AB40" i="24" s="1"/>
  <c r="AC40" i="24" s="1"/>
  <c r="K8" i="25"/>
  <c r="AL17" i="17"/>
  <c r="AA13" i="24"/>
  <c r="AB13" i="24" s="1"/>
  <c r="AC13" i="24" s="1"/>
  <c r="AA32" i="24"/>
  <c r="AB32" i="24" s="1"/>
  <c r="AC32" i="24" s="1"/>
  <c r="AL23" i="17"/>
  <c r="K18" i="25"/>
  <c r="AA9" i="24"/>
  <c r="AB9" i="24" s="1"/>
  <c r="AC9" i="24" s="1"/>
  <c r="AA96" i="24"/>
  <c r="AB96" i="24" s="1"/>
  <c r="AC96" i="24" s="1"/>
  <c r="AA36" i="24"/>
  <c r="AB36" i="24" s="1"/>
  <c r="AC36" i="24" s="1"/>
  <c r="AA122" i="24"/>
  <c r="AB122" i="24" s="1"/>
  <c r="AC122" i="24" s="1"/>
  <c r="AA109" i="24"/>
  <c r="AB109" i="24" s="1"/>
  <c r="AC109" i="24" s="1"/>
  <c r="AA47" i="24"/>
  <c r="AB47" i="24" s="1"/>
  <c r="AC47" i="24" s="1"/>
  <c r="AA30" i="24"/>
  <c r="AB30" i="24" s="1"/>
  <c r="AC30" i="24" s="1"/>
  <c r="K11" i="25"/>
  <c r="AL49" i="17"/>
  <c r="AA82" i="24"/>
  <c r="AB82" i="24" s="1"/>
  <c r="AC82" i="24" s="1"/>
  <c r="AA58" i="24"/>
  <c r="AB58" i="24" s="1"/>
  <c r="AC58" i="24" s="1"/>
  <c r="AA98" i="24"/>
  <c r="AB98" i="24" s="1"/>
  <c r="AC98" i="24" s="1"/>
  <c r="AA132" i="24"/>
  <c r="AB132" i="24" s="1"/>
  <c r="AC132" i="24" s="1"/>
  <c r="AA134" i="24"/>
  <c r="AB134" i="24" s="1"/>
  <c r="AC134" i="24" s="1"/>
  <c r="AA20" i="24"/>
  <c r="AB20" i="24" s="1"/>
  <c r="AC20" i="24" s="1"/>
  <c r="AA28" i="24"/>
  <c r="AB28" i="24" s="1"/>
  <c r="AC28" i="24" s="1"/>
  <c r="AA86" i="24"/>
  <c r="AB86" i="24" s="1"/>
  <c r="AC86" i="24" s="1"/>
  <c r="AA123" i="24"/>
  <c r="AB123" i="24" s="1"/>
  <c r="AC123" i="24" s="1"/>
  <c r="AA99" i="24"/>
  <c r="AB99" i="24" s="1"/>
  <c r="AC99" i="24" s="1"/>
  <c r="AA79" i="24"/>
  <c r="AB79" i="24" s="1"/>
  <c r="AC79" i="24" s="1"/>
  <c r="AA59" i="24"/>
  <c r="AB59" i="24" s="1"/>
  <c r="AC59" i="24" s="1"/>
  <c r="AA26" i="24"/>
  <c r="AB26" i="24" s="1"/>
  <c r="AC26" i="24" s="1"/>
  <c r="AA91" i="24"/>
  <c r="AB91" i="24" s="1"/>
  <c r="AC91" i="24" s="1"/>
  <c r="AL75" i="17"/>
  <c r="K23" i="25"/>
  <c r="AA105" i="24"/>
  <c r="AB105" i="24" s="1"/>
  <c r="AC105" i="24" s="1"/>
  <c r="K10" i="25"/>
  <c r="AL29" i="17"/>
  <c r="AL18" i="17"/>
  <c r="K21" i="25"/>
  <c r="AA84" i="24"/>
  <c r="AB84" i="24" s="1"/>
  <c r="AC84" i="24" s="1"/>
  <c r="AA101" i="24"/>
  <c r="AB101" i="24" s="1"/>
  <c r="AC101" i="24" s="1"/>
  <c r="AA95" i="24"/>
  <c r="AB95" i="24" s="1"/>
  <c r="AC95" i="24" s="1"/>
  <c r="AA90" i="24"/>
  <c r="AB90" i="24" s="1"/>
  <c r="AC90" i="24" s="1"/>
  <c r="AA138" i="24"/>
  <c r="AB138" i="24" s="1"/>
  <c r="AC138" i="24" s="1"/>
  <c r="AA78" i="24"/>
  <c r="AB78" i="24" s="1"/>
  <c r="AC78" i="24" s="1"/>
  <c r="AA100" i="24"/>
  <c r="AB100" i="24" s="1"/>
  <c r="AC100" i="24" s="1"/>
  <c r="AA35" i="24"/>
  <c r="AB35" i="24" s="1"/>
  <c r="AC35" i="24" s="1"/>
  <c r="AA85" i="24"/>
  <c r="AB85" i="24" s="1"/>
  <c r="AC85" i="24" s="1"/>
  <c r="K20" i="25"/>
  <c r="AL60" i="17"/>
  <c r="AA34" i="24"/>
  <c r="AB34" i="24" s="1"/>
  <c r="AC34" i="24" s="1"/>
  <c r="AA89" i="24"/>
  <c r="AB89" i="24" s="1"/>
  <c r="AC89" i="24" s="1"/>
  <c r="K12" i="25"/>
  <c r="AL38" i="17"/>
  <c r="AA117" i="24"/>
  <c r="AB117" i="24" s="1"/>
  <c r="AC117" i="24" s="1"/>
  <c r="AA102" i="24"/>
  <c r="AB102" i="24" s="1"/>
  <c r="AC102" i="24" s="1"/>
  <c r="AA46" i="24"/>
  <c r="AB46" i="24" s="1"/>
  <c r="AC46" i="24" s="1"/>
  <c r="AA112" i="24"/>
  <c r="AB112" i="24" s="1"/>
  <c r="AC112" i="24" s="1"/>
  <c r="K13" i="25"/>
  <c r="AL24" i="17"/>
  <c r="AA54" i="24"/>
  <c r="AB54" i="24" s="1"/>
  <c r="AC54" i="24" s="1"/>
  <c r="AA21" i="24"/>
  <c r="AB21" i="24" s="1"/>
  <c r="AC21" i="24" s="1"/>
  <c r="K7" i="25"/>
  <c r="AL41" i="17"/>
  <c r="AA110" i="24"/>
  <c r="AB110" i="24" s="1"/>
  <c r="AC110" i="24" s="1"/>
  <c r="AA77" i="24"/>
  <c r="AB77" i="24" s="1"/>
  <c r="AC77" i="24" s="1"/>
  <c r="AL16" i="17"/>
  <c r="K6" i="25"/>
  <c r="AA97" i="24"/>
  <c r="AB97" i="24" s="1"/>
  <c r="AC97" i="24" s="1"/>
  <c r="AA133" i="24"/>
  <c r="AB133" i="24" s="1"/>
  <c r="AC133" i="24" s="1"/>
  <c r="AA66" i="24"/>
  <c r="AB66" i="24" s="1"/>
  <c r="AC66" i="24" s="1"/>
  <c r="AA61" i="24"/>
  <c r="AB61" i="24" s="1"/>
  <c r="AC61" i="24" s="1"/>
  <c r="AA93" i="24"/>
  <c r="AB93" i="24" s="1"/>
  <c r="AC93" i="24" s="1"/>
  <c r="AA67" i="24"/>
  <c r="AB67" i="24" s="1"/>
  <c r="AC67" i="24" s="1"/>
  <c r="AA71" i="24"/>
  <c r="AB71" i="24" s="1"/>
  <c r="AC71" i="24" s="1"/>
  <c r="AA50" i="24"/>
  <c r="AB50" i="24" s="1"/>
  <c r="AC50" i="24" s="1"/>
  <c r="AA136" i="24"/>
  <c r="AB136" i="24" s="1"/>
  <c r="AC136" i="24" s="1"/>
  <c r="AA113" i="24"/>
  <c r="AB113" i="24" s="1"/>
  <c r="AC113" i="24" s="1"/>
  <c r="AA53" i="24"/>
  <c r="AB53" i="24" s="1"/>
  <c r="AC53" i="24" s="1"/>
  <c r="AA12" i="24"/>
  <c r="AB12" i="24" s="1"/>
  <c r="AC12" i="24" s="1"/>
  <c r="AA125" i="24"/>
  <c r="AB125" i="24" s="1"/>
  <c r="AC125" i="24" s="1"/>
  <c r="AA126" i="24"/>
  <c r="AB126" i="24" s="1"/>
  <c r="AC126" i="24" s="1"/>
  <c r="AA120" i="24"/>
  <c r="AB120" i="24" s="1"/>
  <c r="AC120" i="24" s="1"/>
  <c r="AA52" i="24"/>
  <c r="AB52" i="24" s="1"/>
  <c r="AC52" i="24" s="1"/>
  <c r="AA137" i="24"/>
  <c r="AB137" i="24" s="1"/>
  <c r="AC137" i="24" s="1"/>
  <c r="AA127" i="24"/>
  <c r="AB127" i="24" s="1"/>
  <c r="AC127" i="24" s="1"/>
  <c r="AA114" i="24"/>
  <c r="AB114" i="24" s="1"/>
  <c r="AC114" i="24" s="1"/>
  <c r="AA68" i="24"/>
  <c r="AB68" i="24" s="1"/>
  <c r="AC68" i="24" s="1"/>
  <c r="AA116" i="24"/>
  <c r="AB116" i="24" s="1"/>
  <c r="AC116" i="24" s="1"/>
  <c r="K15" i="25"/>
  <c r="AL7" i="17"/>
  <c r="AA37" i="24"/>
  <c r="AB37" i="24" s="1"/>
  <c r="AC37" i="24" s="1"/>
  <c r="AA33" i="24"/>
  <c r="AB33" i="24" s="1"/>
  <c r="AC33" i="24" s="1"/>
  <c r="AA83" i="24"/>
  <c r="AB83" i="24" s="1"/>
  <c r="AC83" i="24" s="1"/>
  <c r="AA31" i="24"/>
  <c r="AB31" i="24" s="1"/>
  <c r="AC31" i="24" s="1"/>
  <c r="K139" i="17" l="1"/>
  <c r="AL6" i="17"/>
  <c r="J24" i="25"/>
  <c r="AA94" i="24"/>
  <c r="AB94" i="24" s="1"/>
  <c r="AC94" i="24" s="1"/>
  <c r="AL42" i="17"/>
  <c r="K9" i="25"/>
  <c r="K24" i="25" s="1"/>
  <c r="AA103" i="24"/>
  <c r="AB103" i="24" s="1"/>
  <c r="AC103" i="24" s="1"/>
  <c r="AA44" i="24"/>
  <c r="AB44" i="24" s="1"/>
  <c r="AC44" i="24" s="1"/>
  <c r="AA8" i="24"/>
  <c r="AB8" i="24" s="1"/>
  <c r="AC8" i="24" s="1"/>
  <c r="AA130" i="24"/>
  <c r="AB130" i="24" s="1"/>
  <c r="AC130" i="24" s="1"/>
  <c r="AA14" i="24"/>
  <c r="AB14" i="24" s="1"/>
  <c r="AC14" i="24" s="1"/>
  <c r="AA111" i="24"/>
  <c r="AB111" i="24" s="1"/>
  <c r="AC111" i="24" s="1"/>
  <c r="AL48" i="17"/>
  <c r="AL14" i="25" s="1"/>
  <c r="AA129" i="24"/>
  <c r="AB129" i="24" s="1"/>
  <c r="AC129" i="24" s="1"/>
  <c r="AA88" i="24"/>
  <c r="AB88" i="24" s="1"/>
  <c r="AC88" i="24" s="1"/>
  <c r="AA135" i="24"/>
  <c r="AB135" i="24" s="1"/>
  <c r="AC135" i="24" s="1"/>
  <c r="AL19" i="25"/>
  <c r="AL22" i="25"/>
  <c r="AA19" i="24"/>
  <c r="AB19" i="24" s="1"/>
  <c r="AC19" i="24" s="1"/>
  <c r="AA74" i="24"/>
  <c r="AB74" i="24" s="1"/>
  <c r="AC74" i="24" s="1"/>
  <c r="AA15" i="24"/>
  <c r="AB15" i="24" s="1"/>
  <c r="AC15" i="24" s="1"/>
  <c r="AL16" i="25"/>
  <c r="AA69" i="24"/>
  <c r="AB69" i="24" s="1"/>
  <c r="AC69" i="24" s="1"/>
  <c r="AA119" i="24"/>
  <c r="AB119" i="24" s="1"/>
  <c r="AC119" i="24" s="1"/>
  <c r="AA131" i="24"/>
  <c r="AB131" i="24" s="1"/>
  <c r="AC131" i="24" s="1"/>
  <c r="AA115" i="24"/>
  <c r="AB115" i="24" s="1"/>
  <c r="AC115" i="24" s="1"/>
  <c r="AL13" i="25"/>
  <c r="AA24" i="24"/>
  <c r="AB24" i="24" s="1"/>
  <c r="AC24" i="24" s="1"/>
  <c r="AA75" i="24"/>
  <c r="AB75" i="24" s="1"/>
  <c r="AC75" i="24" s="1"/>
  <c r="AL23" i="25"/>
  <c r="AL18" i="25"/>
  <c r="AA23" i="24"/>
  <c r="AB23" i="24" s="1"/>
  <c r="AC23" i="24" s="1"/>
  <c r="AA41" i="24"/>
  <c r="AB41" i="24" s="1"/>
  <c r="AC41" i="24" s="1"/>
  <c r="AL7" i="25"/>
  <c r="AL20" i="25"/>
  <c r="AA60" i="24"/>
  <c r="AB60" i="24" s="1"/>
  <c r="AC60" i="24" s="1"/>
  <c r="AA17" i="24"/>
  <c r="AB17" i="24" s="1"/>
  <c r="AC17" i="24" s="1"/>
  <c r="AL8" i="25"/>
  <c r="AL11" i="25"/>
  <c r="AA49" i="24"/>
  <c r="AB49" i="24" s="1"/>
  <c r="AC49" i="24" s="1"/>
  <c r="AA42" i="24"/>
  <c r="AB42" i="24" s="1"/>
  <c r="AC42" i="24" s="1"/>
  <c r="AL9" i="25"/>
  <c r="AA18" i="24"/>
  <c r="AB18" i="24" s="1"/>
  <c r="AC18" i="24" s="1"/>
  <c r="AL21" i="25"/>
  <c r="AA29" i="24"/>
  <c r="AB29" i="24" s="1"/>
  <c r="AC29" i="24" s="1"/>
  <c r="AL10" i="25"/>
  <c r="AA38" i="24"/>
  <c r="AB38" i="24" s="1"/>
  <c r="AC38" i="24" s="1"/>
  <c r="AL12" i="25"/>
  <c r="AA7" i="24"/>
  <c r="AB7" i="24" s="1"/>
  <c r="AC7" i="24" s="1"/>
  <c r="AL15" i="25"/>
  <c r="AL6" i="25"/>
  <c r="AA16" i="24"/>
  <c r="AB16" i="24" s="1"/>
  <c r="AC16" i="24" s="1"/>
  <c r="AL139" i="17" l="1"/>
  <c r="AA6" i="24"/>
  <c r="AB6" i="24" s="1"/>
  <c r="AC6" i="24" s="1"/>
  <c r="AL24" i="25"/>
  <c r="AA48" i="24"/>
  <c r="AB48" i="24" s="1"/>
  <c r="AC48" i="24" s="1"/>
  <c r="AA139" i="24" l="1"/>
  <c r="AB139" i="24"/>
  <c r="AC139" i="24" s="1"/>
  <c r="B139" i="24" l="1"/>
  <c r="B139" i="17"/>
  <c r="X6" i="25" l="1"/>
  <c r="X16" i="25"/>
  <c r="X12" i="25"/>
  <c r="X9" i="25"/>
  <c r="AA9" i="25"/>
  <c r="AA6" i="25"/>
  <c r="AA17" i="25"/>
  <c r="AA19" i="25" l="1"/>
  <c r="AA13" i="25"/>
  <c r="AA10" i="25"/>
  <c r="AA14" i="25"/>
  <c r="X23" i="25"/>
  <c r="AA20" i="25"/>
  <c r="X11" i="25"/>
  <c r="AA8" i="25"/>
  <c r="AA12" i="25"/>
  <c r="X22" i="25"/>
  <c r="AA11" i="25"/>
  <c r="X18" i="25"/>
  <c r="X21" i="25"/>
  <c r="X15" i="25"/>
  <c r="AA16" i="25"/>
  <c r="AA15" i="25"/>
  <c r="X8" i="25"/>
  <c r="X20" i="25"/>
  <c r="X17" i="25"/>
  <c r="X14" i="25"/>
  <c r="X13" i="25"/>
  <c r="AA22" i="25"/>
  <c r="X19" i="25"/>
  <c r="X7" i="25"/>
  <c r="AA7" i="25"/>
  <c r="AA23" i="25"/>
  <c r="AA18" i="25"/>
  <c r="X10" i="25"/>
  <c r="AA21" i="25"/>
  <c r="AB86" i="17"/>
  <c r="AC86" i="17" s="1"/>
  <c r="Y120" i="17"/>
  <c r="Z120" i="17" s="1"/>
  <c r="AA24" i="25" l="1"/>
  <c r="X24" i="25"/>
  <c r="AB14" i="17"/>
  <c r="AC14" i="17" s="1"/>
  <c r="AB45" i="17"/>
  <c r="AC45" i="17" s="1"/>
  <c r="AB40" i="17"/>
  <c r="AC40" i="17" s="1"/>
  <c r="AB100" i="17"/>
  <c r="AC100" i="17" s="1"/>
  <c r="AB38" i="17"/>
  <c r="AB52" i="17"/>
  <c r="AC52" i="17" s="1"/>
  <c r="AB95" i="17"/>
  <c r="AC95" i="17" s="1"/>
  <c r="AB105" i="17"/>
  <c r="AC105" i="17" s="1"/>
  <c r="AB8" i="17"/>
  <c r="AC8" i="17" s="1"/>
  <c r="AB59" i="17"/>
  <c r="AC59" i="17" s="1"/>
  <c r="AB74" i="17"/>
  <c r="AC74" i="17" s="1"/>
  <c r="AB89" i="17"/>
  <c r="AC89" i="17" s="1"/>
  <c r="AB9" i="17"/>
  <c r="AC9" i="17" s="1"/>
  <c r="AB106" i="17"/>
  <c r="AC106" i="17" s="1"/>
  <c r="AB41" i="17"/>
  <c r="AB66" i="17"/>
  <c r="AB102" i="17"/>
  <c r="AC102" i="17" s="1"/>
  <c r="AB33" i="17"/>
  <c r="AC33" i="17" s="1"/>
  <c r="AB124" i="17"/>
  <c r="AC124" i="17" s="1"/>
  <c r="AB83" i="17"/>
  <c r="AC83" i="17" s="1"/>
  <c r="AB118" i="17"/>
  <c r="AC118" i="17" s="1"/>
  <c r="AB119" i="17"/>
  <c r="AC119" i="17" s="1"/>
  <c r="AB114" i="17"/>
  <c r="AC114" i="17" s="1"/>
  <c r="AB93" i="17"/>
  <c r="AC93" i="17" s="1"/>
  <c r="AB60" i="17"/>
  <c r="AB115" i="17"/>
  <c r="AC115" i="17" s="1"/>
  <c r="AB125" i="17"/>
  <c r="AC125" i="17" s="1"/>
  <c r="AB69" i="17"/>
  <c r="AC69" i="17" s="1"/>
  <c r="AB28" i="17"/>
  <c r="AC28" i="17" s="1"/>
  <c r="AB20" i="17"/>
  <c r="AC20" i="17" s="1"/>
  <c r="AB94" i="17"/>
  <c r="AC94" i="17" s="1"/>
  <c r="AB130" i="17"/>
  <c r="AC130" i="17" s="1"/>
  <c r="AB88" i="17"/>
  <c r="AC88" i="17" s="1"/>
  <c r="AB17" i="17"/>
  <c r="AB25" i="17"/>
  <c r="AC25" i="17" s="1"/>
  <c r="AB120" i="17"/>
  <c r="AC120" i="17" s="1"/>
  <c r="AN120" i="17" s="1"/>
  <c r="AB97" i="17"/>
  <c r="AC97" i="17" s="1"/>
  <c r="AB108" i="17"/>
  <c r="AC108" i="17" s="1"/>
  <c r="AB126" i="17"/>
  <c r="AC126" i="17" s="1"/>
  <c r="AB70" i="17"/>
  <c r="AC70" i="17" s="1"/>
  <c r="AB85" i="17"/>
  <c r="AC85" i="17" s="1"/>
  <c r="AB16" i="17"/>
  <c r="AB19" i="17"/>
  <c r="AC19" i="17" s="1"/>
  <c r="AB136" i="17"/>
  <c r="AC136" i="17" s="1"/>
  <c r="AB109" i="17"/>
  <c r="AC109" i="17" s="1"/>
  <c r="AB87" i="17"/>
  <c r="AC87" i="17" s="1"/>
  <c r="AB11" i="17"/>
  <c r="AC11" i="17" s="1"/>
  <c r="AB104" i="17"/>
  <c r="AC104" i="17" s="1"/>
  <c r="AB57" i="17"/>
  <c r="AC57" i="17" s="1"/>
  <c r="AB110" i="17"/>
  <c r="AC110" i="17" s="1"/>
  <c r="Y131" i="17"/>
  <c r="Z131" i="17" s="1"/>
  <c r="AB55" i="17"/>
  <c r="AC55" i="17" s="1"/>
  <c r="AB65" i="17"/>
  <c r="AC65" i="17" s="1"/>
  <c r="AB77" i="17"/>
  <c r="AC77" i="17" s="1"/>
  <c r="AB103" i="17"/>
  <c r="AC103" i="17" s="1"/>
  <c r="AB71" i="17"/>
  <c r="AC71" i="17" s="1"/>
  <c r="AB73" i="17"/>
  <c r="AC73" i="17" s="1"/>
  <c r="AB54" i="17"/>
  <c r="AC54" i="17" s="1"/>
  <c r="AB121" i="17"/>
  <c r="AC121" i="17" s="1"/>
  <c r="AB116" i="17"/>
  <c r="AC116" i="17" s="1"/>
  <c r="AB135" i="17"/>
  <c r="AC135" i="17" s="1"/>
  <c r="Y53" i="17"/>
  <c r="Z53" i="17" s="1"/>
  <c r="AI53" i="24" s="1"/>
  <c r="AJ53" i="24" s="1"/>
  <c r="AK53" i="24" s="1"/>
  <c r="AB78" i="17"/>
  <c r="AC78" i="17" s="1"/>
  <c r="AB63" i="17"/>
  <c r="AC63" i="17" s="1"/>
  <c r="AB35" i="17"/>
  <c r="AC35" i="17" s="1"/>
  <c r="Y16" i="17"/>
  <c r="Y28" i="17"/>
  <c r="Z28" i="17" s="1"/>
  <c r="Y14" i="17"/>
  <c r="Z14" i="17" s="1"/>
  <c r="AN14" i="17" s="1"/>
  <c r="AB22" i="17"/>
  <c r="AC22" i="17" s="1"/>
  <c r="Y66" i="17"/>
  <c r="AB137" i="17"/>
  <c r="AC137" i="17" s="1"/>
  <c r="AB27" i="17"/>
  <c r="AC27" i="17" s="1"/>
  <c r="AB53" i="17"/>
  <c r="AC53" i="17" s="1"/>
  <c r="AB138" i="17"/>
  <c r="AC138" i="17" s="1"/>
  <c r="Y112" i="17"/>
  <c r="Z112" i="17" s="1"/>
  <c r="Y86" i="17"/>
  <c r="Z86" i="17" s="1"/>
  <c r="AE86" i="17" s="1"/>
  <c r="AB51" i="17"/>
  <c r="AC51" i="17" s="1"/>
  <c r="Y7" i="17"/>
  <c r="AB30" i="17"/>
  <c r="AC30" i="17" s="1"/>
  <c r="Y11" i="17"/>
  <c r="Z11" i="17" s="1"/>
  <c r="AB72" i="17"/>
  <c r="AC72" i="17" s="1"/>
  <c r="Y85" i="17"/>
  <c r="Z85" i="17" s="1"/>
  <c r="AB92" i="17"/>
  <c r="AC92" i="17" s="1"/>
  <c r="Y135" i="17"/>
  <c r="Z135" i="17" s="1"/>
  <c r="AI135" i="24" s="1"/>
  <c r="AJ135" i="24" s="1"/>
  <c r="AK135" i="24" s="1"/>
  <c r="Y46" i="17"/>
  <c r="Z46" i="17" s="1"/>
  <c r="Y119" i="17"/>
  <c r="Z119" i="17" s="1"/>
  <c r="AB132" i="17"/>
  <c r="AC132" i="17" s="1"/>
  <c r="AB111" i="17"/>
  <c r="AC111" i="17" s="1"/>
  <c r="AB48" i="17"/>
  <c r="AB13" i="17"/>
  <c r="AC13" i="17" s="1"/>
  <c r="AB37" i="17"/>
  <c r="AC37" i="17" s="1"/>
  <c r="AI120" i="24"/>
  <c r="AJ120" i="24" s="1"/>
  <c r="AK120" i="24" s="1"/>
  <c r="AI85" i="24"/>
  <c r="AJ85" i="24" s="1"/>
  <c r="AK85" i="24" s="1"/>
  <c r="Y88" i="17"/>
  <c r="Z88" i="17" s="1"/>
  <c r="Y40" i="17"/>
  <c r="Z40" i="17" s="1"/>
  <c r="Y12" i="17"/>
  <c r="Z12" i="17" s="1"/>
  <c r="Y61" i="17"/>
  <c r="Z61" i="17" s="1"/>
  <c r="Y83" i="17"/>
  <c r="Z83" i="17" s="1"/>
  <c r="Y130" i="17"/>
  <c r="Z130" i="17" s="1"/>
  <c r="AB18" i="17"/>
  <c r="Y32" i="17"/>
  <c r="Z32" i="17" s="1"/>
  <c r="AB122" i="17"/>
  <c r="AC122" i="17" s="1"/>
  <c r="Y22" i="17"/>
  <c r="Z22" i="17" s="1"/>
  <c r="AB23" i="17"/>
  <c r="Y109" i="17"/>
  <c r="Z109" i="17" s="1"/>
  <c r="AB24" i="17"/>
  <c r="Y26" i="17"/>
  <c r="Z26" i="17" s="1"/>
  <c r="AB131" i="17"/>
  <c r="AC131" i="17" s="1"/>
  <c r="Y126" i="17"/>
  <c r="Z126" i="17" s="1"/>
  <c r="Y100" i="17"/>
  <c r="Z100" i="17" s="1"/>
  <c r="Y45" i="17"/>
  <c r="Z45" i="17" s="1"/>
  <c r="AB7" i="17"/>
  <c r="AB134" i="17"/>
  <c r="AC134" i="17" s="1"/>
  <c r="Y80" i="17"/>
  <c r="Z80" i="17" s="1"/>
  <c r="AB64" i="17"/>
  <c r="AC64" i="17" s="1"/>
  <c r="AB67" i="17"/>
  <c r="AC67" i="17" s="1"/>
  <c r="AB129" i="17"/>
  <c r="AC129" i="17" s="1"/>
  <c r="Y68" i="17"/>
  <c r="Z68" i="17" s="1"/>
  <c r="Y137" i="17"/>
  <c r="Z137" i="17" s="1"/>
  <c r="Y15" i="17"/>
  <c r="Z15" i="17" s="1"/>
  <c r="Y90" i="17"/>
  <c r="Z90" i="17" s="1"/>
  <c r="Y41" i="17"/>
  <c r="Y6" i="17"/>
  <c r="AB62" i="17"/>
  <c r="AC62" i="17" s="1"/>
  <c r="AB46" i="17"/>
  <c r="AC46" i="17" s="1"/>
  <c r="Y56" i="17"/>
  <c r="Z56" i="17" s="1"/>
  <c r="Y71" i="17"/>
  <c r="Z71" i="17" s="1"/>
  <c r="Y30" i="17"/>
  <c r="Z30" i="17" s="1"/>
  <c r="Y127" i="17"/>
  <c r="Z127" i="17" s="1"/>
  <c r="Y87" i="17"/>
  <c r="Z87" i="17" s="1"/>
  <c r="AB113" i="17"/>
  <c r="AC113" i="17" s="1"/>
  <c r="Y132" i="17"/>
  <c r="Z132" i="17" s="1"/>
  <c r="Y111" i="17"/>
  <c r="Z111" i="17" s="1"/>
  <c r="Y63" i="17"/>
  <c r="Z63" i="17" s="1"/>
  <c r="Y129" i="17"/>
  <c r="Z129" i="17" s="1"/>
  <c r="Y93" i="17"/>
  <c r="Z93" i="17" s="1"/>
  <c r="Y73" i="17"/>
  <c r="Z73" i="17" s="1"/>
  <c r="Y47" i="17"/>
  <c r="Z47" i="17" s="1"/>
  <c r="Y8" i="17"/>
  <c r="Z8" i="17" s="1"/>
  <c r="Y42" i="17"/>
  <c r="Y125" i="17"/>
  <c r="Z125" i="17" s="1"/>
  <c r="Y24" i="17"/>
  <c r="Y118" i="17"/>
  <c r="Z118" i="17" s="1"/>
  <c r="Y37" i="17"/>
  <c r="Z37" i="17" s="1"/>
  <c r="Y110" i="17"/>
  <c r="Z110" i="17" s="1"/>
  <c r="Y133" i="17"/>
  <c r="Z133" i="17" s="1"/>
  <c r="Y106" i="17"/>
  <c r="Z106" i="17" s="1"/>
  <c r="Y76" i="17"/>
  <c r="Z76" i="17" s="1"/>
  <c r="Y75" i="17"/>
  <c r="Y84" i="17"/>
  <c r="Z84" i="17" s="1"/>
  <c r="Y19" i="17"/>
  <c r="Z19" i="17" s="1"/>
  <c r="Y79" i="17"/>
  <c r="Z79" i="17" s="1"/>
  <c r="Y67" i="17"/>
  <c r="Z67" i="17" s="1"/>
  <c r="AB81" i="17"/>
  <c r="AC81" i="17" s="1"/>
  <c r="Y31" i="17"/>
  <c r="Z31" i="17" s="1"/>
  <c r="Y91" i="17"/>
  <c r="Z91" i="17" s="1"/>
  <c r="Y99" i="17"/>
  <c r="Z99" i="17" s="1"/>
  <c r="AB6" i="17"/>
  <c r="AB47" i="17"/>
  <c r="AC47" i="17" s="1"/>
  <c r="Y27" i="17"/>
  <c r="Z27" i="17" s="1"/>
  <c r="Y51" i="17"/>
  <c r="Z51" i="17" s="1"/>
  <c r="Y70" i="17"/>
  <c r="Z70" i="17" s="1"/>
  <c r="Y62" i="17"/>
  <c r="Z62" i="17" s="1"/>
  <c r="Y89" i="17"/>
  <c r="Z89" i="17" s="1"/>
  <c r="AB50" i="17"/>
  <c r="AC50" i="17" s="1"/>
  <c r="AB36" i="17"/>
  <c r="AC36" i="17" s="1"/>
  <c r="AB75" i="17"/>
  <c r="AB61" i="17"/>
  <c r="AC61" i="17" s="1"/>
  <c r="AB39" i="17"/>
  <c r="AC39" i="17" s="1"/>
  <c r="Y48" i="17"/>
  <c r="Y107" i="17"/>
  <c r="Z107" i="17" s="1"/>
  <c r="AB107" i="17"/>
  <c r="AC107" i="17" s="1"/>
  <c r="AB56" i="17"/>
  <c r="AC56" i="17" s="1"/>
  <c r="Y34" i="17"/>
  <c r="AB96" i="17"/>
  <c r="AC96" i="17" s="1"/>
  <c r="Y9" i="17"/>
  <c r="Z9" i="17" s="1"/>
  <c r="AB58" i="17"/>
  <c r="AC58" i="17" s="1"/>
  <c r="Y43" i="17"/>
  <c r="Z43" i="17" s="1"/>
  <c r="AB10" i="17"/>
  <c r="AC10" i="17" s="1"/>
  <c r="Y115" i="17"/>
  <c r="Z115" i="17" s="1"/>
  <c r="AB90" i="17"/>
  <c r="AC90" i="17" s="1"/>
  <c r="AB49" i="17"/>
  <c r="Y54" i="17"/>
  <c r="Z54" i="17" s="1"/>
  <c r="Y117" i="17"/>
  <c r="Z117" i="17" s="1"/>
  <c r="Y97" i="17"/>
  <c r="Z97" i="17" s="1"/>
  <c r="Y39" i="17"/>
  <c r="Z39" i="17" s="1"/>
  <c r="Y113" i="17"/>
  <c r="Z113" i="17" s="1"/>
  <c r="Y104" i="17"/>
  <c r="Z104" i="17" s="1"/>
  <c r="Y52" i="17"/>
  <c r="Z52" i="17" s="1"/>
  <c r="Y44" i="17"/>
  <c r="Z44" i="17" s="1"/>
  <c r="Y29" i="17"/>
  <c r="Y128" i="17"/>
  <c r="Z128" i="17" s="1"/>
  <c r="Y78" i="17"/>
  <c r="Z78" i="17" s="1"/>
  <c r="Y121" i="17"/>
  <c r="Z121" i="17" s="1"/>
  <c r="Y124" i="17"/>
  <c r="Z124" i="17" s="1"/>
  <c r="Y101" i="17"/>
  <c r="Z101" i="17" s="1"/>
  <c r="Y72" i="17"/>
  <c r="Z72" i="17" s="1"/>
  <c r="Y57" i="17"/>
  <c r="Z57" i="17" s="1"/>
  <c r="Y58" i="17"/>
  <c r="Z58" i="17" s="1"/>
  <c r="AB43" i="17"/>
  <c r="AC43" i="17" s="1"/>
  <c r="Y94" i="17"/>
  <c r="Z94" i="17" s="1"/>
  <c r="Y60" i="17"/>
  <c r="Y96" i="17"/>
  <c r="Z96" i="17" s="1"/>
  <c r="Y36" i="17"/>
  <c r="Z36" i="17" s="1"/>
  <c r="Y55" i="17"/>
  <c r="Z55" i="17" s="1"/>
  <c r="Y10" i="17"/>
  <c r="Z10" i="17" s="1"/>
  <c r="Y25" i="17"/>
  <c r="Z25" i="17" s="1"/>
  <c r="Y95" i="17"/>
  <c r="Z95" i="17" s="1"/>
  <c r="AB31" i="17"/>
  <c r="AC31" i="17" s="1"/>
  <c r="Y65" i="17"/>
  <c r="Z65" i="17" s="1"/>
  <c r="Y138" i="17"/>
  <c r="Z138" i="17" s="1"/>
  <c r="AB99" i="17"/>
  <c r="AC99" i="17" s="1"/>
  <c r="Y50" i="17"/>
  <c r="Z50" i="17" s="1"/>
  <c r="Y38" i="17"/>
  <c r="AB44" i="17"/>
  <c r="AC44" i="17" s="1"/>
  <c r="Y114" i="17"/>
  <c r="Z114" i="17" s="1"/>
  <c r="Y17" i="17"/>
  <c r="Y49" i="17"/>
  <c r="Y77" i="17"/>
  <c r="Z77" i="17" s="1"/>
  <c r="AB26" i="17"/>
  <c r="AC26" i="17" s="1"/>
  <c r="AB117" i="17"/>
  <c r="AC117" i="17" s="1"/>
  <c r="AB123" i="17"/>
  <c r="AC123" i="17" s="1"/>
  <c r="Y122" i="17"/>
  <c r="Z122" i="17" s="1"/>
  <c r="AB42" i="17"/>
  <c r="AB76" i="17"/>
  <c r="AC76" i="17" s="1"/>
  <c r="Y116" i="17"/>
  <c r="Z116" i="17" s="1"/>
  <c r="AB101" i="17"/>
  <c r="AC101" i="17" s="1"/>
  <c r="AB32" i="17"/>
  <c r="AC32" i="17" s="1"/>
  <c r="Y134" i="17"/>
  <c r="Z134" i="17" s="1"/>
  <c r="Y123" i="17"/>
  <c r="Z123" i="17" s="1"/>
  <c r="Y21" i="17"/>
  <c r="AB29" i="17"/>
  <c r="Y35" i="17"/>
  <c r="Z35" i="17" s="1"/>
  <c r="Y59" i="17"/>
  <c r="Z59" i="17" s="1"/>
  <c r="AB34" i="17"/>
  <c r="Y103" i="17"/>
  <c r="Z103" i="17" s="1"/>
  <c r="AB128" i="17"/>
  <c r="AC128" i="17" s="1"/>
  <c r="Y64" i="17"/>
  <c r="Z64" i="17" s="1"/>
  <c r="Y81" i="17"/>
  <c r="Z81" i="17" s="1"/>
  <c r="Y105" i="17"/>
  <c r="Z105" i="17" s="1"/>
  <c r="AB112" i="17"/>
  <c r="AC112" i="17" s="1"/>
  <c r="AB82" i="17"/>
  <c r="AC82" i="17" s="1"/>
  <c r="AB133" i="17"/>
  <c r="AC133" i="17" s="1"/>
  <c r="AB84" i="17"/>
  <c r="AC84" i="17" s="1"/>
  <c r="AB21" i="17"/>
  <c r="Y102" i="17"/>
  <c r="Z102" i="17" s="1"/>
  <c r="AB127" i="17"/>
  <c r="AC127" i="17" s="1"/>
  <c r="Y23" i="17"/>
  <c r="Y136" i="17"/>
  <c r="Z136" i="17" s="1"/>
  <c r="AB91" i="17"/>
  <c r="AC91" i="17" s="1"/>
  <c r="Y82" i="17"/>
  <c r="Z82" i="17" s="1"/>
  <c r="Y13" i="17"/>
  <c r="Z13" i="17" s="1"/>
  <c r="Y18" i="17"/>
  <c r="Y69" i="17"/>
  <c r="Z69" i="17" s="1"/>
  <c r="Y20" i="17"/>
  <c r="Z20" i="17" s="1"/>
  <c r="AB68" i="17"/>
  <c r="AC68" i="17" s="1"/>
  <c r="AB15" i="17"/>
  <c r="AC15" i="17" s="1"/>
  <c r="Y108" i="17"/>
  <c r="Z108" i="17" s="1"/>
  <c r="Y98" i="17"/>
  <c r="Z98" i="17" s="1"/>
  <c r="AB98" i="17"/>
  <c r="AC98" i="17" s="1"/>
  <c r="AB80" i="17"/>
  <c r="AC80" i="17" s="1"/>
  <c r="Y92" i="17"/>
  <c r="Z92" i="17" s="1"/>
  <c r="AB79" i="17"/>
  <c r="AC79" i="17" s="1"/>
  <c r="Y33" i="17"/>
  <c r="Z33" i="17" s="1"/>
  <c r="Y74" i="17"/>
  <c r="Z74" i="17" s="1"/>
  <c r="AB12" i="17"/>
  <c r="AC12" i="17" s="1"/>
  <c r="Y139" i="17" l="1"/>
  <c r="AB139" i="17"/>
  <c r="AE53" i="17"/>
  <c r="AB22" i="25"/>
  <c r="Z49" i="17"/>
  <c r="Y11" i="25"/>
  <c r="AC75" i="17"/>
  <c r="AB23" i="25"/>
  <c r="Z38" i="17"/>
  <c r="Y12" i="25"/>
  <c r="Z60" i="17"/>
  <c r="Y20" i="25"/>
  <c r="Z24" i="17"/>
  <c r="Y13" i="25"/>
  <c r="AC24" i="17"/>
  <c r="AB13" i="25"/>
  <c r="Z66" i="17"/>
  <c r="Y19" i="25"/>
  <c r="AC17" i="17"/>
  <c r="AB8" i="25"/>
  <c r="Z23" i="17"/>
  <c r="Y18" i="25"/>
  <c r="AC42" i="17"/>
  <c r="AB9" i="25"/>
  <c r="Z42" i="17"/>
  <c r="Y9" i="25"/>
  <c r="AC34" i="17"/>
  <c r="AB17" i="25"/>
  <c r="AC23" i="17"/>
  <c r="AB18" i="25"/>
  <c r="Z34" i="17"/>
  <c r="Y17" i="25"/>
  <c r="Z7" i="17"/>
  <c r="Y15" i="25"/>
  <c r="Z16" i="17"/>
  <c r="Y6" i="25"/>
  <c r="AC16" i="17"/>
  <c r="AB6" i="25"/>
  <c r="Z18" i="17"/>
  <c r="Y21" i="25"/>
  <c r="AC21" i="17"/>
  <c r="AB16" i="25"/>
  <c r="Z75" i="17"/>
  <c r="Y23" i="25"/>
  <c r="AC48" i="17"/>
  <c r="AB14" i="25"/>
  <c r="AC38" i="17"/>
  <c r="AI38" i="24" s="1"/>
  <c r="AJ38" i="24" s="1"/>
  <c r="AK38" i="24" s="1"/>
  <c r="AB12" i="25"/>
  <c r="Z48" i="17"/>
  <c r="AI48" i="24" s="1"/>
  <c r="AJ48" i="24" s="1"/>
  <c r="AK48" i="24" s="1"/>
  <c r="Y14" i="25"/>
  <c r="Z29" i="17"/>
  <c r="Y10" i="25"/>
  <c r="AC29" i="17"/>
  <c r="AB10" i="25"/>
  <c r="AC7" i="17"/>
  <c r="AB15" i="25"/>
  <c r="AC18" i="17"/>
  <c r="AB21" i="25"/>
  <c r="AC66" i="17"/>
  <c r="AE66" i="17" s="1"/>
  <c r="O66" i="24" s="1"/>
  <c r="P66" i="24" s="1"/>
  <c r="Q66" i="24" s="1"/>
  <c r="AB19" i="25"/>
  <c r="AC49" i="17"/>
  <c r="AE49" i="17" s="1"/>
  <c r="AB11" i="25"/>
  <c r="Z21" i="17"/>
  <c r="Y16" i="25"/>
  <c r="Y22" i="25"/>
  <c r="AC41" i="17"/>
  <c r="AI41" i="24" s="1"/>
  <c r="AJ41" i="24" s="1"/>
  <c r="AK41" i="24" s="1"/>
  <c r="AB7" i="25"/>
  <c r="Z41" i="17"/>
  <c r="Y7" i="25"/>
  <c r="Z17" i="17"/>
  <c r="AN17" i="17" s="1"/>
  <c r="Y8" i="25"/>
  <c r="AC60" i="17"/>
  <c r="AI60" i="24" s="1"/>
  <c r="AJ60" i="24" s="1"/>
  <c r="AK60" i="24" s="1"/>
  <c r="AB20" i="25"/>
  <c r="AI119" i="24"/>
  <c r="AJ119" i="24" s="1"/>
  <c r="AK119" i="24" s="1"/>
  <c r="AN85" i="17"/>
  <c r="AE135" i="17"/>
  <c r="O135" i="24" s="1"/>
  <c r="P135" i="24" s="1"/>
  <c r="Q135" i="24" s="1"/>
  <c r="AN28" i="17"/>
  <c r="AE120" i="17"/>
  <c r="O120" i="24" s="1"/>
  <c r="P120" i="24" s="1"/>
  <c r="Q120" i="24" s="1"/>
  <c r="AI46" i="24"/>
  <c r="AJ46" i="24" s="1"/>
  <c r="AK46" i="24" s="1"/>
  <c r="AI112" i="24"/>
  <c r="AJ112" i="24" s="1"/>
  <c r="AK112" i="24" s="1"/>
  <c r="AE119" i="17"/>
  <c r="AN119" i="17"/>
  <c r="AI131" i="24"/>
  <c r="AJ131" i="24" s="1"/>
  <c r="AK131" i="24" s="1"/>
  <c r="AE28" i="17"/>
  <c r="AO28" i="17" s="1"/>
  <c r="AN11" i="17"/>
  <c r="AE7" i="17"/>
  <c r="O7" i="24" s="1"/>
  <c r="P7" i="24" s="1"/>
  <c r="Q7" i="24" s="1"/>
  <c r="AI28" i="24"/>
  <c r="AJ28" i="24" s="1"/>
  <c r="AK28" i="24" s="1"/>
  <c r="AE14" i="17"/>
  <c r="O14" i="24" s="1"/>
  <c r="P14" i="24" s="1"/>
  <c r="Q14" i="24" s="1"/>
  <c r="AI14" i="24"/>
  <c r="AJ14" i="24" s="1"/>
  <c r="AK14" i="24" s="1"/>
  <c r="AI7" i="24"/>
  <c r="AJ7" i="24" s="1"/>
  <c r="AK7" i="24" s="1"/>
  <c r="AN7" i="17"/>
  <c r="AN86" i="17"/>
  <c r="AI86" i="24"/>
  <c r="AJ86" i="24" s="1"/>
  <c r="AE11" i="17"/>
  <c r="O11" i="24" s="1"/>
  <c r="P11" i="24" s="1"/>
  <c r="Q11" i="24" s="1"/>
  <c r="AI11" i="24"/>
  <c r="AJ11" i="24" s="1"/>
  <c r="AK11" i="24" s="1"/>
  <c r="AI66" i="24"/>
  <c r="AJ66" i="24" s="1"/>
  <c r="AK66" i="24" s="1"/>
  <c r="AN53" i="17"/>
  <c r="AN135" i="17"/>
  <c r="AE85" i="17"/>
  <c r="O85" i="24" s="1"/>
  <c r="P85" i="24" s="1"/>
  <c r="Q85" i="24" s="1"/>
  <c r="AE131" i="17"/>
  <c r="AO131" i="17" s="1"/>
  <c r="M131" i="24" s="1"/>
  <c r="AN64" i="17"/>
  <c r="AI64" i="24"/>
  <c r="AJ64" i="24" s="1"/>
  <c r="AK64" i="24" s="1"/>
  <c r="AE64" i="17"/>
  <c r="AN116" i="17"/>
  <c r="AI116" i="24"/>
  <c r="AJ116" i="24" s="1"/>
  <c r="AK116" i="24" s="1"/>
  <c r="AE116" i="17"/>
  <c r="AN117" i="17"/>
  <c r="AI117" i="24"/>
  <c r="AJ117" i="24" s="1"/>
  <c r="AK117" i="24" s="1"/>
  <c r="AE117" i="17"/>
  <c r="AN67" i="17"/>
  <c r="AI67" i="24"/>
  <c r="AJ67" i="24" s="1"/>
  <c r="AK67" i="24" s="1"/>
  <c r="AE67" i="17"/>
  <c r="AN112" i="17"/>
  <c r="AI63" i="24"/>
  <c r="AJ63" i="24" s="1"/>
  <c r="AK63" i="24" s="1"/>
  <c r="AN63" i="17"/>
  <c r="AE63" i="17"/>
  <c r="AI127" i="24"/>
  <c r="AJ127" i="24" s="1"/>
  <c r="AK127" i="24" s="1"/>
  <c r="AN127" i="17"/>
  <c r="AE127" i="17"/>
  <c r="O86" i="24"/>
  <c r="AO86" i="17"/>
  <c r="AI100" i="24"/>
  <c r="AJ100" i="24" s="1"/>
  <c r="AK100" i="24" s="1"/>
  <c r="AN100" i="17"/>
  <c r="AE100" i="17"/>
  <c r="AN83" i="17"/>
  <c r="AI83" i="24"/>
  <c r="AJ83" i="24" s="1"/>
  <c r="AK83" i="24" s="1"/>
  <c r="AE83" i="17"/>
  <c r="AI13" i="24"/>
  <c r="AJ13" i="24" s="1"/>
  <c r="AK13" i="24" s="1"/>
  <c r="AN13" i="17"/>
  <c r="AE13" i="17"/>
  <c r="AI136" i="24"/>
  <c r="AJ136" i="24" s="1"/>
  <c r="AK136" i="24" s="1"/>
  <c r="AN136" i="17"/>
  <c r="AE136" i="17"/>
  <c r="AI58" i="24"/>
  <c r="AJ58" i="24" s="1"/>
  <c r="AK58" i="24" s="1"/>
  <c r="AN58" i="17"/>
  <c r="AE58" i="17"/>
  <c r="AI78" i="24"/>
  <c r="AJ78" i="24" s="1"/>
  <c r="AK78" i="24" s="1"/>
  <c r="AN78" i="17"/>
  <c r="AE78" i="17"/>
  <c r="AI113" i="24"/>
  <c r="AJ113" i="24" s="1"/>
  <c r="AK113" i="24" s="1"/>
  <c r="AN113" i="17"/>
  <c r="AE113" i="17"/>
  <c r="AI54" i="24"/>
  <c r="AJ54" i="24" s="1"/>
  <c r="AK54" i="24" s="1"/>
  <c r="AN54" i="17"/>
  <c r="AE54" i="17"/>
  <c r="AI43" i="24"/>
  <c r="AJ43" i="24" s="1"/>
  <c r="AK43" i="24" s="1"/>
  <c r="AN43" i="17"/>
  <c r="AE43" i="17"/>
  <c r="AI111" i="24"/>
  <c r="AJ111" i="24" s="1"/>
  <c r="AK111" i="24" s="1"/>
  <c r="AN111" i="17"/>
  <c r="AE111" i="17"/>
  <c r="AI30" i="24"/>
  <c r="AJ30" i="24" s="1"/>
  <c r="AK30" i="24" s="1"/>
  <c r="AN30" i="17"/>
  <c r="AE30" i="17"/>
  <c r="AN126" i="17"/>
  <c r="AI126" i="24"/>
  <c r="AJ126" i="24" s="1"/>
  <c r="AK126" i="24" s="1"/>
  <c r="AE126" i="17"/>
  <c r="AI61" i="24"/>
  <c r="AJ61" i="24" s="1"/>
  <c r="AK61" i="24" s="1"/>
  <c r="AN61" i="17"/>
  <c r="AE61" i="17"/>
  <c r="AI103" i="24"/>
  <c r="AJ103" i="24" s="1"/>
  <c r="AK103" i="24" s="1"/>
  <c r="AN103" i="17"/>
  <c r="AE103" i="17"/>
  <c r="AI62" i="24"/>
  <c r="AJ62" i="24" s="1"/>
  <c r="AK62" i="24" s="1"/>
  <c r="AN62" i="17"/>
  <c r="AE62" i="17"/>
  <c r="AI73" i="24"/>
  <c r="AJ73" i="24" s="1"/>
  <c r="AK73" i="24" s="1"/>
  <c r="AN73" i="17"/>
  <c r="AE73" i="17"/>
  <c r="AI9" i="24"/>
  <c r="AJ9" i="24" s="1"/>
  <c r="AK9" i="24" s="1"/>
  <c r="AN9" i="17"/>
  <c r="AE9" i="17"/>
  <c r="AI79" i="24"/>
  <c r="AJ79" i="24" s="1"/>
  <c r="AK79" i="24" s="1"/>
  <c r="AN79" i="17"/>
  <c r="AE79" i="17"/>
  <c r="AI74" i="24"/>
  <c r="AJ74" i="24" s="1"/>
  <c r="AK74" i="24" s="1"/>
  <c r="AN74" i="17"/>
  <c r="AE74" i="17"/>
  <c r="AI59" i="24"/>
  <c r="AJ59" i="24" s="1"/>
  <c r="AK59" i="24" s="1"/>
  <c r="AN59" i="17"/>
  <c r="AE59" i="17"/>
  <c r="AI55" i="24"/>
  <c r="AJ55" i="24" s="1"/>
  <c r="AK55" i="24" s="1"/>
  <c r="AN55" i="17"/>
  <c r="AE55" i="17"/>
  <c r="Z6" i="17"/>
  <c r="Z139" i="17" s="1"/>
  <c r="AI97" i="24"/>
  <c r="AJ97" i="24" s="1"/>
  <c r="AK97" i="24" s="1"/>
  <c r="AN97" i="17"/>
  <c r="AE97" i="17"/>
  <c r="AI27" i="24"/>
  <c r="AJ27" i="24" s="1"/>
  <c r="AK27" i="24" s="1"/>
  <c r="AN27" i="17"/>
  <c r="AE27" i="17"/>
  <c r="AI84" i="24"/>
  <c r="AJ84" i="24" s="1"/>
  <c r="AK84" i="24" s="1"/>
  <c r="AN84" i="17"/>
  <c r="AE84" i="17"/>
  <c r="AI37" i="24"/>
  <c r="AJ37" i="24" s="1"/>
  <c r="AK37" i="24" s="1"/>
  <c r="AN37" i="17"/>
  <c r="AE37" i="17"/>
  <c r="AE46" i="17"/>
  <c r="AI109" i="24"/>
  <c r="AJ109" i="24" s="1"/>
  <c r="AK109" i="24" s="1"/>
  <c r="AN109" i="17"/>
  <c r="AE109" i="17"/>
  <c r="AN131" i="17"/>
  <c r="AI57" i="24"/>
  <c r="AJ57" i="24" s="1"/>
  <c r="AK57" i="24" s="1"/>
  <c r="AN57" i="17"/>
  <c r="AE57" i="17"/>
  <c r="AI71" i="24"/>
  <c r="AJ71" i="24" s="1"/>
  <c r="AK71" i="24" s="1"/>
  <c r="AN71" i="17"/>
  <c r="AE71" i="17"/>
  <c r="O53" i="24"/>
  <c r="P53" i="24" s="1"/>
  <c r="Q53" i="24" s="1"/>
  <c r="AO53" i="17"/>
  <c r="AI101" i="24"/>
  <c r="AJ101" i="24" s="1"/>
  <c r="AK101" i="24" s="1"/>
  <c r="AN101" i="17"/>
  <c r="AE101" i="17"/>
  <c r="AN19" i="17"/>
  <c r="AI19" i="24"/>
  <c r="AJ19" i="24" s="1"/>
  <c r="AK19" i="24" s="1"/>
  <c r="AE19" i="17"/>
  <c r="AI110" i="24"/>
  <c r="AJ110" i="24" s="1"/>
  <c r="AK110" i="24" s="1"/>
  <c r="AN110" i="17"/>
  <c r="AE110" i="17"/>
  <c r="AI138" i="24"/>
  <c r="AJ138" i="24" s="1"/>
  <c r="AK138" i="24" s="1"/>
  <c r="AN138" i="17"/>
  <c r="AE138" i="17"/>
  <c r="AI94" i="24"/>
  <c r="AJ94" i="24" s="1"/>
  <c r="AK94" i="24" s="1"/>
  <c r="AN94" i="17"/>
  <c r="AE94" i="17"/>
  <c r="AN44" i="17"/>
  <c r="AI44" i="24"/>
  <c r="AJ44" i="24" s="1"/>
  <c r="AK44" i="24" s="1"/>
  <c r="AE44" i="17"/>
  <c r="AI75" i="24"/>
  <c r="AJ75" i="24" s="1"/>
  <c r="AK75" i="24" s="1"/>
  <c r="AE75" i="17"/>
  <c r="AN75" i="17"/>
  <c r="AI118" i="24"/>
  <c r="AJ118" i="24" s="1"/>
  <c r="AK118" i="24" s="1"/>
  <c r="AN118" i="17"/>
  <c r="AE118" i="17"/>
  <c r="AI90" i="24"/>
  <c r="AJ90" i="24" s="1"/>
  <c r="AK90" i="24" s="1"/>
  <c r="AN90" i="17"/>
  <c r="AE90" i="17"/>
  <c r="AI122" i="24"/>
  <c r="AJ122" i="24" s="1"/>
  <c r="AK122" i="24" s="1"/>
  <c r="AN122" i="17"/>
  <c r="AE122" i="17"/>
  <c r="AN38" i="17"/>
  <c r="AI50" i="24"/>
  <c r="AJ50" i="24" s="1"/>
  <c r="AK50" i="24" s="1"/>
  <c r="AN50" i="17"/>
  <c r="AE50" i="17"/>
  <c r="AI33" i="24"/>
  <c r="AJ33" i="24" s="1"/>
  <c r="AK33" i="24" s="1"/>
  <c r="AN33" i="17"/>
  <c r="AE33" i="17"/>
  <c r="AI35" i="24"/>
  <c r="AJ35" i="24" s="1"/>
  <c r="AK35" i="24" s="1"/>
  <c r="AN35" i="17"/>
  <c r="AE35" i="17"/>
  <c r="AN92" i="17"/>
  <c r="AI92" i="24"/>
  <c r="AJ92" i="24" s="1"/>
  <c r="AK92" i="24" s="1"/>
  <c r="AE92" i="17"/>
  <c r="AI69" i="24"/>
  <c r="AJ69" i="24" s="1"/>
  <c r="AK69" i="24" s="1"/>
  <c r="AN69" i="17"/>
  <c r="AE69" i="17"/>
  <c r="AN65" i="17"/>
  <c r="AI65" i="24"/>
  <c r="AJ65" i="24" s="1"/>
  <c r="AK65" i="24" s="1"/>
  <c r="AE65" i="17"/>
  <c r="AI124" i="24"/>
  <c r="AJ124" i="24" s="1"/>
  <c r="AK124" i="24" s="1"/>
  <c r="AN124" i="17"/>
  <c r="AE124" i="17"/>
  <c r="AI52" i="24"/>
  <c r="AJ52" i="24" s="1"/>
  <c r="AK52" i="24" s="1"/>
  <c r="AN52" i="17"/>
  <c r="AE52" i="17"/>
  <c r="AC6" i="17"/>
  <c r="AC139" i="17" s="1"/>
  <c r="AI15" i="24"/>
  <c r="AJ15" i="24" s="1"/>
  <c r="AK15" i="24" s="1"/>
  <c r="AN15" i="17"/>
  <c r="AE15" i="17"/>
  <c r="AI22" i="24"/>
  <c r="AJ22" i="24" s="1"/>
  <c r="AK22" i="24" s="1"/>
  <c r="AN22" i="17"/>
  <c r="AE22" i="17"/>
  <c r="AO120" i="17"/>
  <c r="H120" i="24" s="1"/>
  <c r="AI88" i="24"/>
  <c r="AJ88" i="24" s="1"/>
  <c r="AK88" i="24" s="1"/>
  <c r="AN88" i="17"/>
  <c r="AE88" i="17"/>
  <c r="AI70" i="24"/>
  <c r="AJ70" i="24" s="1"/>
  <c r="AK70" i="24" s="1"/>
  <c r="AN70" i="17"/>
  <c r="AE70" i="17"/>
  <c r="AI123" i="24"/>
  <c r="AJ123" i="24" s="1"/>
  <c r="AK123" i="24" s="1"/>
  <c r="AN123" i="17"/>
  <c r="AE123" i="17"/>
  <c r="AI121" i="24"/>
  <c r="AJ121" i="24" s="1"/>
  <c r="AK121" i="24" s="1"/>
  <c r="AN121" i="17"/>
  <c r="AE121" i="17"/>
  <c r="AI104" i="24"/>
  <c r="AJ104" i="24" s="1"/>
  <c r="AK104" i="24" s="1"/>
  <c r="AN104" i="17"/>
  <c r="AE104" i="17"/>
  <c r="AI107" i="24"/>
  <c r="AJ107" i="24" s="1"/>
  <c r="AK107" i="24" s="1"/>
  <c r="AN107" i="17"/>
  <c r="AE107" i="17"/>
  <c r="AI99" i="24"/>
  <c r="AJ99" i="24" s="1"/>
  <c r="AK99" i="24" s="1"/>
  <c r="AN99" i="17"/>
  <c r="AE99" i="17"/>
  <c r="AI125" i="24"/>
  <c r="AJ125" i="24" s="1"/>
  <c r="AK125" i="24" s="1"/>
  <c r="AN125" i="17"/>
  <c r="AE125" i="17"/>
  <c r="AN46" i="17"/>
  <c r="AI137" i="24"/>
  <c r="AJ137" i="24" s="1"/>
  <c r="AK137" i="24" s="1"/>
  <c r="AN137" i="17"/>
  <c r="AE137" i="17"/>
  <c r="AI80" i="24"/>
  <c r="AJ80" i="24" s="1"/>
  <c r="AK80" i="24" s="1"/>
  <c r="AN80" i="17"/>
  <c r="AE80" i="17"/>
  <c r="AN12" i="17"/>
  <c r="AI12" i="24"/>
  <c r="AJ12" i="24" s="1"/>
  <c r="AK12" i="24" s="1"/>
  <c r="AE12" i="17"/>
  <c r="AI23" i="24"/>
  <c r="AJ23" i="24" s="1"/>
  <c r="AK23" i="24" s="1"/>
  <c r="AE23" i="17"/>
  <c r="AN23" i="17"/>
  <c r="AI96" i="24"/>
  <c r="AJ96" i="24" s="1"/>
  <c r="AK96" i="24" s="1"/>
  <c r="AN96" i="17"/>
  <c r="AE96" i="17"/>
  <c r="AI26" i="24"/>
  <c r="AJ26" i="24" s="1"/>
  <c r="AK26" i="24" s="1"/>
  <c r="AN26" i="17"/>
  <c r="AE26" i="17"/>
  <c r="AI20" i="24"/>
  <c r="AJ20" i="24" s="1"/>
  <c r="AK20" i="24" s="1"/>
  <c r="AN20" i="17"/>
  <c r="AE20" i="17"/>
  <c r="AI114" i="24"/>
  <c r="AJ114" i="24" s="1"/>
  <c r="AK114" i="24" s="1"/>
  <c r="AN114" i="17"/>
  <c r="AE114" i="17"/>
  <c r="AI51" i="24"/>
  <c r="AJ51" i="24" s="1"/>
  <c r="AK51" i="24" s="1"/>
  <c r="AN51" i="17"/>
  <c r="AE51" i="17"/>
  <c r="AI132" i="24"/>
  <c r="AJ132" i="24" s="1"/>
  <c r="AK132" i="24" s="1"/>
  <c r="AN132" i="17"/>
  <c r="AE132" i="17"/>
  <c r="AI134" i="24"/>
  <c r="AJ134" i="24" s="1"/>
  <c r="AK134" i="24" s="1"/>
  <c r="AN134" i="17"/>
  <c r="AE134" i="17"/>
  <c r="AN77" i="17"/>
  <c r="AI77" i="24"/>
  <c r="AJ77" i="24" s="1"/>
  <c r="AK77" i="24" s="1"/>
  <c r="AE77" i="17"/>
  <c r="AI95" i="24"/>
  <c r="AJ95" i="24" s="1"/>
  <c r="AK95" i="24" s="1"/>
  <c r="AN95" i="17"/>
  <c r="AE95" i="17"/>
  <c r="AI91" i="24"/>
  <c r="AJ91" i="24" s="1"/>
  <c r="AK91" i="24" s="1"/>
  <c r="AN91" i="17"/>
  <c r="AE91" i="17"/>
  <c r="AN76" i="17"/>
  <c r="AI76" i="24"/>
  <c r="AJ76" i="24" s="1"/>
  <c r="AK76" i="24" s="1"/>
  <c r="AE76" i="17"/>
  <c r="AE112" i="17"/>
  <c r="AI129" i="24"/>
  <c r="AJ129" i="24" s="1"/>
  <c r="AK129" i="24" s="1"/>
  <c r="AN129" i="17"/>
  <c r="AE129" i="17"/>
  <c r="AI68" i="24"/>
  <c r="AJ68" i="24" s="1"/>
  <c r="AK68" i="24" s="1"/>
  <c r="AN68" i="17"/>
  <c r="AE68" i="17"/>
  <c r="AI32" i="24"/>
  <c r="AJ32" i="24" s="1"/>
  <c r="AK32" i="24" s="1"/>
  <c r="AN32" i="17"/>
  <c r="AE32" i="17"/>
  <c r="AI40" i="24"/>
  <c r="AJ40" i="24" s="1"/>
  <c r="AK40" i="24" s="1"/>
  <c r="AN40" i="17"/>
  <c r="AE40" i="17"/>
  <c r="AI56" i="24"/>
  <c r="AJ56" i="24" s="1"/>
  <c r="AK56" i="24" s="1"/>
  <c r="AN56" i="17"/>
  <c r="AE56" i="17"/>
  <c r="AI128" i="24"/>
  <c r="AJ128" i="24" s="1"/>
  <c r="AK128" i="24" s="1"/>
  <c r="AN128" i="17"/>
  <c r="AE128" i="17"/>
  <c r="AI105" i="24"/>
  <c r="AJ105" i="24" s="1"/>
  <c r="AK105" i="24" s="1"/>
  <c r="AN105" i="17"/>
  <c r="AE105" i="17"/>
  <c r="AI25" i="24"/>
  <c r="AJ25" i="24" s="1"/>
  <c r="AK25" i="24" s="1"/>
  <c r="AN25" i="17"/>
  <c r="AE25" i="17"/>
  <c r="AN89" i="17"/>
  <c r="AI89" i="24"/>
  <c r="AJ89" i="24" s="1"/>
  <c r="AK89" i="24" s="1"/>
  <c r="AE89" i="17"/>
  <c r="AI31" i="24"/>
  <c r="AJ31" i="24" s="1"/>
  <c r="AK31" i="24" s="1"/>
  <c r="AN31" i="17"/>
  <c r="AE31" i="17"/>
  <c r="AN106" i="17"/>
  <c r="AI106" i="24"/>
  <c r="AJ106" i="24" s="1"/>
  <c r="AK106" i="24" s="1"/>
  <c r="AE106" i="17"/>
  <c r="AN8" i="17"/>
  <c r="AI8" i="24"/>
  <c r="AJ8" i="24" s="1"/>
  <c r="AK8" i="24" s="1"/>
  <c r="AE8" i="17"/>
  <c r="O119" i="24"/>
  <c r="P119" i="24" s="1"/>
  <c r="Q119" i="24" s="1"/>
  <c r="AO119" i="17"/>
  <c r="H119" i="24" s="1"/>
  <c r="AN10" i="17"/>
  <c r="AI10" i="24"/>
  <c r="AJ10" i="24" s="1"/>
  <c r="AK10" i="24" s="1"/>
  <c r="AE10" i="17"/>
  <c r="AI72" i="24"/>
  <c r="AJ72" i="24" s="1"/>
  <c r="AK72" i="24" s="1"/>
  <c r="AN72" i="17"/>
  <c r="AE72" i="17"/>
  <c r="AI102" i="24"/>
  <c r="AJ102" i="24" s="1"/>
  <c r="AK102" i="24" s="1"/>
  <c r="AN102" i="17"/>
  <c r="AE102" i="17"/>
  <c r="AI39" i="24"/>
  <c r="AJ39" i="24" s="1"/>
  <c r="AK39" i="24" s="1"/>
  <c r="AN39" i="17"/>
  <c r="AE39" i="17"/>
  <c r="AI93" i="24"/>
  <c r="AJ93" i="24" s="1"/>
  <c r="AK93" i="24" s="1"/>
  <c r="AN93" i="17"/>
  <c r="AE93" i="17"/>
  <c r="AI98" i="24"/>
  <c r="AJ98" i="24" s="1"/>
  <c r="AK98" i="24" s="1"/>
  <c r="AN98" i="17"/>
  <c r="AE98" i="17"/>
  <c r="AI108" i="24"/>
  <c r="AJ108" i="24" s="1"/>
  <c r="AK108" i="24" s="1"/>
  <c r="AN108" i="17"/>
  <c r="AE108" i="17"/>
  <c r="AI82" i="24"/>
  <c r="AJ82" i="24" s="1"/>
  <c r="AK82" i="24" s="1"/>
  <c r="AN82" i="17"/>
  <c r="AE82" i="17"/>
  <c r="AI81" i="24"/>
  <c r="AJ81" i="24" s="1"/>
  <c r="AK81" i="24" s="1"/>
  <c r="AN81" i="17"/>
  <c r="AE81" i="17"/>
  <c r="AI36" i="24"/>
  <c r="AJ36" i="24" s="1"/>
  <c r="AK36" i="24" s="1"/>
  <c r="AN36" i="17"/>
  <c r="AE36" i="17"/>
  <c r="AI115" i="24"/>
  <c r="AJ115" i="24" s="1"/>
  <c r="AK115" i="24" s="1"/>
  <c r="AN115" i="17"/>
  <c r="AE115" i="17"/>
  <c r="AI133" i="24"/>
  <c r="AJ133" i="24" s="1"/>
  <c r="AK133" i="24" s="1"/>
  <c r="AN133" i="17"/>
  <c r="AE133" i="17"/>
  <c r="AI47" i="24"/>
  <c r="AJ47" i="24" s="1"/>
  <c r="AK47" i="24" s="1"/>
  <c r="AN47" i="17"/>
  <c r="AE47" i="17"/>
  <c r="AI87" i="24"/>
  <c r="AJ87" i="24" s="1"/>
  <c r="AK87" i="24" s="1"/>
  <c r="AN87" i="17"/>
  <c r="AE87" i="17"/>
  <c r="AI45" i="24"/>
  <c r="AJ45" i="24" s="1"/>
  <c r="AK45" i="24" s="1"/>
  <c r="AN45" i="17"/>
  <c r="AE45" i="17"/>
  <c r="AI130" i="24"/>
  <c r="AJ130" i="24" s="1"/>
  <c r="AK130" i="24" s="1"/>
  <c r="AN130" i="17"/>
  <c r="AE130" i="17"/>
  <c r="AN41" i="17" l="1"/>
  <c r="AI17" i="24"/>
  <c r="AJ17" i="24" s="1"/>
  <c r="AK17" i="24" s="1"/>
  <c r="AE17" i="17"/>
  <c r="AE38" i="17"/>
  <c r="AN66" i="17"/>
  <c r="AI42" i="24"/>
  <c r="AJ42" i="24" s="1"/>
  <c r="AK42" i="24" s="1"/>
  <c r="AN16" i="17"/>
  <c r="AE60" i="17"/>
  <c r="AN60" i="17"/>
  <c r="AN49" i="17"/>
  <c r="AN11" i="25" s="1"/>
  <c r="AI49" i="24"/>
  <c r="AJ49" i="24" s="1"/>
  <c r="AK49" i="24" s="1"/>
  <c r="AE41" i="17"/>
  <c r="AE16" i="17"/>
  <c r="AO16" i="17" s="1"/>
  <c r="AO6" i="25" s="1"/>
  <c r="AX6" i="25" s="1"/>
  <c r="H28" i="24"/>
  <c r="AE48" i="17"/>
  <c r="O48" i="24" s="1"/>
  <c r="P48" i="24" s="1"/>
  <c r="Q48" i="24" s="1"/>
  <c r="AN48" i="17"/>
  <c r="AN14" i="25" s="1"/>
  <c r="AE42" i="17"/>
  <c r="AO42" i="17" s="1"/>
  <c r="AN42" i="17"/>
  <c r="AN9" i="25" s="1"/>
  <c r="O28" i="24"/>
  <c r="P28" i="24" s="1"/>
  <c r="Q28" i="24" s="1"/>
  <c r="AI24" i="24"/>
  <c r="AJ24" i="24" s="1"/>
  <c r="AK24" i="24" s="1"/>
  <c r="AN24" i="17"/>
  <c r="AN13" i="25" s="1"/>
  <c r="AO11" i="17"/>
  <c r="L11" i="24" s="1"/>
  <c r="AC17" i="25"/>
  <c r="AB24" i="25"/>
  <c r="Z16" i="25"/>
  <c r="Z10" i="25"/>
  <c r="Z21" i="25"/>
  <c r="AC13" i="25"/>
  <c r="AC22" i="25"/>
  <c r="AE34" i="17"/>
  <c r="AE17" i="25" s="1"/>
  <c r="Z22" i="25"/>
  <c r="AC11" i="25"/>
  <c r="Z14" i="25"/>
  <c r="AC6" i="25"/>
  <c r="Z9" i="25"/>
  <c r="Z13" i="25"/>
  <c r="AE21" i="17"/>
  <c r="O21" i="24" s="1"/>
  <c r="P21" i="24" s="1"/>
  <c r="Q21" i="24" s="1"/>
  <c r="AN34" i="17"/>
  <c r="AN17" i="25" s="1"/>
  <c r="AC20" i="25"/>
  <c r="Y24" i="25"/>
  <c r="AO135" i="17"/>
  <c r="K135" i="24" s="1"/>
  <c r="AE18" i="17"/>
  <c r="AO18" i="17" s="1"/>
  <c r="AN21" i="17"/>
  <c r="AN16" i="25" s="1"/>
  <c r="AI34" i="24"/>
  <c r="AJ34" i="24" s="1"/>
  <c r="AK34" i="24" s="1"/>
  <c r="AC19" i="25"/>
  <c r="AC12" i="25"/>
  <c r="AI16" i="24"/>
  <c r="AJ16" i="24" s="1"/>
  <c r="AK16" i="24" s="1"/>
  <c r="Z6" i="25"/>
  <c r="AC9" i="25"/>
  <c r="Z20" i="25"/>
  <c r="AI21" i="24"/>
  <c r="AJ21" i="24" s="1"/>
  <c r="AK21" i="24" s="1"/>
  <c r="Z8" i="25"/>
  <c r="AN18" i="17"/>
  <c r="AN21" i="25" s="1"/>
  <c r="AI18" i="24"/>
  <c r="AJ18" i="24" s="1"/>
  <c r="AK18" i="24" s="1"/>
  <c r="AC21" i="25"/>
  <c r="AC14" i="25"/>
  <c r="Z15" i="25"/>
  <c r="Z18" i="25"/>
  <c r="Z12" i="25"/>
  <c r="Z7" i="25"/>
  <c r="AE29" i="17"/>
  <c r="O29" i="24" s="1"/>
  <c r="P29" i="24" s="1"/>
  <c r="Q29" i="24" s="1"/>
  <c r="AC15" i="25"/>
  <c r="Z23" i="25"/>
  <c r="Z17" i="25"/>
  <c r="AC8" i="25"/>
  <c r="AC23" i="25"/>
  <c r="AN29" i="17"/>
  <c r="AN10" i="25" s="1"/>
  <c r="AC7" i="25"/>
  <c r="AE24" i="17"/>
  <c r="O24" i="24" s="1"/>
  <c r="P24" i="24" s="1"/>
  <c r="Q24" i="24" s="1"/>
  <c r="AI29" i="24"/>
  <c r="AJ29" i="24" s="1"/>
  <c r="AK29" i="24" s="1"/>
  <c r="AC10" i="25"/>
  <c r="AC16" i="25"/>
  <c r="AC18" i="25"/>
  <c r="Z19" i="25"/>
  <c r="Z11" i="25"/>
  <c r="AO7" i="17"/>
  <c r="H7" i="24" s="1"/>
  <c r="AO14" i="17"/>
  <c r="H14" i="24" s="1"/>
  <c r="H53" i="24"/>
  <c r="AN6" i="25"/>
  <c r="AO85" i="17"/>
  <c r="H85" i="24" s="1"/>
  <c r="H86" i="24"/>
  <c r="AO66" i="17"/>
  <c r="H66" i="24" s="1"/>
  <c r="O131" i="24"/>
  <c r="P131" i="24" s="1"/>
  <c r="Q131" i="24" s="1"/>
  <c r="AE15" i="25"/>
  <c r="AN19" i="25"/>
  <c r="AN15" i="25"/>
  <c r="AE19" i="25"/>
  <c r="O45" i="24"/>
  <c r="P45" i="24" s="1"/>
  <c r="Q45" i="24" s="1"/>
  <c r="AO45" i="17"/>
  <c r="H45" i="24" s="1"/>
  <c r="O77" i="24"/>
  <c r="P77" i="24" s="1"/>
  <c r="Q77" i="24" s="1"/>
  <c r="AO77" i="17"/>
  <c r="H77" i="24" s="1"/>
  <c r="O132" i="24"/>
  <c r="P132" i="24" s="1"/>
  <c r="Q132" i="24" s="1"/>
  <c r="AO132" i="17"/>
  <c r="H132" i="24" s="1"/>
  <c r="O114" i="24"/>
  <c r="P114" i="24" s="1"/>
  <c r="Q114" i="24" s="1"/>
  <c r="AO114" i="17"/>
  <c r="H114" i="24" s="1"/>
  <c r="O123" i="24"/>
  <c r="P123" i="24" s="1"/>
  <c r="Q123" i="24" s="1"/>
  <c r="AO123" i="17"/>
  <c r="H123" i="24" s="1"/>
  <c r="O88" i="24"/>
  <c r="P88" i="24" s="1"/>
  <c r="Q88" i="24" s="1"/>
  <c r="AO88" i="17"/>
  <c r="H88" i="24" s="1"/>
  <c r="O69" i="24"/>
  <c r="P69" i="24" s="1"/>
  <c r="Q69" i="24" s="1"/>
  <c r="AO69" i="17"/>
  <c r="H69" i="24" s="1"/>
  <c r="O34" i="24"/>
  <c r="P34" i="24" s="1"/>
  <c r="Q34" i="24" s="1"/>
  <c r="O43" i="24"/>
  <c r="P43" i="24" s="1"/>
  <c r="Q43" i="24" s="1"/>
  <c r="AO43" i="17"/>
  <c r="H43" i="24" s="1"/>
  <c r="O100" i="24"/>
  <c r="P100" i="24" s="1"/>
  <c r="Q100" i="24" s="1"/>
  <c r="AO100" i="17"/>
  <c r="H100" i="24" s="1"/>
  <c r="AN8" i="25"/>
  <c r="O96" i="24"/>
  <c r="P96" i="24" s="1"/>
  <c r="Q96" i="24" s="1"/>
  <c r="AO96" i="17"/>
  <c r="H96" i="24" s="1"/>
  <c r="O130" i="24"/>
  <c r="P130" i="24" s="1"/>
  <c r="Q130" i="24" s="1"/>
  <c r="AO130" i="17"/>
  <c r="O47" i="24"/>
  <c r="P47" i="24" s="1"/>
  <c r="Q47" i="24" s="1"/>
  <c r="AO47" i="17"/>
  <c r="H47" i="24" s="1"/>
  <c r="O125" i="24"/>
  <c r="P125" i="24" s="1"/>
  <c r="Q125" i="24" s="1"/>
  <c r="AO125" i="17"/>
  <c r="H125" i="24" s="1"/>
  <c r="O57" i="24"/>
  <c r="P57" i="24" s="1"/>
  <c r="Q57" i="24" s="1"/>
  <c r="AO57" i="17"/>
  <c r="H57" i="24" s="1"/>
  <c r="O46" i="24"/>
  <c r="P46" i="24" s="1"/>
  <c r="Q46" i="24" s="1"/>
  <c r="AO46" i="17"/>
  <c r="H46" i="24" s="1"/>
  <c r="O55" i="24"/>
  <c r="P55" i="24" s="1"/>
  <c r="Q55" i="24" s="1"/>
  <c r="AO55" i="17"/>
  <c r="H55" i="24" s="1"/>
  <c r="O17" i="24"/>
  <c r="P17" i="24" s="1"/>
  <c r="Q17" i="24" s="1"/>
  <c r="AE8" i="25"/>
  <c r="AO17" i="17"/>
  <c r="O63" i="24"/>
  <c r="P63" i="24" s="1"/>
  <c r="Q63" i="24" s="1"/>
  <c r="AO63" i="17"/>
  <c r="O39" i="24"/>
  <c r="P39" i="24" s="1"/>
  <c r="Q39" i="24" s="1"/>
  <c r="AO39" i="17"/>
  <c r="H39" i="24" s="1"/>
  <c r="O76" i="24"/>
  <c r="P76" i="24" s="1"/>
  <c r="Q76" i="24" s="1"/>
  <c r="AO76" i="17"/>
  <c r="H76" i="24" s="1"/>
  <c r="O118" i="24"/>
  <c r="P118" i="24" s="1"/>
  <c r="Q118" i="24" s="1"/>
  <c r="AO118" i="17"/>
  <c r="H118" i="24" s="1"/>
  <c r="O60" i="24"/>
  <c r="P60" i="24" s="1"/>
  <c r="Q60" i="24" s="1"/>
  <c r="AE20" i="25"/>
  <c r="AO60" i="17"/>
  <c r="O115" i="24"/>
  <c r="P115" i="24" s="1"/>
  <c r="Q115" i="24" s="1"/>
  <c r="AO115" i="17"/>
  <c r="O81" i="24"/>
  <c r="P81" i="24" s="1"/>
  <c r="Q81" i="24" s="1"/>
  <c r="AO81" i="17"/>
  <c r="H81" i="24" s="1"/>
  <c r="O106" i="24"/>
  <c r="P106" i="24" s="1"/>
  <c r="Q106" i="24" s="1"/>
  <c r="AO106" i="17"/>
  <c r="H106" i="24" s="1"/>
  <c r="O49" i="24"/>
  <c r="P49" i="24" s="1"/>
  <c r="Q49" i="24" s="1"/>
  <c r="AE11" i="25"/>
  <c r="AO49" i="17"/>
  <c r="O12" i="24"/>
  <c r="P12" i="24" s="1"/>
  <c r="Q12" i="24" s="1"/>
  <c r="AO12" i="17"/>
  <c r="H12" i="24" s="1"/>
  <c r="O137" i="24"/>
  <c r="P137" i="24" s="1"/>
  <c r="Q137" i="24" s="1"/>
  <c r="AO137" i="17"/>
  <c r="H137" i="24" s="1"/>
  <c r="O104" i="24"/>
  <c r="P104" i="24" s="1"/>
  <c r="Q104" i="24" s="1"/>
  <c r="AO104" i="17"/>
  <c r="H104" i="24" s="1"/>
  <c r="AN12" i="25"/>
  <c r="AN20" i="25"/>
  <c r="O126" i="24"/>
  <c r="P126" i="24" s="1"/>
  <c r="Q126" i="24" s="1"/>
  <c r="AO126" i="17"/>
  <c r="H126" i="24" s="1"/>
  <c r="O117" i="24"/>
  <c r="P117" i="24" s="1"/>
  <c r="Q117" i="24" s="1"/>
  <c r="AO117" i="17"/>
  <c r="H117" i="24" s="1"/>
  <c r="O64" i="24"/>
  <c r="P64" i="24" s="1"/>
  <c r="Q64" i="24" s="1"/>
  <c r="AO64" i="17"/>
  <c r="H64" i="24" s="1"/>
  <c r="O15" i="24"/>
  <c r="P15" i="24" s="1"/>
  <c r="Q15" i="24" s="1"/>
  <c r="AO15" i="17"/>
  <c r="H15" i="24" s="1"/>
  <c r="O33" i="24"/>
  <c r="P33" i="24" s="1"/>
  <c r="Q33" i="24" s="1"/>
  <c r="AO33" i="17"/>
  <c r="H33" i="24" s="1"/>
  <c r="O38" i="24"/>
  <c r="P38" i="24" s="1"/>
  <c r="Q38" i="24" s="1"/>
  <c r="AE12" i="25"/>
  <c r="AO38" i="17"/>
  <c r="H38" i="24" s="1"/>
  <c r="O138" i="24"/>
  <c r="P138" i="24" s="1"/>
  <c r="Q138" i="24" s="1"/>
  <c r="AO138" i="17"/>
  <c r="H138" i="24" s="1"/>
  <c r="O78" i="24"/>
  <c r="P78" i="24" s="1"/>
  <c r="Q78" i="24" s="1"/>
  <c r="AO78" i="17"/>
  <c r="O13" i="24"/>
  <c r="P13" i="24" s="1"/>
  <c r="Q13" i="24" s="1"/>
  <c r="AO13" i="17"/>
  <c r="H13" i="24" s="1"/>
  <c r="O87" i="24"/>
  <c r="P87" i="24" s="1"/>
  <c r="Q87" i="24" s="1"/>
  <c r="AO87" i="17"/>
  <c r="H87" i="24" s="1"/>
  <c r="O134" i="24"/>
  <c r="P134" i="24" s="1"/>
  <c r="Q134" i="24" s="1"/>
  <c r="AO134" i="17"/>
  <c r="H134" i="24" s="1"/>
  <c r="S120" i="24"/>
  <c r="T120" i="24" s="1"/>
  <c r="U120" i="24" s="1"/>
  <c r="I120" i="24"/>
  <c r="E120" i="24"/>
  <c r="G120" i="24"/>
  <c r="AQ120" i="17"/>
  <c r="F120" i="24"/>
  <c r="K120" i="24"/>
  <c r="J120" i="24"/>
  <c r="M120" i="24"/>
  <c r="L120" i="24"/>
  <c r="O92" i="24"/>
  <c r="P92" i="24" s="1"/>
  <c r="Q92" i="24" s="1"/>
  <c r="AO92" i="17"/>
  <c r="H92" i="24" s="1"/>
  <c r="O44" i="24"/>
  <c r="P44" i="24" s="1"/>
  <c r="Q44" i="24" s="1"/>
  <c r="AO44" i="17"/>
  <c r="H44" i="24" s="1"/>
  <c r="O110" i="24"/>
  <c r="P110" i="24" s="1"/>
  <c r="Q110" i="24" s="1"/>
  <c r="AO110" i="17"/>
  <c r="H110" i="24" s="1"/>
  <c r="O97" i="24"/>
  <c r="P97" i="24" s="1"/>
  <c r="Q97" i="24" s="1"/>
  <c r="AO97" i="17"/>
  <c r="H97" i="24" s="1"/>
  <c r="O59" i="24"/>
  <c r="P59" i="24" s="1"/>
  <c r="Q59" i="24" s="1"/>
  <c r="AO59" i="17"/>
  <c r="H59" i="24" s="1"/>
  <c r="O111" i="24"/>
  <c r="P111" i="24" s="1"/>
  <c r="Q111" i="24" s="1"/>
  <c r="AO111" i="17"/>
  <c r="H111" i="24" s="1"/>
  <c r="O54" i="24"/>
  <c r="P54" i="24" s="1"/>
  <c r="Q54" i="24" s="1"/>
  <c r="AO54" i="17"/>
  <c r="H54" i="24" s="1"/>
  <c r="K86" i="24"/>
  <c r="I86" i="24"/>
  <c r="E86" i="24"/>
  <c r="G86" i="24"/>
  <c r="AQ86" i="17"/>
  <c r="J86" i="24"/>
  <c r="S86" i="24"/>
  <c r="F86" i="24"/>
  <c r="M86" i="24"/>
  <c r="L86" i="24"/>
  <c r="O101" i="24"/>
  <c r="P101" i="24" s="1"/>
  <c r="Q101" i="24" s="1"/>
  <c r="AO101" i="17"/>
  <c r="H101" i="24" s="1"/>
  <c r="O79" i="24"/>
  <c r="P79" i="24" s="1"/>
  <c r="Q79" i="24" s="1"/>
  <c r="AO79" i="17"/>
  <c r="H79" i="24" s="1"/>
  <c r="O51" i="24"/>
  <c r="P51" i="24" s="1"/>
  <c r="Q51" i="24" s="1"/>
  <c r="AO51" i="17"/>
  <c r="H51" i="24" s="1"/>
  <c r="O20" i="24"/>
  <c r="P20" i="24" s="1"/>
  <c r="Q20" i="24" s="1"/>
  <c r="AO20" i="17"/>
  <c r="H20" i="24" s="1"/>
  <c r="O133" i="24"/>
  <c r="P133" i="24" s="1"/>
  <c r="Q133" i="24" s="1"/>
  <c r="AO133" i="17"/>
  <c r="H133" i="24" s="1"/>
  <c r="O93" i="24"/>
  <c r="P93" i="24" s="1"/>
  <c r="Q93" i="24" s="1"/>
  <c r="AO93" i="17"/>
  <c r="H93" i="24" s="1"/>
  <c r="O99" i="24"/>
  <c r="P99" i="24" s="1"/>
  <c r="Q99" i="24" s="1"/>
  <c r="AO99" i="17"/>
  <c r="H99" i="24" s="1"/>
  <c r="O52" i="24"/>
  <c r="P52" i="24" s="1"/>
  <c r="Q52" i="24" s="1"/>
  <c r="AO52" i="17"/>
  <c r="H52" i="24" s="1"/>
  <c r="AN7" i="25"/>
  <c r="O73" i="24"/>
  <c r="P73" i="24" s="1"/>
  <c r="Q73" i="24" s="1"/>
  <c r="AO73" i="17"/>
  <c r="H73" i="24" s="1"/>
  <c r="O103" i="24"/>
  <c r="P103" i="24" s="1"/>
  <c r="Q103" i="24" s="1"/>
  <c r="AO103" i="17"/>
  <c r="H103" i="24" s="1"/>
  <c r="O32" i="24"/>
  <c r="P32" i="24" s="1"/>
  <c r="Q32" i="24" s="1"/>
  <c r="AO32" i="17"/>
  <c r="O98" i="24"/>
  <c r="P98" i="24" s="1"/>
  <c r="Q98" i="24" s="1"/>
  <c r="AO98" i="17"/>
  <c r="H98" i="24" s="1"/>
  <c r="O91" i="24"/>
  <c r="P91" i="24" s="1"/>
  <c r="Q91" i="24" s="1"/>
  <c r="AO91" i="17"/>
  <c r="H91" i="24" s="1"/>
  <c r="O70" i="24"/>
  <c r="P70" i="24" s="1"/>
  <c r="Q70" i="24" s="1"/>
  <c r="AO70" i="17"/>
  <c r="H70" i="24" s="1"/>
  <c r="O41" i="24"/>
  <c r="P41" i="24" s="1"/>
  <c r="Q41" i="24" s="1"/>
  <c r="AE7" i="25"/>
  <c r="AO41" i="17"/>
  <c r="H41" i="24" s="1"/>
  <c r="O27" i="24"/>
  <c r="P27" i="24" s="1"/>
  <c r="Q27" i="24" s="1"/>
  <c r="AO27" i="17"/>
  <c r="H27" i="24" s="1"/>
  <c r="O83" i="24"/>
  <c r="P83" i="24" s="1"/>
  <c r="Q83" i="24" s="1"/>
  <c r="AO83" i="17"/>
  <c r="P86" i="24"/>
  <c r="O67" i="24"/>
  <c r="P67" i="24" s="1"/>
  <c r="Q67" i="24" s="1"/>
  <c r="AO67" i="17"/>
  <c r="H67" i="24" s="1"/>
  <c r="O89" i="24"/>
  <c r="P89" i="24" s="1"/>
  <c r="Q89" i="24" s="1"/>
  <c r="AO89" i="17"/>
  <c r="H89" i="24" s="1"/>
  <c r="O102" i="24"/>
  <c r="P102" i="24" s="1"/>
  <c r="Q102" i="24" s="1"/>
  <c r="AO102" i="17"/>
  <c r="H102" i="24" s="1"/>
  <c r="O10" i="24"/>
  <c r="P10" i="24" s="1"/>
  <c r="Q10" i="24" s="1"/>
  <c r="AO10" i="17"/>
  <c r="H10" i="24" s="1"/>
  <c r="O95" i="24"/>
  <c r="P95" i="24" s="1"/>
  <c r="Q95" i="24" s="1"/>
  <c r="AO95" i="17"/>
  <c r="H95" i="24" s="1"/>
  <c r="AQ119" i="17"/>
  <c r="I119" i="24"/>
  <c r="E119" i="24"/>
  <c r="S119" i="24"/>
  <c r="F119" i="24"/>
  <c r="G119" i="24"/>
  <c r="J119" i="24"/>
  <c r="K119" i="24"/>
  <c r="M119" i="24"/>
  <c r="L119" i="24"/>
  <c r="O112" i="24"/>
  <c r="P112" i="24" s="1"/>
  <c r="Q112" i="24" s="1"/>
  <c r="AO112" i="17"/>
  <c r="AN18" i="25"/>
  <c r="O22" i="24"/>
  <c r="P22" i="24" s="1"/>
  <c r="Q22" i="24" s="1"/>
  <c r="AO22" i="17"/>
  <c r="H22" i="24" s="1"/>
  <c r="O65" i="24"/>
  <c r="P65" i="24" s="1"/>
  <c r="Q65" i="24" s="1"/>
  <c r="AO65" i="17"/>
  <c r="H65" i="24" s="1"/>
  <c r="O122" i="24"/>
  <c r="P122" i="24" s="1"/>
  <c r="Q122" i="24" s="1"/>
  <c r="AO122" i="17"/>
  <c r="H122" i="24" s="1"/>
  <c r="AN23" i="25"/>
  <c r="O71" i="24"/>
  <c r="P71" i="24" s="1"/>
  <c r="Q71" i="24" s="1"/>
  <c r="AO71" i="17"/>
  <c r="H71" i="24" s="1"/>
  <c r="O9" i="24"/>
  <c r="P9" i="24" s="1"/>
  <c r="Q9" i="24" s="1"/>
  <c r="AO9" i="17"/>
  <c r="H9" i="24" s="1"/>
  <c r="O58" i="24"/>
  <c r="P58" i="24" s="1"/>
  <c r="Q58" i="24" s="1"/>
  <c r="AO58" i="17"/>
  <c r="H58" i="24" s="1"/>
  <c r="O127" i="24"/>
  <c r="P127" i="24" s="1"/>
  <c r="Q127" i="24" s="1"/>
  <c r="AO127" i="17"/>
  <c r="H127" i="24" s="1"/>
  <c r="O108" i="24"/>
  <c r="P108" i="24" s="1"/>
  <c r="Q108" i="24" s="1"/>
  <c r="AO108" i="17"/>
  <c r="O56" i="24"/>
  <c r="P56" i="24" s="1"/>
  <c r="Q56" i="24" s="1"/>
  <c r="AO56" i="17"/>
  <c r="H56" i="24" s="1"/>
  <c r="O84" i="24"/>
  <c r="P84" i="24" s="1"/>
  <c r="Q84" i="24" s="1"/>
  <c r="AO84" i="17"/>
  <c r="H84" i="24" s="1"/>
  <c r="AK86" i="24"/>
  <c r="O75" i="24"/>
  <c r="P75" i="24" s="1"/>
  <c r="Q75" i="24" s="1"/>
  <c r="AO75" i="17"/>
  <c r="H75" i="24" s="1"/>
  <c r="AE23" i="25"/>
  <c r="O37" i="24"/>
  <c r="P37" i="24" s="1"/>
  <c r="Q37" i="24" s="1"/>
  <c r="AO37" i="17"/>
  <c r="O30" i="24"/>
  <c r="P30" i="24" s="1"/>
  <c r="Q30" i="24" s="1"/>
  <c r="AO30" i="17"/>
  <c r="H30" i="24" s="1"/>
  <c r="S131" i="24"/>
  <c r="T131" i="24" s="1"/>
  <c r="U131" i="24" s="1"/>
  <c r="AQ131" i="17"/>
  <c r="G131" i="24"/>
  <c r="E131" i="24"/>
  <c r="F131" i="24"/>
  <c r="I131" i="24"/>
  <c r="K131" i="24"/>
  <c r="J131" i="24"/>
  <c r="L131" i="24"/>
  <c r="O72" i="24"/>
  <c r="P72" i="24" s="1"/>
  <c r="Q72" i="24" s="1"/>
  <c r="AO72" i="17"/>
  <c r="O129" i="24"/>
  <c r="P129" i="24" s="1"/>
  <c r="Q129" i="24" s="1"/>
  <c r="AO129" i="17"/>
  <c r="O36" i="24"/>
  <c r="P36" i="24" s="1"/>
  <c r="Q36" i="24" s="1"/>
  <c r="AO36" i="17"/>
  <c r="H36" i="24" s="1"/>
  <c r="O23" i="24"/>
  <c r="P23" i="24" s="1"/>
  <c r="Q23" i="24" s="1"/>
  <c r="AE18" i="25"/>
  <c r="AO23" i="17"/>
  <c r="H23" i="24" s="1"/>
  <c r="O121" i="24"/>
  <c r="P121" i="24" s="1"/>
  <c r="Q121" i="24" s="1"/>
  <c r="AO121" i="17"/>
  <c r="O40" i="24"/>
  <c r="P40" i="24" s="1"/>
  <c r="Q40" i="24" s="1"/>
  <c r="AO40" i="17"/>
  <c r="O68" i="24"/>
  <c r="P68" i="24" s="1"/>
  <c r="Q68" i="24" s="1"/>
  <c r="AO68" i="17"/>
  <c r="H68" i="24" s="1"/>
  <c r="O26" i="24"/>
  <c r="P26" i="24" s="1"/>
  <c r="Q26" i="24" s="1"/>
  <c r="AO26" i="17"/>
  <c r="H26" i="24" s="1"/>
  <c r="K28" i="24"/>
  <c r="S28" i="24"/>
  <c r="T28" i="24" s="1"/>
  <c r="U28" i="24" s="1"/>
  <c r="AQ28" i="17"/>
  <c r="E28" i="24"/>
  <c r="J28" i="24"/>
  <c r="G28" i="24"/>
  <c r="F28" i="24"/>
  <c r="I28" i="24"/>
  <c r="L28" i="24"/>
  <c r="M28" i="24"/>
  <c r="O35" i="24"/>
  <c r="P35" i="24" s="1"/>
  <c r="Q35" i="24" s="1"/>
  <c r="AO35" i="17"/>
  <c r="H35" i="24" s="1"/>
  <c r="O50" i="24"/>
  <c r="P50" i="24" s="1"/>
  <c r="Q50" i="24" s="1"/>
  <c r="AO50" i="17"/>
  <c r="O90" i="24"/>
  <c r="P90" i="24" s="1"/>
  <c r="Q90" i="24" s="1"/>
  <c r="AO90" i="17"/>
  <c r="H90" i="24" s="1"/>
  <c r="O94" i="24"/>
  <c r="P94" i="24" s="1"/>
  <c r="Q94" i="24" s="1"/>
  <c r="AO94" i="17"/>
  <c r="H94" i="24" s="1"/>
  <c r="O19" i="24"/>
  <c r="P19" i="24" s="1"/>
  <c r="Q19" i="24" s="1"/>
  <c r="AO19" i="17"/>
  <c r="H19" i="24" s="1"/>
  <c r="K53" i="24"/>
  <c r="J53" i="24"/>
  <c r="I53" i="24"/>
  <c r="S53" i="24"/>
  <c r="T53" i="24" s="1"/>
  <c r="U53" i="24" s="1"/>
  <c r="G53" i="24"/>
  <c r="E53" i="24"/>
  <c r="F53" i="24"/>
  <c r="AQ53" i="17"/>
  <c r="L53" i="24"/>
  <c r="M53" i="24"/>
  <c r="H131" i="24"/>
  <c r="AE10" i="25"/>
  <c r="AO29" i="17"/>
  <c r="AI6" i="24"/>
  <c r="AJ6" i="24" s="1"/>
  <c r="AK6" i="24" s="1"/>
  <c r="AN6" i="17"/>
  <c r="AN139" i="17" s="1"/>
  <c r="AE6" i="17"/>
  <c r="AE139" i="17" s="1"/>
  <c r="O74" i="24"/>
  <c r="P74" i="24" s="1"/>
  <c r="Q74" i="24" s="1"/>
  <c r="AO74" i="17"/>
  <c r="H74" i="24" s="1"/>
  <c r="O113" i="24"/>
  <c r="P113" i="24" s="1"/>
  <c r="Q113" i="24" s="1"/>
  <c r="AO113" i="17"/>
  <c r="O136" i="24"/>
  <c r="P136" i="24" s="1"/>
  <c r="Q136" i="24" s="1"/>
  <c r="AO136" i="17"/>
  <c r="H136" i="24" s="1"/>
  <c r="O82" i="24"/>
  <c r="P82" i="24" s="1"/>
  <c r="Q82" i="24" s="1"/>
  <c r="AO82" i="17"/>
  <c r="H82" i="24" s="1"/>
  <c r="O31" i="24"/>
  <c r="P31" i="24" s="1"/>
  <c r="Q31" i="24" s="1"/>
  <c r="AO31" i="17"/>
  <c r="H31" i="24" s="1"/>
  <c r="O128" i="24"/>
  <c r="P128" i="24" s="1"/>
  <c r="Q128" i="24" s="1"/>
  <c r="AO128" i="17"/>
  <c r="H128" i="24" s="1"/>
  <c r="O8" i="24"/>
  <c r="P8" i="24" s="1"/>
  <c r="Q8" i="24" s="1"/>
  <c r="AO8" i="17"/>
  <c r="O25" i="24"/>
  <c r="P25" i="24" s="1"/>
  <c r="Q25" i="24" s="1"/>
  <c r="AO25" i="17"/>
  <c r="O105" i="24"/>
  <c r="P105" i="24" s="1"/>
  <c r="Q105" i="24" s="1"/>
  <c r="AO105" i="17"/>
  <c r="H105" i="24" s="1"/>
  <c r="O80" i="24"/>
  <c r="P80" i="24" s="1"/>
  <c r="Q80" i="24" s="1"/>
  <c r="AO80" i="17"/>
  <c r="O107" i="24"/>
  <c r="P107" i="24" s="1"/>
  <c r="Q107" i="24" s="1"/>
  <c r="AO107" i="17"/>
  <c r="H107" i="24" s="1"/>
  <c r="O124" i="24"/>
  <c r="P124" i="24" s="1"/>
  <c r="Q124" i="24" s="1"/>
  <c r="AO124" i="17"/>
  <c r="O109" i="24"/>
  <c r="P109" i="24" s="1"/>
  <c r="Q109" i="24" s="1"/>
  <c r="AO109" i="17"/>
  <c r="H109" i="24" s="1"/>
  <c r="O62" i="24"/>
  <c r="P62" i="24" s="1"/>
  <c r="Q62" i="24" s="1"/>
  <c r="AO62" i="17"/>
  <c r="H62" i="24" s="1"/>
  <c r="O61" i="24"/>
  <c r="P61" i="24" s="1"/>
  <c r="Q61" i="24" s="1"/>
  <c r="AO61" i="17"/>
  <c r="H61" i="24" s="1"/>
  <c r="O116" i="24"/>
  <c r="P116" i="24" s="1"/>
  <c r="Q116" i="24" s="1"/>
  <c r="AO116" i="17"/>
  <c r="G16" i="24" l="1"/>
  <c r="F16" i="24"/>
  <c r="H16" i="24"/>
  <c r="J16" i="24"/>
  <c r="S16" i="24"/>
  <c r="AQ16" i="17"/>
  <c r="AE6" i="25"/>
  <c r="L16" i="24"/>
  <c r="M16" i="24"/>
  <c r="K16" i="24"/>
  <c r="I16" i="24"/>
  <c r="E16" i="24"/>
  <c r="H49" i="24"/>
  <c r="H60" i="24"/>
  <c r="O16" i="24"/>
  <c r="P16" i="24" s="1"/>
  <c r="Q16" i="24" s="1"/>
  <c r="AO21" i="17"/>
  <c r="AE16" i="25"/>
  <c r="H42" i="24"/>
  <c r="AE14" i="25"/>
  <c r="AO48" i="17"/>
  <c r="AE9" i="25"/>
  <c r="O42" i="24"/>
  <c r="P42" i="24" s="1"/>
  <c r="Q42" i="24" s="1"/>
  <c r="J7" i="24"/>
  <c r="H48" i="24"/>
  <c r="K7" i="24"/>
  <c r="AQ11" i="17"/>
  <c r="G11" i="24"/>
  <c r="I66" i="24"/>
  <c r="H11" i="24"/>
  <c r="I11" i="24"/>
  <c r="K11" i="24"/>
  <c r="F11" i="24"/>
  <c r="J11" i="24"/>
  <c r="E11" i="24"/>
  <c r="S11" i="24"/>
  <c r="T11" i="24" s="1"/>
  <c r="U11" i="24" s="1"/>
  <c r="M11" i="24"/>
  <c r="O18" i="24"/>
  <c r="P18" i="24" s="1"/>
  <c r="Q18" i="24" s="1"/>
  <c r="F14" i="24"/>
  <c r="AE21" i="25"/>
  <c r="L135" i="24"/>
  <c r="M135" i="24"/>
  <c r="AO34" i="17"/>
  <c r="L34" i="24" s="1"/>
  <c r="H29" i="24"/>
  <c r="H21" i="24"/>
  <c r="K14" i="24"/>
  <c r="M14" i="24"/>
  <c r="AQ14" i="17"/>
  <c r="W14" i="24" s="1"/>
  <c r="X14" i="24" s="1"/>
  <c r="Y14" i="24" s="1"/>
  <c r="H135" i="24"/>
  <c r="H18" i="24"/>
  <c r="S135" i="24"/>
  <c r="T135" i="24" s="1"/>
  <c r="U135" i="24" s="1"/>
  <c r="J14" i="24"/>
  <c r="I135" i="24"/>
  <c r="G14" i="24"/>
  <c r="L7" i="24"/>
  <c r="J135" i="24"/>
  <c r="E14" i="24"/>
  <c r="E7" i="24"/>
  <c r="F135" i="24"/>
  <c r="S14" i="24"/>
  <c r="T14" i="24" s="1"/>
  <c r="U14" i="24" s="1"/>
  <c r="F7" i="24"/>
  <c r="E135" i="24"/>
  <c r="S7" i="24"/>
  <c r="T7" i="24" s="1"/>
  <c r="U7" i="24" s="1"/>
  <c r="I14" i="24"/>
  <c r="I7" i="24"/>
  <c r="AQ135" i="17"/>
  <c r="W135" i="24" s="1"/>
  <c r="X135" i="24" s="1"/>
  <c r="Y135" i="24" s="1"/>
  <c r="G7" i="24"/>
  <c r="G135" i="24"/>
  <c r="L14" i="24"/>
  <c r="AQ7" i="17"/>
  <c r="W7" i="24" s="1"/>
  <c r="X7" i="24" s="1"/>
  <c r="Y7" i="24" s="1"/>
  <c r="K85" i="24"/>
  <c r="J85" i="24"/>
  <c r="E85" i="24"/>
  <c r="AO24" i="17"/>
  <c r="J24" i="24" s="1"/>
  <c r="AE13" i="25"/>
  <c r="F85" i="24"/>
  <c r="AS6" i="25"/>
  <c r="AV6" i="25"/>
  <c r="AC24" i="25"/>
  <c r="AQ85" i="17"/>
  <c r="W85" i="24" s="1"/>
  <c r="X85" i="24" s="1"/>
  <c r="Y85" i="24" s="1"/>
  <c r="I85" i="24"/>
  <c r="S85" i="24"/>
  <c r="T85" i="24" s="1"/>
  <c r="U85" i="24" s="1"/>
  <c r="Z24" i="25"/>
  <c r="AW6" i="25"/>
  <c r="M85" i="24"/>
  <c r="L85" i="24"/>
  <c r="G85" i="24"/>
  <c r="M7" i="24"/>
  <c r="K66" i="24"/>
  <c r="M66" i="24"/>
  <c r="L66" i="24"/>
  <c r="J66" i="24"/>
  <c r="S66" i="24"/>
  <c r="T66" i="24" s="1"/>
  <c r="F66" i="24"/>
  <c r="E66" i="24"/>
  <c r="G66" i="24"/>
  <c r="AQ66" i="17"/>
  <c r="W66" i="24" s="1"/>
  <c r="X66" i="24" s="1"/>
  <c r="Y66" i="24" s="1"/>
  <c r="AO15" i="25"/>
  <c r="AJ139" i="24"/>
  <c r="AK139" i="24" s="1"/>
  <c r="I19" i="24"/>
  <c r="J19" i="24"/>
  <c r="K19" i="24"/>
  <c r="S19" i="24"/>
  <c r="T19" i="24" s="1"/>
  <c r="U19" i="24" s="1"/>
  <c r="E19" i="24"/>
  <c r="AQ19" i="17"/>
  <c r="G19" i="24"/>
  <c r="F19" i="24"/>
  <c r="M19" i="24"/>
  <c r="L19" i="24"/>
  <c r="S40" i="24"/>
  <c r="T40" i="24" s="1"/>
  <c r="U40" i="24" s="1"/>
  <c r="I40" i="24"/>
  <c r="K40" i="24"/>
  <c r="F40" i="24"/>
  <c r="G40" i="24"/>
  <c r="E40" i="24"/>
  <c r="AQ40" i="17"/>
  <c r="J40" i="24"/>
  <c r="M40" i="24"/>
  <c r="L40" i="24"/>
  <c r="S80" i="24"/>
  <c r="T80" i="24" s="1"/>
  <c r="U80" i="24" s="1"/>
  <c r="F80" i="24"/>
  <c r="I80" i="24"/>
  <c r="E80" i="24"/>
  <c r="G80" i="24"/>
  <c r="K80" i="24"/>
  <c r="J80" i="24"/>
  <c r="AQ80" i="17"/>
  <c r="M80" i="24"/>
  <c r="L80" i="24"/>
  <c r="S25" i="24"/>
  <c r="T25" i="24" s="1"/>
  <c r="U25" i="24" s="1"/>
  <c r="K25" i="24"/>
  <c r="J25" i="24"/>
  <c r="E25" i="24"/>
  <c r="G25" i="24"/>
  <c r="F25" i="24"/>
  <c r="I25" i="24"/>
  <c r="AQ25" i="17"/>
  <c r="M25" i="24"/>
  <c r="L25" i="24"/>
  <c r="S31" i="24"/>
  <c r="T31" i="24" s="1"/>
  <c r="U31" i="24" s="1"/>
  <c r="F31" i="24"/>
  <c r="G31" i="24"/>
  <c r="K31" i="24"/>
  <c r="E31" i="24"/>
  <c r="I31" i="24"/>
  <c r="J31" i="24"/>
  <c r="AQ31" i="17"/>
  <c r="M31" i="24"/>
  <c r="L31" i="24"/>
  <c r="F29" i="24"/>
  <c r="S29" i="24"/>
  <c r="T29" i="24" s="1"/>
  <c r="U29" i="24" s="1"/>
  <c r="K29" i="24"/>
  <c r="I29" i="24"/>
  <c r="J29" i="24"/>
  <c r="AO10" i="25"/>
  <c r="E29" i="24"/>
  <c r="G29" i="24"/>
  <c r="AQ29" i="17"/>
  <c r="M29" i="24"/>
  <c r="L29" i="24"/>
  <c r="W53" i="24"/>
  <c r="X53" i="24" s="1"/>
  <c r="Y53" i="24" s="1"/>
  <c r="AQ42" i="17"/>
  <c r="E42" i="24"/>
  <c r="I42" i="24"/>
  <c r="J42" i="24"/>
  <c r="G42" i="24"/>
  <c r="AO9" i="25"/>
  <c r="S42" i="24"/>
  <c r="K42" i="24"/>
  <c r="F42" i="24"/>
  <c r="L42" i="24"/>
  <c r="M42" i="24"/>
  <c r="S84" i="24"/>
  <c r="T84" i="24" s="1"/>
  <c r="U84" i="24" s="1"/>
  <c r="AQ84" i="17"/>
  <c r="G84" i="24"/>
  <c r="K84" i="24"/>
  <c r="E84" i="24"/>
  <c r="I84" i="24"/>
  <c r="F84" i="24"/>
  <c r="J84" i="24"/>
  <c r="L84" i="24"/>
  <c r="M84" i="24"/>
  <c r="S108" i="24"/>
  <c r="T108" i="24" s="1"/>
  <c r="U108" i="24" s="1"/>
  <c r="F108" i="24"/>
  <c r="J108" i="24"/>
  <c r="K108" i="24"/>
  <c r="I108" i="24"/>
  <c r="AQ108" i="17"/>
  <c r="E108" i="24"/>
  <c r="G108" i="24"/>
  <c r="M108" i="24"/>
  <c r="L108" i="24"/>
  <c r="S41" i="24"/>
  <c r="T41" i="24" s="1"/>
  <c r="U41" i="24" s="1"/>
  <c r="G41" i="24"/>
  <c r="E41" i="24"/>
  <c r="K41" i="24"/>
  <c r="F41" i="24"/>
  <c r="AO7" i="25"/>
  <c r="AQ41" i="17"/>
  <c r="I41" i="24"/>
  <c r="J41" i="24"/>
  <c r="M41" i="24"/>
  <c r="L41" i="24"/>
  <c r="S98" i="24"/>
  <c r="T98" i="24" s="1"/>
  <c r="U98" i="24" s="1"/>
  <c r="F98" i="24"/>
  <c r="K98" i="24"/>
  <c r="G98" i="24"/>
  <c r="J98" i="24"/>
  <c r="I98" i="24"/>
  <c r="E98" i="24"/>
  <c r="AQ98" i="17"/>
  <c r="L98" i="24"/>
  <c r="M98" i="24"/>
  <c r="F32" i="24"/>
  <c r="AQ32" i="17"/>
  <c r="E32" i="24"/>
  <c r="J32" i="24"/>
  <c r="S32" i="24"/>
  <c r="G32" i="24"/>
  <c r="K32" i="24"/>
  <c r="I32" i="24"/>
  <c r="M32" i="24"/>
  <c r="L32" i="24"/>
  <c r="S103" i="24"/>
  <c r="T103" i="24" s="1"/>
  <c r="U103" i="24" s="1"/>
  <c r="J103" i="24"/>
  <c r="AQ103" i="17"/>
  <c r="I103" i="24"/>
  <c r="E103" i="24"/>
  <c r="K103" i="24"/>
  <c r="G103" i="24"/>
  <c r="F103" i="24"/>
  <c r="M103" i="24"/>
  <c r="L103" i="24"/>
  <c r="S99" i="24"/>
  <c r="T99" i="24" s="1"/>
  <c r="U99" i="24" s="1"/>
  <c r="F99" i="24"/>
  <c r="AQ99" i="17"/>
  <c r="J99" i="24"/>
  <c r="G99" i="24"/>
  <c r="E99" i="24"/>
  <c r="I99" i="24"/>
  <c r="K99" i="24"/>
  <c r="M99" i="24"/>
  <c r="L99" i="24"/>
  <c r="S133" i="24"/>
  <c r="T133" i="24" s="1"/>
  <c r="U133" i="24" s="1"/>
  <c r="G133" i="24"/>
  <c r="E133" i="24"/>
  <c r="K133" i="24"/>
  <c r="J133" i="24"/>
  <c r="AQ133" i="17"/>
  <c r="I133" i="24"/>
  <c r="F133" i="24"/>
  <c r="M133" i="24"/>
  <c r="L133" i="24"/>
  <c r="S51" i="24"/>
  <c r="T51" i="24" s="1"/>
  <c r="U51" i="24" s="1"/>
  <c r="AQ51" i="17"/>
  <c r="G51" i="24"/>
  <c r="E51" i="24"/>
  <c r="I51" i="24"/>
  <c r="J51" i="24"/>
  <c r="K51" i="24"/>
  <c r="F51" i="24"/>
  <c r="M51" i="24"/>
  <c r="L51" i="24"/>
  <c r="S97" i="24"/>
  <c r="T97" i="24" s="1"/>
  <c r="U97" i="24" s="1"/>
  <c r="AQ97" i="17"/>
  <c r="F97" i="24"/>
  <c r="E97" i="24"/>
  <c r="J97" i="24"/>
  <c r="K97" i="24"/>
  <c r="I97" i="24"/>
  <c r="G97" i="24"/>
  <c r="M97" i="24"/>
  <c r="L97" i="24"/>
  <c r="H108" i="24"/>
  <c r="S13" i="24"/>
  <c r="T13" i="24" s="1"/>
  <c r="U13" i="24" s="1"/>
  <c r="G13" i="24"/>
  <c r="J13" i="24"/>
  <c r="F13" i="24"/>
  <c r="I13" i="24"/>
  <c r="E13" i="24"/>
  <c r="AQ13" i="17"/>
  <c r="K13" i="24"/>
  <c r="M13" i="24"/>
  <c r="L13" i="24"/>
  <c r="S138" i="24"/>
  <c r="T138" i="24" s="1"/>
  <c r="U138" i="24" s="1"/>
  <c r="E138" i="24"/>
  <c r="I138" i="24"/>
  <c r="AQ138" i="17"/>
  <c r="K138" i="24"/>
  <c r="J138" i="24"/>
  <c r="F138" i="24"/>
  <c r="G138" i="24"/>
  <c r="M138" i="24"/>
  <c r="L138" i="24"/>
  <c r="S81" i="24"/>
  <c r="T81" i="24" s="1"/>
  <c r="U81" i="24" s="1"/>
  <c r="J81" i="24"/>
  <c r="K81" i="24"/>
  <c r="AQ81" i="17"/>
  <c r="F81" i="24"/>
  <c r="E81" i="24"/>
  <c r="G81" i="24"/>
  <c r="I81" i="24"/>
  <c r="L81" i="24"/>
  <c r="M81" i="24"/>
  <c r="S55" i="24"/>
  <c r="T55" i="24" s="1"/>
  <c r="U55" i="24" s="1"/>
  <c r="E55" i="24"/>
  <c r="G55" i="24"/>
  <c r="AQ55" i="17"/>
  <c r="F55" i="24"/>
  <c r="J55" i="24"/>
  <c r="I55" i="24"/>
  <c r="K55" i="24"/>
  <c r="M55" i="24"/>
  <c r="L55" i="24"/>
  <c r="S47" i="24"/>
  <c r="T47" i="24" s="1"/>
  <c r="U47" i="24" s="1"/>
  <c r="G47" i="24"/>
  <c r="F47" i="24"/>
  <c r="I47" i="24"/>
  <c r="K47" i="24"/>
  <c r="E47" i="24"/>
  <c r="J47" i="24"/>
  <c r="AQ47" i="17"/>
  <c r="M47" i="24"/>
  <c r="L47" i="24"/>
  <c r="S132" i="24"/>
  <c r="T132" i="24" s="1"/>
  <c r="U132" i="24" s="1"/>
  <c r="G132" i="24"/>
  <c r="I132" i="24"/>
  <c r="J132" i="24"/>
  <c r="F132" i="24"/>
  <c r="AQ132" i="17"/>
  <c r="K132" i="24"/>
  <c r="E132" i="24"/>
  <c r="M132" i="24"/>
  <c r="L132" i="24"/>
  <c r="S124" i="24"/>
  <c r="T124" i="24" s="1"/>
  <c r="U124" i="24" s="1"/>
  <c r="I124" i="24"/>
  <c r="E124" i="24"/>
  <c r="G124" i="24"/>
  <c r="F124" i="24"/>
  <c r="J124" i="24"/>
  <c r="K124" i="24"/>
  <c r="AQ124" i="17"/>
  <c r="M124" i="24"/>
  <c r="L124" i="24"/>
  <c r="S37" i="24"/>
  <c r="T37" i="24" s="1"/>
  <c r="U37" i="24" s="1"/>
  <c r="E37" i="24"/>
  <c r="J37" i="24"/>
  <c r="K37" i="24"/>
  <c r="I37" i="24"/>
  <c r="G37" i="24"/>
  <c r="AQ37" i="17"/>
  <c r="F37" i="24"/>
  <c r="M37" i="24"/>
  <c r="L37" i="24"/>
  <c r="S122" i="24"/>
  <c r="T122" i="24" s="1"/>
  <c r="U122" i="24" s="1"/>
  <c r="K122" i="24"/>
  <c r="E122" i="24"/>
  <c r="I122" i="24"/>
  <c r="F122" i="24"/>
  <c r="J122" i="24"/>
  <c r="G122" i="24"/>
  <c r="AQ122" i="17"/>
  <c r="L122" i="24"/>
  <c r="M122" i="24"/>
  <c r="S94" i="24"/>
  <c r="T94" i="24" s="1"/>
  <c r="U94" i="24" s="1"/>
  <c r="F94" i="24"/>
  <c r="G94" i="24"/>
  <c r="K94" i="24"/>
  <c r="AQ94" i="17"/>
  <c r="J94" i="24"/>
  <c r="E94" i="24"/>
  <c r="I94" i="24"/>
  <c r="M94" i="24"/>
  <c r="L94" i="24"/>
  <c r="S129" i="24"/>
  <c r="T129" i="24" s="1"/>
  <c r="U129" i="24" s="1"/>
  <c r="G129" i="24"/>
  <c r="K129" i="24"/>
  <c r="F129" i="24"/>
  <c r="I129" i="24"/>
  <c r="E129" i="24"/>
  <c r="AQ129" i="17"/>
  <c r="J129" i="24"/>
  <c r="L129" i="24"/>
  <c r="M129" i="24"/>
  <c r="S22" i="24"/>
  <c r="T22" i="24" s="1"/>
  <c r="U22" i="24" s="1"/>
  <c r="I22" i="24"/>
  <c r="F22" i="24"/>
  <c r="E22" i="24"/>
  <c r="J22" i="24"/>
  <c r="K22" i="24"/>
  <c r="G22" i="24"/>
  <c r="AQ22" i="17"/>
  <c r="M22" i="24"/>
  <c r="L22" i="24"/>
  <c r="T119" i="24"/>
  <c r="Q86" i="24"/>
  <c r="S126" i="24"/>
  <c r="T126" i="24" s="1"/>
  <c r="U126" i="24" s="1"/>
  <c r="K126" i="24"/>
  <c r="I126" i="24"/>
  <c r="J126" i="24"/>
  <c r="G126" i="24"/>
  <c r="E126" i="24"/>
  <c r="AQ126" i="17"/>
  <c r="F126" i="24"/>
  <c r="M126" i="24"/>
  <c r="L126" i="24"/>
  <c r="S137" i="24"/>
  <c r="T137" i="24" s="1"/>
  <c r="U137" i="24" s="1"/>
  <c r="J137" i="24"/>
  <c r="G137" i="24"/>
  <c r="E137" i="24"/>
  <c r="K137" i="24"/>
  <c r="AQ137" i="17"/>
  <c r="F137" i="24"/>
  <c r="I137" i="24"/>
  <c r="M137" i="24"/>
  <c r="L137" i="24"/>
  <c r="AO21" i="25"/>
  <c r="S18" i="24"/>
  <c r="G18" i="24"/>
  <c r="K18" i="24"/>
  <c r="J18" i="24"/>
  <c r="I18" i="24"/>
  <c r="F18" i="24"/>
  <c r="E18" i="24"/>
  <c r="AQ18" i="17"/>
  <c r="M18" i="24"/>
  <c r="L18" i="24"/>
  <c r="S34" i="24"/>
  <c r="S115" i="24"/>
  <c r="T115" i="24" s="1"/>
  <c r="U115" i="24" s="1"/>
  <c r="J115" i="24"/>
  <c r="F115" i="24"/>
  <c r="G115" i="24"/>
  <c r="E115" i="24"/>
  <c r="K115" i="24"/>
  <c r="AQ115" i="17"/>
  <c r="I115" i="24"/>
  <c r="M115" i="24"/>
  <c r="L115" i="24"/>
  <c r="AQ130" i="17"/>
  <c r="G130" i="24"/>
  <c r="K130" i="24"/>
  <c r="J130" i="24"/>
  <c r="I130" i="24"/>
  <c r="F130" i="24"/>
  <c r="S130" i="24"/>
  <c r="E130" i="24"/>
  <c r="M130" i="24"/>
  <c r="L130" i="24"/>
  <c r="S12" i="24"/>
  <c r="T12" i="24" s="1"/>
  <c r="U12" i="24" s="1"/>
  <c r="I12" i="24"/>
  <c r="K12" i="24"/>
  <c r="E12" i="24"/>
  <c r="G12" i="24"/>
  <c r="F12" i="24"/>
  <c r="J12" i="24"/>
  <c r="AQ12" i="17"/>
  <c r="L12" i="24"/>
  <c r="M12" i="24"/>
  <c r="E17" i="24"/>
  <c r="AO8" i="25"/>
  <c r="G17" i="24"/>
  <c r="S17" i="24"/>
  <c r="T17" i="24" s="1"/>
  <c r="U17" i="24" s="1"/>
  <c r="K17" i="24"/>
  <c r="F17" i="24"/>
  <c r="J17" i="24"/>
  <c r="AQ17" i="17"/>
  <c r="I17" i="24"/>
  <c r="M17" i="24"/>
  <c r="L17" i="24"/>
  <c r="W16" i="24"/>
  <c r="X16" i="24" s="1"/>
  <c r="Y16" i="24" s="1"/>
  <c r="S116" i="24"/>
  <c r="T116" i="24" s="1"/>
  <c r="U116" i="24" s="1"/>
  <c r="E116" i="24"/>
  <c r="K116" i="24"/>
  <c r="G116" i="24"/>
  <c r="J116" i="24"/>
  <c r="I116" i="24"/>
  <c r="F116" i="24"/>
  <c r="AQ116" i="17"/>
  <c r="M116" i="24"/>
  <c r="L116" i="24"/>
  <c r="S121" i="24"/>
  <c r="T121" i="24" s="1"/>
  <c r="U121" i="24" s="1"/>
  <c r="J121" i="24"/>
  <c r="F121" i="24"/>
  <c r="K121" i="24"/>
  <c r="E121" i="24"/>
  <c r="I121" i="24"/>
  <c r="AQ121" i="17"/>
  <c r="G121" i="24"/>
  <c r="M121" i="24"/>
  <c r="L121" i="24"/>
  <c r="S112" i="24"/>
  <c r="T112" i="24" s="1"/>
  <c r="U112" i="24" s="1"/>
  <c r="K112" i="24"/>
  <c r="I112" i="24"/>
  <c r="J112" i="24"/>
  <c r="G112" i="24"/>
  <c r="E112" i="24"/>
  <c r="F112" i="24"/>
  <c r="AQ112" i="17"/>
  <c r="L112" i="24"/>
  <c r="M112" i="24"/>
  <c r="S83" i="24"/>
  <c r="T83" i="24" s="1"/>
  <c r="U83" i="24" s="1"/>
  <c r="E83" i="24"/>
  <c r="G83" i="24"/>
  <c r="F83" i="24"/>
  <c r="I83" i="24"/>
  <c r="AQ83" i="17"/>
  <c r="J83" i="24"/>
  <c r="K83" i="24"/>
  <c r="M83" i="24"/>
  <c r="L83" i="24"/>
  <c r="W119" i="24"/>
  <c r="X119" i="24" s="1"/>
  <c r="Y119" i="24" s="1"/>
  <c r="S71" i="24"/>
  <c r="T71" i="24" s="1"/>
  <c r="U71" i="24" s="1"/>
  <c r="I71" i="24"/>
  <c r="G71" i="24"/>
  <c r="AQ71" i="17"/>
  <c r="F71" i="24"/>
  <c r="K71" i="24"/>
  <c r="E71" i="24"/>
  <c r="J71" i="24"/>
  <c r="M71" i="24"/>
  <c r="L71" i="24"/>
  <c r="AQ89" i="17"/>
  <c r="G89" i="24"/>
  <c r="S89" i="24"/>
  <c r="F89" i="24"/>
  <c r="J89" i="24"/>
  <c r="E89" i="24"/>
  <c r="I89" i="24"/>
  <c r="K89" i="24"/>
  <c r="M89" i="24"/>
  <c r="L89" i="24"/>
  <c r="H112" i="24"/>
  <c r="S21" i="24"/>
  <c r="T21" i="24" s="1"/>
  <c r="U21" i="24" s="1"/>
  <c r="AO16" i="25"/>
  <c r="J21" i="24"/>
  <c r="K21" i="24"/>
  <c r="G21" i="24"/>
  <c r="AQ21" i="17"/>
  <c r="E21" i="24"/>
  <c r="F21" i="24"/>
  <c r="I21" i="24"/>
  <c r="M21" i="24"/>
  <c r="L21" i="24"/>
  <c r="S49" i="24"/>
  <c r="T49" i="24" s="1"/>
  <c r="U49" i="24" s="1"/>
  <c r="AO11" i="25"/>
  <c r="K49" i="24"/>
  <c r="I49" i="24"/>
  <c r="AQ49" i="17"/>
  <c r="G49" i="24"/>
  <c r="F49" i="24"/>
  <c r="E49" i="24"/>
  <c r="J49" i="24"/>
  <c r="L49" i="24"/>
  <c r="M49" i="24"/>
  <c r="S100" i="24"/>
  <c r="T100" i="24" s="1"/>
  <c r="U100" i="24" s="1"/>
  <c r="AQ100" i="17"/>
  <c r="J100" i="24"/>
  <c r="F100" i="24"/>
  <c r="G100" i="24"/>
  <c r="E100" i="24"/>
  <c r="K100" i="24"/>
  <c r="I100" i="24"/>
  <c r="M100" i="24"/>
  <c r="L100" i="24"/>
  <c r="S8" i="24"/>
  <c r="T8" i="24" s="1"/>
  <c r="U8" i="24" s="1"/>
  <c r="E8" i="24"/>
  <c r="F8" i="24"/>
  <c r="AQ8" i="17"/>
  <c r="I8" i="24"/>
  <c r="K8" i="24"/>
  <c r="J8" i="24"/>
  <c r="G8" i="24"/>
  <c r="M8" i="24"/>
  <c r="L8" i="24"/>
  <c r="S74" i="24"/>
  <c r="T74" i="24" s="1"/>
  <c r="U74" i="24" s="1"/>
  <c r="AQ74" i="17"/>
  <c r="J74" i="24"/>
  <c r="I74" i="24"/>
  <c r="E74" i="24"/>
  <c r="G74" i="24"/>
  <c r="K74" i="24"/>
  <c r="F74" i="24"/>
  <c r="M74" i="24"/>
  <c r="L74" i="24"/>
  <c r="S78" i="24"/>
  <c r="T78" i="24" s="1"/>
  <c r="U78" i="24" s="1"/>
  <c r="J78" i="24"/>
  <c r="E78" i="24"/>
  <c r="I78" i="24"/>
  <c r="K78" i="24"/>
  <c r="G78" i="24"/>
  <c r="F78" i="24"/>
  <c r="AQ78" i="17"/>
  <c r="M78" i="24"/>
  <c r="L78" i="24"/>
  <c r="S88" i="24"/>
  <c r="T88" i="24" s="1"/>
  <c r="U88" i="24" s="1"/>
  <c r="F88" i="24"/>
  <c r="I88" i="24"/>
  <c r="K88" i="24"/>
  <c r="J88" i="24"/>
  <c r="G88" i="24"/>
  <c r="E88" i="24"/>
  <c r="AQ88" i="17"/>
  <c r="M88" i="24"/>
  <c r="L88" i="24"/>
  <c r="W131" i="24"/>
  <c r="X131" i="24" s="1"/>
  <c r="Y131" i="24" s="1"/>
  <c r="S61" i="24"/>
  <c r="T61" i="24" s="1"/>
  <c r="U61" i="24" s="1"/>
  <c r="G61" i="24"/>
  <c r="E61" i="24"/>
  <c r="AQ61" i="17"/>
  <c r="J61" i="24"/>
  <c r="F61" i="24"/>
  <c r="I61" i="24"/>
  <c r="K61" i="24"/>
  <c r="L61" i="24"/>
  <c r="M61" i="24"/>
  <c r="S109" i="24"/>
  <c r="T109" i="24" s="1"/>
  <c r="U109" i="24" s="1"/>
  <c r="K109" i="24"/>
  <c r="E109" i="24"/>
  <c r="AQ109" i="17"/>
  <c r="G109" i="24"/>
  <c r="I109" i="24"/>
  <c r="F109" i="24"/>
  <c r="J109" i="24"/>
  <c r="M109" i="24"/>
  <c r="L109" i="24"/>
  <c r="H121" i="24"/>
  <c r="H40" i="24"/>
  <c r="E136" i="24"/>
  <c r="I136" i="24"/>
  <c r="S136" i="24"/>
  <c r="T136" i="24" s="1"/>
  <c r="U136" i="24" s="1"/>
  <c r="J136" i="24"/>
  <c r="AQ136" i="17"/>
  <c r="F136" i="24"/>
  <c r="G136" i="24"/>
  <c r="K136" i="24"/>
  <c r="M136" i="24"/>
  <c r="L136" i="24"/>
  <c r="AI139" i="24"/>
  <c r="H130" i="24"/>
  <c r="S52" i="24"/>
  <c r="T52" i="24" s="1"/>
  <c r="U52" i="24" s="1"/>
  <c r="J52" i="24"/>
  <c r="G52" i="24"/>
  <c r="F52" i="24"/>
  <c r="I52" i="24"/>
  <c r="AQ52" i="17"/>
  <c r="E52" i="24"/>
  <c r="K52" i="24"/>
  <c r="M52" i="24"/>
  <c r="L52" i="24"/>
  <c r="H124" i="24"/>
  <c r="S111" i="24"/>
  <c r="T111" i="24" s="1"/>
  <c r="U111" i="24" s="1"/>
  <c r="K111" i="24"/>
  <c r="F111" i="24"/>
  <c r="J111" i="24"/>
  <c r="I111" i="24"/>
  <c r="E111" i="24"/>
  <c r="G111" i="24"/>
  <c r="AQ111" i="17"/>
  <c r="M111" i="24"/>
  <c r="L111" i="24"/>
  <c r="S46" i="24"/>
  <c r="T46" i="24" s="1"/>
  <c r="U46" i="24" s="1"/>
  <c r="J46" i="24"/>
  <c r="K46" i="24"/>
  <c r="G46" i="24"/>
  <c r="F46" i="24"/>
  <c r="AQ46" i="17"/>
  <c r="E46" i="24"/>
  <c r="I46" i="24"/>
  <c r="L46" i="24"/>
  <c r="M46" i="24"/>
  <c r="S96" i="24"/>
  <c r="T96" i="24" s="1"/>
  <c r="U96" i="24" s="1"/>
  <c r="AQ96" i="17"/>
  <c r="G96" i="24"/>
  <c r="F96" i="24"/>
  <c r="I96" i="24"/>
  <c r="J96" i="24"/>
  <c r="K96" i="24"/>
  <c r="E96" i="24"/>
  <c r="M96" i="24"/>
  <c r="L96" i="24"/>
  <c r="H37" i="24"/>
  <c r="S123" i="24"/>
  <c r="T123" i="24" s="1"/>
  <c r="U123" i="24" s="1"/>
  <c r="G123" i="24"/>
  <c r="AQ123" i="17"/>
  <c r="F123" i="24"/>
  <c r="E123" i="24"/>
  <c r="J123" i="24"/>
  <c r="K123" i="24"/>
  <c r="I123" i="24"/>
  <c r="M123" i="24"/>
  <c r="L123" i="24"/>
  <c r="S63" i="24"/>
  <c r="T63" i="24" s="1"/>
  <c r="U63" i="24" s="1"/>
  <c r="AQ63" i="17"/>
  <c r="F63" i="24"/>
  <c r="E63" i="24"/>
  <c r="J63" i="24"/>
  <c r="G63" i="24"/>
  <c r="K63" i="24"/>
  <c r="I63" i="24"/>
  <c r="M63" i="24"/>
  <c r="L63" i="24"/>
  <c r="S125" i="24"/>
  <c r="T125" i="24" s="1"/>
  <c r="U125" i="24" s="1"/>
  <c r="AQ125" i="17"/>
  <c r="I125" i="24"/>
  <c r="F125" i="24"/>
  <c r="G125" i="24"/>
  <c r="E125" i="24"/>
  <c r="J125" i="24"/>
  <c r="K125" i="24"/>
  <c r="M125" i="24"/>
  <c r="L125" i="24"/>
  <c r="S54" i="24"/>
  <c r="T54" i="24" s="1"/>
  <c r="U54" i="24" s="1"/>
  <c r="F54" i="24"/>
  <c r="G54" i="24"/>
  <c r="AQ54" i="17"/>
  <c r="E54" i="24"/>
  <c r="K54" i="24"/>
  <c r="I54" i="24"/>
  <c r="J54" i="24"/>
  <c r="M54" i="24"/>
  <c r="L54" i="24"/>
  <c r="AQ50" i="17"/>
  <c r="G50" i="24"/>
  <c r="E50" i="24"/>
  <c r="I50" i="24"/>
  <c r="F50" i="24"/>
  <c r="K50" i="24"/>
  <c r="J50" i="24"/>
  <c r="S50" i="24"/>
  <c r="L50" i="24"/>
  <c r="M50" i="24"/>
  <c r="S65" i="24"/>
  <c r="T65" i="24" s="1"/>
  <c r="U65" i="24" s="1"/>
  <c r="K65" i="24"/>
  <c r="G65" i="24"/>
  <c r="I65" i="24"/>
  <c r="F65" i="24"/>
  <c r="AQ65" i="17"/>
  <c r="E65" i="24"/>
  <c r="J65" i="24"/>
  <c r="M65" i="24"/>
  <c r="L65" i="24"/>
  <c r="H115" i="24"/>
  <c r="T86" i="24"/>
  <c r="I33" i="24"/>
  <c r="F33" i="24"/>
  <c r="E33" i="24"/>
  <c r="AQ33" i="17"/>
  <c r="S33" i="24"/>
  <c r="T33" i="24" s="1"/>
  <c r="U33" i="24" s="1"/>
  <c r="K33" i="24"/>
  <c r="G33" i="24"/>
  <c r="J33" i="24"/>
  <c r="M33" i="24"/>
  <c r="L33" i="24"/>
  <c r="K64" i="24"/>
  <c r="F64" i="24"/>
  <c r="S64" i="24"/>
  <c r="T64" i="24" s="1"/>
  <c r="U64" i="24" s="1"/>
  <c r="AQ64" i="17"/>
  <c r="W64" i="24" s="1"/>
  <c r="X64" i="24" s="1"/>
  <c r="Y64" i="24" s="1"/>
  <c r="E64" i="24"/>
  <c r="I64" i="24"/>
  <c r="J64" i="24"/>
  <c r="G64" i="24"/>
  <c r="L64" i="24"/>
  <c r="M64" i="24"/>
  <c r="S104" i="24"/>
  <c r="T104" i="24" s="1"/>
  <c r="U104" i="24" s="1"/>
  <c r="K104" i="24"/>
  <c r="F104" i="24"/>
  <c r="J104" i="24"/>
  <c r="I104" i="24"/>
  <c r="E104" i="24"/>
  <c r="G104" i="24"/>
  <c r="AQ104" i="17"/>
  <c r="M104" i="24"/>
  <c r="L104" i="24"/>
  <c r="I60" i="24"/>
  <c r="AQ60" i="17"/>
  <c r="S60" i="24"/>
  <c r="T60" i="24" s="1"/>
  <c r="U60" i="24" s="1"/>
  <c r="K60" i="24"/>
  <c r="G60" i="24"/>
  <c r="F60" i="24"/>
  <c r="AO20" i="25"/>
  <c r="J60" i="24"/>
  <c r="E60" i="24"/>
  <c r="M60" i="24"/>
  <c r="L60" i="24"/>
  <c r="S76" i="24"/>
  <c r="T76" i="24" s="1"/>
  <c r="U76" i="24" s="1"/>
  <c r="AQ76" i="17"/>
  <c r="J76" i="24"/>
  <c r="F76" i="24"/>
  <c r="G76" i="24"/>
  <c r="K76" i="24"/>
  <c r="E76" i="24"/>
  <c r="I76" i="24"/>
  <c r="M76" i="24"/>
  <c r="L76" i="24"/>
  <c r="K45" i="24"/>
  <c r="AQ45" i="17"/>
  <c r="I45" i="24"/>
  <c r="F45" i="24"/>
  <c r="S45" i="24"/>
  <c r="J45" i="24"/>
  <c r="G45" i="24"/>
  <c r="E45" i="24"/>
  <c r="M45" i="24"/>
  <c r="L45" i="24"/>
  <c r="S82" i="24"/>
  <c r="T82" i="24" s="1"/>
  <c r="U82" i="24" s="1"/>
  <c r="K82" i="24"/>
  <c r="G82" i="24"/>
  <c r="E82" i="24"/>
  <c r="AQ82" i="17"/>
  <c r="I82" i="24"/>
  <c r="J82" i="24"/>
  <c r="F82" i="24"/>
  <c r="L82" i="24"/>
  <c r="M82" i="24"/>
  <c r="S90" i="24"/>
  <c r="T90" i="24" s="1"/>
  <c r="U90" i="24" s="1"/>
  <c r="J90" i="24"/>
  <c r="F90" i="24"/>
  <c r="I90" i="24"/>
  <c r="G90" i="24"/>
  <c r="E90" i="24"/>
  <c r="K90" i="24"/>
  <c r="AQ90" i="17"/>
  <c r="L90" i="24"/>
  <c r="M90" i="24"/>
  <c r="AQ72" i="17"/>
  <c r="S72" i="24"/>
  <c r="J72" i="24"/>
  <c r="G72" i="24"/>
  <c r="E72" i="24"/>
  <c r="K72" i="24"/>
  <c r="I72" i="24"/>
  <c r="F72" i="24"/>
  <c r="M72" i="24"/>
  <c r="L72" i="24"/>
  <c r="O6" i="24"/>
  <c r="P6" i="24" s="1"/>
  <c r="Q6" i="24" s="1"/>
  <c r="AE22" i="25"/>
  <c r="AO6" i="17"/>
  <c r="AO139" i="17" s="1"/>
  <c r="S26" i="24"/>
  <c r="T26" i="24" s="1"/>
  <c r="U26" i="24" s="1"/>
  <c r="G26" i="24"/>
  <c r="K26" i="24"/>
  <c r="I26" i="24"/>
  <c r="E26" i="24"/>
  <c r="J26" i="24"/>
  <c r="F26" i="24"/>
  <c r="AQ26" i="17"/>
  <c r="L26" i="24"/>
  <c r="M26" i="24"/>
  <c r="S36" i="24"/>
  <c r="T36" i="24" s="1"/>
  <c r="U36" i="24" s="1"/>
  <c r="AQ36" i="17"/>
  <c r="G36" i="24"/>
  <c r="K36" i="24"/>
  <c r="F36" i="24"/>
  <c r="E36" i="24"/>
  <c r="I36" i="24"/>
  <c r="J36" i="24"/>
  <c r="L36" i="24"/>
  <c r="M36" i="24"/>
  <c r="S62" i="24"/>
  <c r="T62" i="24" s="1"/>
  <c r="U62" i="24" s="1"/>
  <c r="J62" i="24"/>
  <c r="AQ62" i="17"/>
  <c r="I62" i="24"/>
  <c r="K62" i="24"/>
  <c r="F62" i="24"/>
  <c r="G62" i="24"/>
  <c r="E62" i="24"/>
  <c r="M62" i="24"/>
  <c r="L62" i="24"/>
  <c r="S107" i="24"/>
  <c r="T107" i="24" s="1"/>
  <c r="U107" i="24" s="1"/>
  <c r="E107" i="24"/>
  <c r="G107" i="24"/>
  <c r="J107" i="24"/>
  <c r="F107" i="24"/>
  <c r="AQ107" i="17"/>
  <c r="K107" i="24"/>
  <c r="I107" i="24"/>
  <c r="M107" i="24"/>
  <c r="L107" i="24"/>
  <c r="AN22" i="25"/>
  <c r="AN24" i="25" s="1"/>
  <c r="G68" i="24"/>
  <c r="F68" i="24"/>
  <c r="E68" i="24"/>
  <c r="J68" i="24"/>
  <c r="S68" i="24"/>
  <c r="K68" i="24"/>
  <c r="AQ68" i="17"/>
  <c r="I68" i="24"/>
  <c r="M68" i="24"/>
  <c r="L68" i="24"/>
  <c r="S127" i="24"/>
  <c r="T127" i="24" s="1"/>
  <c r="U127" i="24" s="1"/>
  <c r="F127" i="24"/>
  <c r="J127" i="24"/>
  <c r="I127" i="24"/>
  <c r="AQ127" i="17"/>
  <c r="E127" i="24"/>
  <c r="K127" i="24"/>
  <c r="G127" i="24"/>
  <c r="L127" i="24"/>
  <c r="M127" i="24"/>
  <c r="S95" i="24"/>
  <c r="T95" i="24" s="1"/>
  <c r="U95" i="24" s="1"/>
  <c r="G95" i="24"/>
  <c r="K95" i="24"/>
  <c r="F95" i="24"/>
  <c r="E95" i="24"/>
  <c r="I95" i="24"/>
  <c r="J95" i="24"/>
  <c r="AQ95" i="17"/>
  <c r="M95" i="24"/>
  <c r="L95" i="24"/>
  <c r="S67" i="24"/>
  <c r="T67" i="24" s="1"/>
  <c r="U67" i="24" s="1"/>
  <c r="AQ67" i="17"/>
  <c r="I67" i="24"/>
  <c r="K67" i="24"/>
  <c r="F67" i="24"/>
  <c r="J67" i="24"/>
  <c r="E67" i="24"/>
  <c r="G67" i="24"/>
  <c r="M67" i="24"/>
  <c r="L67" i="24"/>
  <c r="H116" i="24"/>
  <c r="S110" i="24"/>
  <c r="T110" i="24" s="1"/>
  <c r="U110" i="24" s="1"/>
  <c r="I110" i="24"/>
  <c r="J110" i="24"/>
  <c r="E110" i="24"/>
  <c r="G110" i="24"/>
  <c r="F110" i="24"/>
  <c r="K110" i="24"/>
  <c r="AQ110" i="17"/>
  <c r="M110" i="24"/>
  <c r="L110" i="24"/>
  <c r="H129" i="24"/>
  <c r="H50" i="24"/>
  <c r="S43" i="24"/>
  <c r="T43" i="24" s="1"/>
  <c r="U43" i="24" s="1"/>
  <c r="K43" i="24"/>
  <c r="G43" i="24"/>
  <c r="F43" i="24"/>
  <c r="J43" i="24"/>
  <c r="E43" i="24"/>
  <c r="AQ43" i="17"/>
  <c r="I43" i="24"/>
  <c r="M43" i="24"/>
  <c r="L43" i="24"/>
  <c r="E48" i="24"/>
  <c r="K48" i="24"/>
  <c r="J48" i="24"/>
  <c r="AO14" i="25"/>
  <c r="AQ48" i="17"/>
  <c r="I48" i="24"/>
  <c r="F48" i="24"/>
  <c r="S48" i="24"/>
  <c r="T48" i="24" s="1"/>
  <c r="U48" i="24" s="1"/>
  <c r="G48" i="24"/>
  <c r="M48" i="24"/>
  <c r="L48" i="24"/>
  <c r="F102" i="24"/>
  <c r="J102" i="24"/>
  <c r="K102" i="24"/>
  <c r="E102" i="24"/>
  <c r="S102" i="24"/>
  <c r="T102" i="24" s="1"/>
  <c r="U102" i="24" s="1"/>
  <c r="AQ102" i="17"/>
  <c r="G102" i="24"/>
  <c r="I102" i="24"/>
  <c r="M102" i="24"/>
  <c r="L102" i="24"/>
  <c r="S101" i="24"/>
  <c r="T101" i="24" s="1"/>
  <c r="U101" i="24" s="1"/>
  <c r="F101" i="24"/>
  <c r="E101" i="24"/>
  <c r="G101" i="24"/>
  <c r="I101" i="24"/>
  <c r="K101" i="24"/>
  <c r="J101" i="24"/>
  <c r="AQ101" i="17"/>
  <c r="M101" i="24"/>
  <c r="L101" i="24"/>
  <c r="S92" i="24"/>
  <c r="T92" i="24" s="1"/>
  <c r="U92" i="24" s="1"/>
  <c r="AQ92" i="17"/>
  <c r="E92" i="24"/>
  <c r="J92" i="24"/>
  <c r="G92" i="24"/>
  <c r="K92" i="24"/>
  <c r="I92" i="24"/>
  <c r="F92" i="24"/>
  <c r="M92" i="24"/>
  <c r="L92" i="24"/>
  <c r="S70" i="24"/>
  <c r="T70" i="24" s="1"/>
  <c r="U70" i="24" s="1"/>
  <c r="J70" i="24"/>
  <c r="G70" i="24"/>
  <c r="AQ70" i="17"/>
  <c r="I70" i="24"/>
  <c r="F70" i="24"/>
  <c r="E70" i="24"/>
  <c r="K70" i="24"/>
  <c r="M70" i="24"/>
  <c r="L70" i="24"/>
  <c r="S73" i="24"/>
  <c r="T73" i="24" s="1"/>
  <c r="U73" i="24" s="1"/>
  <c r="I73" i="24"/>
  <c r="K73" i="24"/>
  <c r="F73" i="24"/>
  <c r="J73" i="24"/>
  <c r="G73" i="24"/>
  <c r="AQ73" i="17"/>
  <c r="E73" i="24"/>
  <c r="M73" i="24"/>
  <c r="L73" i="24"/>
  <c r="S105" i="24"/>
  <c r="T105" i="24" s="1"/>
  <c r="U105" i="24" s="1"/>
  <c r="G105" i="24"/>
  <c r="F105" i="24"/>
  <c r="E105" i="24"/>
  <c r="J105" i="24"/>
  <c r="I105" i="24"/>
  <c r="K105" i="24"/>
  <c r="AQ105" i="17"/>
  <c r="M105" i="24"/>
  <c r="L105" i="24"/>
  <c r="S128" i="24"/>
  <c r="T128" i="24" s="1"/>
  <c r="U128" i="24" s="1"/>
  <c r="AQ128" i="17"/>
  <c r="F128" i="24"/>
  <c r="J128" i="24"/>
  <c r="I128" i="24"/>
  <c r="G128" i="24"/>
  <c r="E128" i="24"/>
  <c r="K128" i="24"/>
  <c r="L128" i="24"/>
  <c r="M128" i="24"/>
  <c r="S113" i="24"/>
  <c r="T113" i="24" s="1"/>
  <c r="U113" i="24" s="1"/>
  <c r="I113" i="24"/>
  <c r="G113" i="24"/>
  <c r="K113" i="24"/>
  <c r="AQ113" i="17"/>
  <c r="F113" i="24"/>
  <c r="E113" i="24"/>
  <c r="J113" i="24"/>
  <c r="L113" i="24"/>
  <c r="M113" i="24"/>
  <c r="AO18" i="25"/>
  <c r="S23" i="24"/>
  <c r="T23" i="24" s="1"/>
  <c r="U23" i="24" s="1"/>
  <c r="E23" i="24"/>
  <c r="J23" i="24"/>
  <c r="K23" i="24"/>
  <c r="I23" i="24"/>
  <c r="F23" i="24"/>
  <c r="G23" i="24"/>
  <c r="AQ23" i="17"/>
  <c r="L23" i="24"/>
  <c r="M23" i="24"/>
  <c r="H72" i="24"/>
  <c r="S30" i="24"/>
  <c r="T30" i="24" s="1"/>
  <c r="U30" i="24" s="1"/>
  <c r="G30" i="24"/>
  <c r="I30" i="24"/>
  <c r="J30" i="24"/>
  <c r="K30" i="24"/>
  <c r="F30" i="24"/>
  <c r="E30" i="24"/>
  <c r="AQ30" i="17"/>
  <c r="M30" i="24"/>
  <c r="L30" i="24"/>
  <c r="S56" i="24"/>
  <c r="T56" i="24" s="1"/>
  <c r="U56" i="24" s="1"/>
  <c r="AQ56" i="17"/>
  <c r="W56" i="24" s="1"/>
  <c r="X56" i="24" s="1"/>
  <c r="Y56" i="24" s="1"/>
  <c r="K56" i="24"/>
  <c r="F56" i="24"/>
  <c r="J56" i="24"/>
  <c r="I56" i="24"/>
  <c r="G56" i="24"/>
  <c r="E56" i="24"/>
  <c r="L56" i="24"/>
  <c r="M56" i="24"/>
  <c r="S27" i="24"/>
  <c r="T27" i="24" s="1"/>
  <c r="U27" i="24" s="1"/>
  <c r="I27" i="24"/>
  <c r="K27" i="24"/>
  <c r="F27" i="24"/>
  <c r="J27" i="24"/>
  <c r="E27" i="24"/>
  <c r="AQ27" i="17"/>
  <c r="G27" i="24"/>
  <c r="M27" i="24"/>
  <c r="L27" i="24"/>
  <c r="S91" i="24"/>
  <c r="T91" i="24" s="1"/>
  <c r="U91" i="24" s="1"/>
  <c r="G91" i="24"/>
  <c r="K91" i="24"/>
  <c r="AQ91" i="17"/>
  <c r="F91" i="24"/>
  <c r="E91" i="24"/>
  <c r="J91" i="24"/>
  <c r="I91" i="24"/>
  <c r="M91" i="24"/>
  <c r="L91" i="24"/>
  <c r="E93" i="24"/>
  <c r="S93" i="24"/>
  <c r="AQ93" i="17"/>
  <c r="I93" i="24"/>
  <c r="J93" i="24"/>
  <c r="F93" i="24"/>
  <c r="G93" i="24"/>
  <c r="K93" i="24"/>
  <c r="M93" i="24"/>
  <c r="L93" i="24"/>
  <c r="S20" i="24"/>
  <c r="T20" i="24" s="1"/>
  <c r="U20" i="24" s="1"/>
  <c r="E20" i="24"/>
  <c r="I20" i="24"/>
  <c r="F20" i="24"/>
  <c r="J20" i="24"/>
  <c r="G20" i="24"/>
  <c r="K20" i="24"/>
  <c r="AQ20" i="17"/>
  <c r="M20" i="24"/>
  <c r="L20" i="24"/>
  <c r="H80" i="24"/>
  <c r="S59" i="24"/>
  <c r="T59" i="24" s="1"/>
  <c r="U59" i="24" s="1"/>
  <c r="F59" i="24"/>
  <c r="K59" i="24"/>
  <c r="I59" i="24"/>
  <c r="E59" i="24"/>
  <c r="G59" i="24"/>
  <c r="J59" i="24"/>
  <c r="AQ59" i="17"/>
  <c r="M59" i="24"/>
  <c r="L59" i="24"/>
  <c r="AQ134" i="17"/>
  <c r="F134" i="24"/>
  <c r="J134" i="24"/>
  <c r="I134" i="24"/>
  <c r="K134" i="24"/>
  <c r="S134" i="24"/>
  <c r="G134" i="24"/>
  <c r="E134" i="24"/>
  <c r="M134" i="24"/>
  <c r="L134" i="24"/>
  <c r="S106" i="24"/>
  <c r="T106" i="24" s="1"/>
  <c r="U106" i="24" s="1"/>
  <c r="I106" i="24"/>
  <c r="J106" i="24"/>
  <c r="G106" i="24"/>
  <c r="F106" i="24"/>
  <c r="E106" i="24"/>
  <c r="K106" i="24"/>
  <c r="AQ106" i="17"/>
  <c r="M106" i="24"/>
  <c r="L106" i="24"/>
  <c r="H113" i="24"/>
  <c r="S57" i="24"/>
  <c r="T57" i="24" s="1"/>
  <c r="U57" i="24" s="1"/>
  <c r="F57" i="24"/>
  <c r="J57" i="24"/>
  <c r="G57" i="24"/>
  <c r="E57" i="24"/>
  <c r="K57" i="24"/>
  <c r="I57" i="24"/>
  <c r="AQ57" i="17"/>
  <c r="M57" i="24"/>
  <c r="L57" i="24"/>
  <c r="H17" i="24"/>
  <c r="AQ69" i="17"/>
  <c r="S69" i="24"/>
  <c r="G69" i="24"/>
  <c r="F69" i="24"/>
  <c r="J69" i="24"/>
  <c r="K69" i="24"/>
  <c r="I69" i="24"/>
  <c r="E69" i="24"/>
  <c r="M69" i="24"/>
  <c r="L69" i="24"/>
  <c r="S114" i="24"/>
  <c r="T114" i="24" s="1"/>
  <c r="U114" i="24" s="1"/>
  <c r="I114" i="24"/>
  <c r="K114" i="24"/>
  <c r="AQ114" i="17"/>
  <c r="G114" i="24"/>
  <c r="F114" i="24"/>
  <c r="J114" i="24"/>
  <c r="E114" i="24"/>
  <c r="M114" i="24"/>
  <c r="L114" i="24"/>
  <c r="W11" i="24"/>
  <c r="X11" i="24" s="1"/>
  <c r="Y11" i="24" s="1"/>
  <c r="S87" i="24"/>
  <c r="T87" i="24" s="1"/>
  <c r="U87" i="24" s="1"/>
  <c r="I87" i="24"/>
  <c r="K87" i="24"/>
  <c r="F87" i="24"/>
  <c r="G87" i="24"/>
  <c r="J87" i="24"/>
  <c r="AQ87" i="17"/>
  <c r="E87" i="24"/>
  <c r="M87" i="24"/>
  <c r="L87" i="24"/>
  <c r="S38" i="24"/>
  <c r="T38" i="24" s="1"/>
  <c r="U38" i="24" s="1"/>
  <c r="G38" i="24"/>
  <c r="J38" i="24"/>
  <c r="F38" i="24"/>
  <c r="AO12" i="25"/>
  <c r="K38" i="24"/>
  <c r="E38" i="24"/>
  <c r="I38" i="24"/>
  <c r="AQ38" i="17"/>
  <c r="M38" i="24"/>
  <c r="L38" i="24"/>
  <c r="AZ6" i="25"/>
  <c r="T16" i="24"/>
  <c r="S77" i="24"/>
  <c r="T77" i="24" s="1"/>
  <c r="U77" i="24" s="1"/>
  <c r="E77" i="24"/>
  <c r="F77" i="24"/>
  <c r="I77" i="24"/>
  <c r="J77" i="24"/>
  <c r="K77" i="24"/>
  <c r="G77" i="24"/>
  <c r="AQ77" i="17"/>
  <c r="M77" i="24"/>
  <c r="L77" i="24"/>
  <c r="H8" i="24"/>
  <c r="S35" i="24"/>
  <c r="T35" i="24" s="1"/>
  <c r="U35" i="24" s="1"/>
  <c r="G35" i="24"/>
  <c r="I35" i="24"/>
  <c r="J35" i="24"/>
  <c r="K35" i="24"/>
  <c r="E35" i="24"/>
  <c r="F35" i="24"/>
  <c r="AQ35" i="17"/>
  <c r="M35" i="24"/>
  <c r="L35" i="24"/>
  <c r="W28" i="24"/>
  <c r="X28" i="24" s="1"/>
  <c r="Y28" i="24" s="1"/>
  <c r="J75" i="24"/>
  <c r="E75" i="24"/>
  <c r="AQ75" i="17"/>
  <c r="I75" i="24"/>
  <c r="S75" i="24"/>
  <c r="T75" i="24" s="1"/>
  <c r="U75" i="24" s="1"/>
  <c r="F75" i="24"/>
  <c r="K75" i="24"/>
  <c r="AO23" i="25"/>
  <c r="G75" i="24"/>
  <c r="M75" i="24"/>
  <c r="L75" i="24"/>
  <c r="H78" i="24"/>
  <c r="W86" i="24"/>
  <c r="S15" i="24"/>
  <c r="T15" i="24" s="1"/>
  <c r="U15" i="24" s="1"/>
  <c r="F15" i="24"/>
  <c r="K15" i="24"/>
  <c r="J15" i="24"/>
  <c r="E15" i="24"/>
  <c r="AQ15" i="17"/>
  <c r="I15" i="24"/>
  <c r="G15" i="24"/>
  <c r="L15" i="24"/>
  <c r="M15" i="24"/>
  <c r="S117" i="24"/>
  <c r="T117" i="24" s="1"/>
  <c r="U117" i="24" s="1"/>
  <c r="E117" i="24"/>
  <c r="I117" i="24"/>
  <c r="G117" i="24"/>
  <c r="AQ117" i="17"/>
  <c r="F117" i="24"/>
  <c r="K117" i="24"/>
  <c r="J117" i="24"/>
  <c r="M117" i="24"/>
  <c r="L117" i="24"/>
  <c r="AO19" i="25"/>
  <c r="S118" i="24"/>
  <c r="T118" i="24" s="1"/>
  <c r="U118" i="24" s="1"/>
  <c r="J118" i="24"/>
  <c r="E118" i="24"/>
  <c r="G118" i="24"/>
  <c r="F118" i="24"/>
  <c r="K118" i="24"/>
  <c r="AQ118" i="17"/>
  <c r="I118" i="24"/>
  <c r="M118" i="24"/>
  <c r="L118" i="24"/>
  <c r="E39" i="24"/>
  <c r="AQ39" i="17"/>
  <c r="I39" i="24"/>
  <c r="J39" i="24"/>
  <c r="K39" i="24"/>
  <c r="G39" i="24"/>
  <c r="F39" i="24"/>
  <c r="S39" i="24"/>
  <c r="M39" i="24"/>
  <c r="L39" i="24"/>
  <c r="AQ6" i="25"/>
  <c r="AT6" i="25"/>
  <c r="AU6" i="25"/>
  <c r="AR6" i="25"/>
  <c r="AP6" i="25"/>
  <c r="H63" i="24"/>
  <c r="W120" i="24"/>
  <c r="X120" i="24" s="1"/>
  <c r="Y120" i="24" s="1"/>
  <c r="H83" i="24"/>
  <c r="S58" i="24"/>
  <c r="T58" i="24" s="1"/>
  <c r="U58" i="24" s="1"/>
  <c r="E58" i="24"/>
  <c r="I58" i="24"/>
  <c r="K58" i="24"/>
  <c r="G58" i="24"/>
  <c r="J58" i="24"/>
  <c r="F58" i="24"/>
  <c r="AQ58" i="17"/>
  <c r="L58" i="24"/>
  <c r="M58" i="24"/>
  <c r="AQ9" i="17"/>
  <c r="W9" i="24" s="1"/>
  <c r="X9" i="24" s="1"/>
  <c r="Y9" i="24" s="1"/>
  <c r="K9" i="24"/>
  <c r="I9" i="24"/>
  <c r="S9" i="24"/>
  <c r="T9" i="24" s="1"/>
  <c r="U9" i="24" s="1"/>
  <c r="F9" i="24"/>
  <c r="G9" i="24"/>
  <c r="E9" i="24"/>
  <c r="J9" i="24"/>
  <c r="M9" i="24"/>
  <c r="L9" i="24"/>
  <c r="S10" i="24"/>
  <c r="T10" i="24" s="1"/>
  <c r="U10" i="24" s="1"/>
  <c r="E10" i="24"/>
  <c r="AQ10" i="17"/>
  <c r="I10" i="24"/>
  <c r="J10" i="24"/>
  <c r="K10" i="24"/>
  <c r="G10" i="24"/>
  <c r="F10" i="24"/>
  <c r="L10" i="24"/>
  <c r="M10" i="24"/>
  <c r="S79" i="24"/>
  <c r="T79" i="24" s="1"/>
  <c r="U79" i="24" s="1"/>
  <c r="E79" i="24"/>
  <c r="G79" i="24"/>
  <c r="I79" i="24"/>
  <c r="J79" i="24"/>
  <c r="K79" i="24"/>
  <c r="AQ79" i="17"/>
  <c r="F79" i="24"/>
  <c r="M79" i="24"/>
  <c r="L79" i="24"/>
  <c r="S44" i="24"/>
  <c r="T44" i="24" s="1"/>
  <c r="U44" i="24" s="1"/>
  <c r="F44" i="24"/>
  <c r="G44" i="24"/>
  <c r="E44" i="24"/>
  <c r="J44" i="24"/>
  <c r="I44" i="24"/>
  <c r="K44" i="24"/>
  <c r="AQ44" i="17"/>
  <c r="M44" i="24"/>
  <c r="L44" i="24"/>
  <c r="H32" i="24"/>
  <c r="H25" i="24"/>
  <c r="F24" i="24" l="1"/>
  <c r="AO13" i="25"/>
  <c r="K24" i="24"/>
  <c r="K34" i="24"/>
  <c r="G34" i="24"/>
  <c r="H34" i="24"/>
  <c r="F34" i="24"/>
  <c r="J34" i="24"/>
  <c r="E34" i="24"/>
  <c r="I34" i="24"/>
  <c r="AQ34" i="17"/>
  <c r="W34" i="24" s="1"/>
  <c r="X34" i="24" s="1"/>
  <c r="Y34" i="24" s="1"/>
  <c r="AO17" i="25"/>
  <c r="AW17" i="25" s="1"/>
  <c r="M34" i="24"/>
  <c r="H6" i="24"/>
  <c r="S24" i="24"/>
  <c r="T24" i="24" s="1"/>
  <c r="U24" i="24" s="1"/>
  <c r="AQ24" i="17"/>
  <c r="H24" i="24"/>
  <c r="G24" i="24"/>
  <c r="E24" i="24"/>
  <c r="L24" i="24"/>
  <c r="M24" i="24"/>
  <c r="AE24" i="25"/>
  <c r="I24" i="24"/>
  <c r="AS9" i="25"/>
  <c r="AV9" i="25"/>
  <c r="AW9" i="25"/>
  <c r="AX9" i="25"/>
  <c r="AS10" i="25"/>
  <c r="AV10" i="25"/>
  <c r="AW10" i="25"/>
  <c r="AX10" i="25"/>
  <c r="AS21" i="25"/>
  <c r="AV21" i="25"/>
  <c r="AX21" i="25"/>
  <c r="AW21" i="25"/>
  <c r="AV18" i="25"/>
  <c r="AX18" i="25"/>
  <c r="AW18" i="25"/>
  <c r="AS12" i="25"/>
  <c r="AV12" i="25"/>
  <c r="AW12" i="25"/>
  <c r="AX12" i="25"/>
  <c r="AS7" i="25"/>
  <c r="AV7" i="25"/>
  <c r="AW7" i="25"/>
  <c r="AX7" i="25"/>
  <c r="AV19" i="25"/>
  <c r="AX19" i="25"/>
  <c r="AW19" i="25"/>
  <c r="AS16" i="25"/>
  <c r="AV16" i="25"/>
  <c r="AW16" i="25"/>
  <c r="AX16" i="25"/>
  <c r="AS11" i="25"/>
  <c r="AV11" i="25"/>
  <c r="AW11" i="25"/>
  <c r="AX11" i="25"/>
  <c r="AS13" i="25"/>
  <c r="AV13" i="25"/>
  <c r="AW13" i="25"/>
  <c r="AX13" i="25"/>
  <c r="AS23" i="25"/>
  <c r="AU23" i="25"/>
  <c r="AV23" i="25"/>
  <c r="AX23" i="25"/>
  <c r="AW23" i="25"/>
  <c r="AS14" i="25"/>
  <c r="AV14" i="25"/>
  <c r="AX14" i="25"/>
  <c r="AW14" i="25"/>
  <c r="AV20" i="25"/>
  <c r="AX20" i="25"/>
  <c r="AW20" i="25"/>
  <c r="AS8" i="25"/>
  <c r="AV8" i="25"/>
  <c r="AW8" i="25"/>
  <c r="AX8" i="25"/>
  <c r="AR15" i="25"/>
  <c r="AV15" i="25"/>
  <c r="AX15" i="25"/>
  <c r="AW15" i="25"/>
  <c r="AT15" i="25"/>
  <c r="AU15" i="25"/>
  <c r="AS15" i="25"/>
  <c r="AQ15" i="25"/>
  <c r="AP15" i="25"/>
  <c r="AZ15" i="25"/>
  <c r="AD6" i="17"/>
  <c r="W10" i="24"/>
  <c r="X10" i="24" s="1"/>
  <c r="Y10" i="24" s="1"/>
  <c r="U16" i="24"/>
  <c r="BA6" i="25"/>
  <c r="W15" i="24"/>
  <c r="X15" i="24" s="1"/>
  <c r="Y15" i="24" s="1"/>
  <c r="AT12" i="25"/>
  <c r="AQ12" i="25"/>
  <c r="AU12" i="25"/>
  <c r="AR12" i="25"/>
  <c r="AP12" i="25"/>
  <c r="W57" i="24"/>
  <c r="X57" i="24" s="1"/>
  <c r="Y57" i="24" s="1"/>
  <c r="AP14" i="25"/>
  <c r="AQ14" i="25"/>
  <c r="AR14" i="25"/>
  <c r="AU14" i="25"/>
  <c r="AT14" i="25"/>
  <c r="W68" i="24"/>
  <c r="X68" i="24" s="1"/>
  <c r="Y68" i="24" s="1"/>
  <c r="W36" i="24"/>
  <c r="X36" i="24" s="1"/>
  <c r="Y36" i="24" s="1"/>
  <c r="T45" i="24"/>
  <c r="AQ20" i="25"/>
  <c r="AU20" i="25"/>
  <c r="AP20" i="25"/>
  <c r="AR20" i="25"/>
  <c r="AT20" i="25"/>
  <c r="AZ10" i="25"/>
  <c r="W63" i="24"/>
  <c r="X63" i="24" s="1"/>
  <c r="Y63" i="24" s="1"/>
  <c r="W123" i="24"/>
  <c r="X123" i="24" s="1"/>
  <c r="Y123" i="24" s="1"/>
  <c r="W88" i="24"/>
  <c r="X88" i="24" s="1"/>
  <c r="Y88" i="24" s="1"/>
  <c r="W74" i="24"/>
  <c r="X74" i="24" s="1"/>
  <c r="Y74" i="24" s="1"/>
  <c r="W112" i="24"/>
  <c r="X112" i="24" s="1"/>
  <c r="Y112" i="24" s="1"/>
  <c r="W116" i="24"/>
  <c r="X116" i="24" s="1"/>
  <c r="Y116" i="24" s="1"/>
  <c r="W138" i="24"/>
  <c r="X138" i="24" s="1"/>
  <c r="Y138" i="24" s="1"/>
  <c r="W133" i="24"/>
  <c r="X133" i="24" s="1"/>
  <c r="Y133" i="24" s="1"/>
  <c r="W41" i="24"/>
  <c r="X41" i="24" s="1"/>
  <c r="Y41" i="24" s="1"/>
  <c r="W106" i="24"/>
  <c r="X106" i="24" s="1"/>
  <c r="Y106" i="24" s="1"/>
  <c r="W59" i="24"/>
  <c r="X59" i="24" s="1"/>
  <c r="Y59" i="24" s="1"/>
  <c r="W128" i="24"/>
  <c r="X128" i="24" s="1"/>
  <c r="Y128" i="24" s="1"/>
  <c r="W92" i="24"/>
  <c r="X92" i="24" s="1"/>
  <c r="Y92" i="24" s="1"/>
  <c r="W82" i="24"/>
  <c r="X82" i="24" s="1"/>
  <c r="Y82" i="24" s="1"/>
  <c r="W50" i="24"/>
  <c r="X50" i="24" s="1"/>
  <c r="Y50" i="24" s="1"/>
  <c r="W100" i="24"/>
  <c r="X100" i="24" s="1"/>
  <c r="Y100" i="24" s="1"/>
  <c r="W121" i="24"/>
  <c r="X121" i="24" s="1"/>
  <c r="Y121" i="24" s="1"/>
  <c r="AU8" i="25"/>
  <c r="AQ8" i="25"/>
  <c r="AR8" i="25"/>
  <c r="AP8" i="25"/>
  <c r="AT8" i="25"/>
  <c r="P139" i="24"/>
  <c r="Q139" i="24" s="1"/>
  <c r="W81" i="24"/>
  <c r="X81" i="24" s="1"/>
  <c r="Y81" i="24" s="1"/>
  <c r="AQ7" i="25"/>
  <c r="AU7" i="25"/>
  <c r="AR7" i="25"/>
  <c r="AT7" i="25"/>
  <c r="AP7" i="25"/>
  <c r="AU18" i="25"/>
  <c r="AT18" i="25"/>
  <c r="AR18" i="25"/>
  <c r="AP18" i="25"/>
  <c r="AQ18" i="25"/>
  <c r="T68" i="24"/>
  <c r="AZ7" i="25"/>
  <c r="J6" i="24"/>
  <c r="G6" i="24"/>
  <c r="E6" i="24"/>
  <c r="S6" i="24"/>
  <c r="T6" i="24" s="1"/>
  <c r="U6" i="24" s="1"/>
  <c r="AQ6" i="17"/>
  <c r="AQ139" i="17" s="1"/>
  <c r="F6" i="24"/>
  <c r="AO22" i="25"/>
  <c r="I6" i="24"/>
  <c r="K6" i="24"/>
  <c r="M6" i="24"/>
  <c r="L6" i="24"/>
  <c r="W96" i="24"/>
  <c r="X96" i="24" s="1"/>
  <c r="Y96" i="24" s="1"/>
  <c r="W78" i="24"/>
  <c r="X78" i="24" s="1"/>
  <c r="Y78" i="24" s="1"/>
  <c r="AT11" i="25"/>
  <c r="AR11" i="25"/>
  <c r="AU11" i="25"/>
  <c r="AP11" i="25"/>
  <c r="AQ11" i="25"/>
  <c r="W83" i="24"/>
  <c r="X83" i="24" s="1"/>
  <c r="Y83" i="24" s="1"/>
  <c r="W137" i="24"/>
  <c r="X137" i="24" s="1"/>
  <c r="Y137" i="24" s="1"/>
  <c r="W126" i="24"/>
  <c r="X126" i="24" s="1"/>
  <c r="Y126" i="24" s="1"/>
  <c r="W55" i="24"/>
  <c r="X55" i="24" s="1"/>
  <c r="Y55" i="24" s="1"/>
  <c r="AZ8" i="25"/>
  <c r="T32" i="24"/>
  <c r="AZ9" i="25"/>
  <c r="T42" i="24"/>
  <c r="W39" i="24"/>
  <c r="X39" i="24" s="1"/>
  <c r="Y39" i="24" s="1"/>
  <c r="W114" i="24"/>
  <c r="X114" i="24" s="1"/>
  <c r="Y114" i="24" s="1"/>
  <c r="W52" i="24"/>
  <c r="X52" i="24" s="1"/>
  <c r="Y52" i="24" s="1"/>
  <c r="AU16" i="25"/>
  <c r="AT16" i="25"/>
  <c r="AQ16" i="25"/>
  <c r="AR16" i="25"/>
  <c r="AP16" i="25"/>
  <c r="AZ14" i="25"/>
  <c r="T89" i="24"/>
  <c r="W71" i="24"/>
  <c r="X71" i="24" s="1"/>
  <c r="Y71" i="24" s="1"/>
  <c r="W29" i="24"/>
  <c r="X29" i="24" s="1"/>
  <c r="Y29" i="24" s="1"/>
  <c r="AZ13" i="25"/>
  <c r="T134" i="24"/>
  <c r="W20" i="24"/>
  <c r="X20" i="24" s="1"/>
  <c r="Y20" i="24" s="1"/>
  <c r="W23" i="24"/>
  <c r="X23" i="24" s="1"/>
  <c r="Y23" i="24" s="1"/>
  <c r="W26" i="24"/>
  <c r="X26" i="24" s="1"/>
  <c r="Y26" i="24" s="1"/>
  <c r="W45" i="24"/>
  <c r="X45" i="24" s="1"/>
  <c r="Y45" i="24" s="1"/>
  <c r="AZ11" i="25"/>
  <c r="T50" i="24"/>
  <c r="W130" i="24"/>
  <c r="X130" i="24" s="1"/>
  <c r="Y130" i="24" s="1"/>
  <c r="BA15" i="25"/>
  <c r="BB15" i="25" s="1"/>
  <c r="U119" i="24"/>
  <c r="AQ13" i="25"/>
  <c r="AU13" i="25"/>
  <c r="AP13" i="25"/>
  <c r="AT13" i="25"/>
  <c r="AR13" i="25"/>
  <c r="W97" i="24"/>
  <c r="X97" i="24" s="1"/>
  <c r="Y97" i="24" s="1"/>
  <c r="W99" i="24"/>
  <c r="X99" i="24" s="1"/>
  <c r="Y99" i="24" s="1"/>
  <c r="W108" i="24"/>
  <c r="X108" i="24" s="1"/>
  <c r="Y108" i="24" s="1"/>
  <c r="AT9" i="25"/>
  <c r="AQ9" i="25"/>
  <c r="AR9" i="25"/>
  <c r="AU9" i="25"/>
  <c r="AP9" i="25"/>
  <c r="W31" i="24"/>
  <c r="X31" i="24" s="1"/>
  <c r="Y31" i="24" s="1"/>
  <c r="AQ19" i="25"/>
  <c r="AR19" i="25"/>
  <c r="AP19" i="25"/>
  <c r="AT19" i="25"/>
  <c r="AU19" i="25"/>
  <c r="AS19" i="25"/>
  <c r="W77" i="24"/>
  <c r="X77" i="24" s="1"/>
  <c r="Y77" i="24" s="1"/>
  <c r="W27" i="24"/>
  <c r="X27" i="24" s="1"/>
  <c r="Y27" i="24" s="1"/>
  <c r="W105" i="24"/>
  <c r="X105" i="24" s="1"/>
  <c r="Y105" i="24" s="1"/>
  <c r="W101" i="24"/>
  <c r="X101" i="24" s="1"/>
  <c r="Y101" i="24" s="1"/>
  <c r="AD53" i="17"/>
  <c r="AD28" i="17"/>
  <c r="AD14" i="17"/>
  <c r="AD119" i="17"/>
  <c r="AD131" i="17"/>
  <c r="AD7" i="17"/>
  <c r="AD85" i="17"/>
  <c r="AD86" i="17"/>
  <c r="AD66" i="17"/>
  <c r="AD120" i="17"/>
  <c r="AD11" i="17"/>
  <c r="AD135" i="17"/>
  <c r="AD16" i="17"/>
  <c r="AD6" i="25" s="1"/>
  <c r="AD69" i="17"/>
  <c r="AD57" i="17"/>
  <c r="AD55" i="17"/>
  <c r="AD106" i="17"/>
  <c r="AD117" i="17"/>
  <c r="AD15" i="17"/>
  <c r="AD41" i="17"/>
  <c r="AD75" i="17"/>
  <c r="AD105" i="17"/>
  <c r="AD74" i="17"/>
  <c r="AD34" i="17"/>
  <c r="AD83" i="17"/>
  <c r="AD31" i="17"/>
  <c r="AD114" i="17"/>
  <c r="AD134" i="17"/>
  <c r="AD59" i="17"/>
  <c r="AD20" i="17"/>
  <c r="AD93" i="17"/>
  <c r="AD91" i="17"/>
  <c r="AD56" i="17"/>
  <c r="AD30" i="17"/>
  <c r="AD68" i="17"/>
  <c r="AD19" i="17"/>
  <c r="AD128" i="17"/>
  <c r="AD109" i="17"/>
  <c r="AD125" i="17"/>
  <c r="AD18" i="17"/>
  <c r="AD121" i="17"/>
  <c r="AD43" i="17"/>
  <c r="AD110" i="17"/>
  <c r="AD67" i="17"/>
  <c r="AD95" i="17"/>
  <c r="AD127" i="17"/>
  <c r="AD107" i="17"/>
  <c r="AD70" i="17"/>
  <c r="AD8" i="17"/>
  <c r="AD116" i="17"/>
  <c r="AD98" i="17"/>
  <c r="AD94" i="17"/>
  <c r="AD45" i="17"/>
  <c r="AD76" i="17"/>
  <c r="AD104" i="17"/>
  <c r="AD64" i="17"/>
  <c r="AD33" i="17"/>
  <c r="AD111" i="17"/>
  <c r="AD27" i="17"/>
  <c r="AD65" i="17"/>
  <c r="AD36" i="17"/>
  <c r="AD23" i="17"/>
  <c r="AD26" i="17"/>
  <c r="AD50" i="17"/>
  <c r="AD61" i="17"/>
  <c r="AD92" i="17"/>
  <c r="AD123" i="17"/>
  <c r="AD96" i="17"/>
  <c r="AD46" i="17"/>
  <c r="AD52" i="17"/>
  <c r="AD89" i="17"/>
  <c r="AD136" i="17"/>
  <c r="AD102" i="17"/>
  <c r="AD24" i="17"/>
  <c r="AD48" i="17"/>
  <c r="AD100" i="17"/>
  <c r="AD17" i="17"/>
  <c r="AD60" i="17"/>
  <c r="AD49" i="17"/>
  <c r="AD21" i="17"/>
  <c r="AD71" i="17"/>
  <c r="AD87" i="17"/>
  <c r="AD73" i="17"/>
  <c r="AD124" i="17"/>
  <c r="AD130" i="17"/>
  <c r="AD12" i="17"/>
  <c r="AD38" i="17"/>
  <c r="AD72" i="17"/>
  <c r="AD90" i="17"/>
  <c r="AD78" i="17"/>
  <c r="AD126" i="17"/>
  <c r="AD137" i="17"/>
  <c r="AD32" i="17"/>
  <c r="AD22" i="17"/>
  <c r="AD77" i="17"/>
  <c r="AD88" i="17"/>
  <c r="AD115" i="17"/>
  <c r="AD54" i="17"/>
  <c r="AD112" i="17"/>
  <c r="AD132" i="17"/>
  <c r="AD47" i="17"/>
  <c r="AD63" i="17"/>
  <c r="AD81" i="17"/>
  <c r="AD138" i="17"/>
  <c r="AD13" i="17"/>
  <c r="AD97" i="17"/>
  <c r="AD51" i="17"/>
  <c r="AD133" i="17"/>
  <c r="AD99" i="17"/>
  <c r="AD103" i="17"/>
  <c r="AD84" i="17"/>
  <c r="AD42" i="17"/>
  <c r="AD9" i="25" s="1"/>
  <c r="AD25" i="17"/>
  <c r="AD80" i="17"/>
  <c r="AD108" i="17"/>
  <c r="AD39" i="17"/>
  <c r="AD118" i="17"/>
  <c r="AD44" i="17"/>
  <c r="AD79" i="17"/>
  <c r="AD10" i="17"/>
  <c r="AD9" i="17"/>
  <c r="AD58" i="17"/>
  <c r="AD40" i="17"/>
  <c r="AD35" i="17"/>
  <c r="AD113" i="17"/>
  <c r="AD62" i="17"/>
  <c r="AD122" i="17"/>
  <c r="AD37" i="17"/>
  <c r="AD82" i="17"/>
  <c r="AD101" i="17"/>
  <c r="AD129" i="17"/>
  <c r="AD29" i="17"/>
  <c r="T72" i="24"/>
  <c r="AZ20" i="25"/>
  <c r="W33" i="24"/>
  <c r="X33" i="24" s="1"/>
  <c r="Y33" i="24" s="1"/>
  <c r="U66" i="24"/>
  <c r="BA19" i="25"/>
  <c r="BB19" i="25" s="1"/>
  <c r="W12" i="24"/>
  <c r="X12" i="24" s="1"/>
  <c r="Y12" i="24" s="1"/>
  <c r="W103" i="24"/>
  <c r="X103" i="24" s="1"/>
  <c r="Y103" i="24" s="1"/>
  <c r="W32" i="24"/>
  <c r="X32" i="24" s="1"/>
  <c r="Y32" i="24" s="1"/>
  <c r="W25" i="24"/>
  <c r="X25" i="24" s="1"/>
  <c r="Y25" i="24" s="1"/>
  <c r="W80" i="24"/>
  <c r="X80" i="24" s="1"/>
  <c r="Y80" i="24" s="1"/>
  <c r="AQ23" i="25"/>
  <c r="AT23" i="25"/>
  <c r="AR23" i="25"/>
  <c r="AP23" i="25"/>
  <c r="W35" i="24"/>
  <c r="X35" i="24" s="1"/>
  <c r="Y35" i="24" s="1"/>
  <c r="W44" i="24"/>
  <c r="X44" i="24" s="1"/>
  <c r="Y44" i="24" s="1"/>
  <c r="AZ16" i="25"/>
  <c r="T69" i="24"/>
  <c r="W73" i="24"/>
  <c r="X73" i="24" s="1"/>
  <c r="Y73" i="24" s="1"/>
  <c r="W107" i="24"/>
  <c r="X107" i="24" s="1"/>
  <c r="Y107" i="24" s="1"/>
  <c r="W72" i="24"/>
  <c r="X72" i="24" s="1"/>
  <c r="Y72" i="24" s="1"/>
  <c r="W76" i="24"/>
  <c r="X76" i="24" s="1"/>
  <c r="Y76" i="24" s="1"/>
  <c r="W65" i="24"/>
  <c r="X65" i="24" s="1"/>
  <c r="Y65" i="24" s="1"/>
  <c r="AZ19" i="25"/>
  <c r="W89" i="24"/>
  <c r="X89" i="24" s="1"/>
  <c r="Y89" i="24" s="1"/>
  <c r="W17" i="24"/>
  <c r="X17" i="24" s="1"/>
  <c r="Y17" i="24" s="1"/>
  <c r="W51" i="24"/>
  <c r="X51" i="24" s="1"/>
  <c r="Y51" i="24" s="1"/>
  <c r="AQ10" i="25"/>
  <c r="AT10" i="25"/>
  <c r="AR10" i="25"/>
  <c r="AU10" i="25"/>
  <c r="AP10" i="25"/>
  <c r="W40" i="24"/>
  <c r="X40" i="24" s="1"/>
  <c r="Y40" i="24" s="1"/>
  <c r="W79" i="24"/>
  <c r="X79" i="24" s="1"/>
  <c r="Y79" i="24" s="1"/>
  <c r="W58" i="24"/>
  <c r="X58" i="24" s="1"/>
  <c r="Y58" i="24" s="1"/>
  <c r="AZ12" i="25"/>
  <c r="T39" i="24"/>
  <c r="X86" i="24"/>
  <c r="W38" i="24"/>
  <c r="X38" i="24" s="1"/>
  <c r="Y38" i="24" s="1"/>
  <c r="W43" i="24"/>
  <c r="X43" i="24" s="1"/>
  <c r="Y43" i="24" s="1"/>
  <c r="W67" i="24"/>
  <c r="X67" i="24" s="1"/>
  <c r="Y67" i="24" s="1"/>
  <c r="W60" i="24"/>
  <c r="X60" i="24" s="1"/>
  <c r="Y60" i="24" s="1"/>
  <c r="W136" i="24"/>
  <c r="X136" i="24" s="1"/>
  <c r="Y136" i="24" s="1"/>
  <c r="AZ21" i="25"/>
  <c r="T18" i="24"/>
  <c r="W22" i="24"/>
  <c r="X22" i="24" s="1"/>
  <c r="Y22" i="24" s="1"/>
  <c r="W122" i="24"/>
  <c r="X122" i="24" s="1"/>
  <c r="Y122" i="24" s="1"/>
  <c r="W124" i="24"/>
  <c r="X124" i="24" s="1"/>
  <c r="Y124" i="24" s="1"/>
  <c r="W30" i="24"/>
  <c r="X30" i="24" s="1"/>
  <c r="Y30" i="24" s="1"/>
  <c r="W69" i="24"/>
  <c r="X69" i="24" s="1"/>
  <c r="Y69" i="24" s="1"/>
  <c r="W91" i="24"/>
  <c r="X91" i="24" s="1"/>
  <c r="Y91" i="24" s="1"/>
  <c r="W113" i="24"/>
  <c r="X113" i="24" s="1"/>
  <c r="Y113" i="24" s="1"/>
  <c r="W102" i="24"/>
  <c r="X102" i="24" s="1"/>
  <c r="Y102" i="24" s="1"/>
  <c r="W110" i="24"/>
  <c r="X110" i="24" s="1"/>
  <c r="Y110" i="24" s="1"/>
  <c r="T130" i="24"/>
  <c r="AZ23" i="25"/>
  <c r="AZ17" i="25"/>
  <c r="T34" i="24"/>
  <c r="W129" i="24"/>
  <c r="X129" i="24" s="1"/>
  <c r="Y129" i="24" s="1"/>
  <c r="W37" i="24"/>
  <c r="X37" i="24" s="1"/>
  <c r="Y37" i="24" s="1"/>
  <c r="W47" i="24"/>
  <c r="X47" i="24" s="1"/>
  <c r="Y47" i="24" s="1"/>
  <c r="W84" i="24"/>
  <c r="X84" i="24" s="1"/>
  <c r="Y84" i="24" s="1"/>
  <c r="W19" i="24"/>
  <c r="X19" i="24" s="1"/>
  <c r="Y19" i="24" s="1"/>
  <c r="W75" i="24"/>
  <c r="X75" i="24" s="1"/>
  <c r="Y75" i="24" s="1"/>
  <c r="W87" i="24"/>
  <c r="X87" i="24" s="1"/>
  <c r="Y87" i="24" s="1"/>
  <c r="W90" i="24"/>
  <c r="X90" i="24" s="1"/>
  <c r="Y90" i="24" s="1"/>
  <c r="AS20" i="25"/>
  <c r="W46" i="24"/>
  <c r="X46" i="24" s="1"/>
  <c r="Y46" i="24" s="1"/>
  <c r="W21" i="24"/>
  <c r="X21" i="24" s="1"/>
  <c r="Y21" i="24" s="1"/>
  <c r="AS18" i="25"/>
  <c r="W115" i="24"/>
  <c r="X115" i="24" s="1"/>
  <c r="Y115" i="24" s="1"/>
  <c r="AQ21" i="25"/>
  <c r="AU21" i="25"/>
  <c r="AT21" i="25"/>
  <c r="AP21" i="25"/>
  <c r="AR21" i="25"/>
  <c r="W132" i="24"/>
  <c r="X132" i="24" s="1"/>
  <c r="Y132" i="24" s="1"/>
  <c r="W13" i="24"/>
  <c r="X13" i="24" s="1"/>
  <c r="Y13" i="24" s="1"/>
  <c r="O139" i="24"/>
  <c r="W127" i="24"/>
  <c r="X127" i="24" s="1"/>
  <c r="Y127" i="24" s="1"/>
  <c r="W118" i="24"/>
  <c r="X118" i="24" s="1"/>
  <c r="Y118" i="24" s="1"/>
  <c r="W134" i="24"/>
  <c r="X134" i="24" s="1"/>
  <c r="Y134" i="24" s="1"/>
  <c r="W93" i="24"/>
  <c r="X93" i="24" s="1"/>
  <c r="Y93" i="24" s="1"/>
  <c r="W54" i="24"/>
  <c r="X54" i="24" s="1"/>
  <c r="Y54" i="24" s="1"/>
  <c r="W111" i="24"/>
  <c r="X111" i="24" s="1"/>
  <c r="Y111" i="24" s="1"/>
  <c r="W109" i="24"/>
  <c r="X109" i="24" s="1"/>
  <c r="Y109" i="24" s="1"/>
  <c r="W8" i="24"/>
  <c r="X8" i="24" s="1"/>
  <c r="Y8" i="24" s="1"/>
  <c r="W98" i="24"/>
  <c r="X98" i="24" s="1"/>
  <c r="Y98" i="24" s="1"/>
  <c r="W42" i="24"/>
  <c r="X42" i="24" s="1"/>
  <c r="Y42" i="24" s="1"/>
  <c r="W117" i="24"/>
  <c r="X117" i="24" s="1"/>
  <c r="Y117" i="24" s="1"/>
  <c r="AZ18" i="25"/>
  <c r="T93" i="24"/>
  <c r="W70" i="24"/>
  <c r="X70" i="24" s="1"/>
  <c r="Y70" i="24" s="1"/>
  <c r="W48" i="24"/>
  <c r="X48" i="24" s="1"/>
  <c r="Y48" i="24" s="1"/>
  <c r="W95" i="24"/>
  <c r="X95" i="24" s="1"/>
  <c r="Y95" i="24" s="1"/>
  <c r="W62" i="24"/>
  <c r="X62" i="24" s="1"/>
  <c r="Y62" i="24" s="1"/>
  <c r="W104" i="24"/>
  <c r="X104" i="24" s="1"/>
  <c r="Y104" i="24" s="1"/>
  <c r="BA10" i="25"/>
  <c r="BB10" i="25" s="1"/>
  <c r="U86" i="24"/>
  <c r="W125" i="24"/>
  <c r="X125" i="24" s="1"/>
  <c r="Y125" i="24" s="1"/>
  <c r="W61" i="24"/>
  <c r="X61" i="24" s="1"/>
  <c r="Y61" i="24" s="1"/>
  <c r="W49" i="24"/>
  <c r="X49" i="24" s="1"/>
  <c r="Y49" i="24" s="1"/>
  <c r="W18" i="24"/>
  <c r="X18" i="24" s="1"/>
  <c r="Y18" i="24" s="1"/>
  <c r="W94" i="24"/>
  <c r="X94" i="24" s="1"/>
  <c r="Y94" i="24" s="1"/>
  <c r="W24" i="24"/>
  <c r="X24" i="24" s="1"/>
  <c r="Y24" i="24" s="1"/>
  <c r="AD139" i="17" l="1"/>
  <c r="AP17" i="25"/>
  <c r="AS17" i="25"/>
  <c r="AX17" i="25"/>
  <c r="AV17" i="25"/>
  <c r="AU17" i="25"/>
  <c r="AT17" i="25"/>
  <c r="AR17" i="25"/>
  <c r="AQ17" i="25"/>
  <c r="AO24" i="25"/>
  <c r="AS24" i="25" s="1"/>
  <c r="AV22" i="25"/>
  <c r="AX22" i="25"/>
  <c r="AW22" i="25"/>
  <c r="H139" i="24"/>
  <c r="AV24" i="25"/>
  <c r="AU24" i="25"/>
  <c r="AW24" i="25"/>
  <c r="AX24" i="25"/>
  <c r="S139" i="24"/>
  <c r="AD7" i="25"/>
  <c r="AS22" i="25"/>
  <c r="AD22" i="25"/>
  <c r="AD21" i="25"/>
  <c r="AD14" i="25"/>
  <c r="E139" i="24"/>
  <c r="J139" i="24"/>
  <c r="G139" i="24"/>
  <c r="I139" i="24"/>
  <c r="K139" i="24"/>
  <c r="F139" i="24"/>
  <c r="AT24" i="25"/>
  <c r="M139" i="24"/>
  <c r="L139" i="24"/>
  <c r="U89" i="24"/>
  <c r="BA14" i="25"/>
  <c r="BB14" i="25" s="1"/>
  <c r="AD12" i="25"/>
  <c r="AD13" i="25"/>
  <c r="AD18" i="25"/>
  <c r="U134" i="24"/>
  <c r="BA13" i="25"/>
  <c r="BB13" i="25" s="1"/>
  <c r="BA9" i="25"/>
  <c r="BB9" i="25" s="1"/>
  <c r="U42" i="24"/>
  <c r="W6" i="24"/>
  <c r="X6" i="24" s="1"/>
  <c r="Y6" i="24" s="1"/>
  <c r="Y86" i="24"/>
  <c r="T139" i="24"/>
  <c r="U139" i="24" s="1"/>
  <c r="U72" i="24"/>
  <c r="BA20" i="25"/>
  <c r="BB20" i="25" s="1"/>
  <c r="U93" i="24"/>
  <c r="BA18" i="25"/>
  <c r="BB18" i="25" s="1"/>
  <c r="AD10" i="25"/>
  <c r="AD17" i="25"/>
  <c r="BA11" i="25"/>
  <c r="BB11" i="25" s="1"/>
  <c r="U50" i="24"/>
  <c r="U32" i="24"/>
  <c r="BA8" i="25"/>
  <c r="BB8" i="25" s="1"/>
  <c r="BA12" i="25"/>
  <c r="BB12" i="25" s="1"/>
  <c r="U39" i="24"/>
  <c r="U69" i="24"/>
  <c r="BA16" i="25"/>
  <c r="BB16" i="25" s="1"/>
  <c r="AD23" i="25"/>
  <c r="AD19" i="25"/>
  <c r="U34" i="24"/>
  <c r="BA17" i="25"/>
  <c r="BB17" i="25" s="1"/>
  <c r="AD16" i="25"/>
  <c r="U68" i="24"/>
  <c r="BA7" i="25"/>
  <c r="BB7" i="25" s="1"/>
  <c r="AD11" i="25"/>
  <c r="BB6" i="25"/>
  <c r="BA23" i="25"/>
  <c r="BB23" i="25" s="1"/>
  <c r="U130" i="24"/>
  <c r="AD20" i="25"/>
  <c r="AD15" i="25"/>
  <c r="U45" i="24"/>
  <c r="BA22" i="25"/>
  <c r="BB22" i="25" s="1"/>
  <c r="BA21" i="25"/>
  <c r="BB21" i="25" s="1"/>
  <c r="U18" i="24"/>
  <c r="AD8" i="25"/>
  <c r="AR22" i="25"/>
  <c r="AQ22" i="25"/>
  <c r="AU22" i="25"/>
  <c r="AT22" i="25"/>
  <c r="AP22" i="25"/>
  <c r="AZ22" i="25"/>
  <c r="AZ24" i="25" s="1"/>
  <c r="AQ24" i="25" l="1"/>
  <c r="AR24" i="25"/>
  <c r="AP24" i="25"/>
  <c r="W139" i="24"/>
  <c r="X139" i="24"/>
  <c r="Y139" i="24" s="1"/>
  <c r="AD24" i="25"/>
  <c r="BA24" i="25"/>
  <c r="BB24" i="25" s="1"/>
</calcChain>
</file>

<file path=xl/sharedStrings.xml><?xml version="1.0" encoding="utf-8"?>
<sst xmlns="http://schemas.openxmlformats.org/spreadsheetml/2006/main" count="4252" uniqueCount="578">
  <si>
    <t>Koulutuksen järjestäjä</t>
  </si>
  <si>
    <t>Perustutkintojen määrä</t>
  </si>
  <si>
    <t>Ammatti- ja erikoisammattitutkintojen määrä</t>
  </si>
  <si>
    <t>Perustutkintojen tutkinnon osien määrä</t>
  </si>
  <si>
    <t>Ammatti- ja erikoisammattitutkintojen tutkinnon osien määrä</t>
  </si>
  <si>
    <t>Perustutkintojen kustannusryhmän ja pohjakoulutuksen mukaan painotetut pisteet</t>
  </si>
  <si>
    <t>Ammatti- ja erikoisammattitutkintojen kustannusryhmän ja pohjakoulutuksen mukaan painotetut pisteet</t>
  </si>
  <si>
    <t>Erityisen tuen mukaan painotetut tutkintojen pisteet</t>
  </si>
  <si>
    <t>Perustutkintojen osien kustannusryhmän mukaan painotetut osaamispisteet</t>
  </si>
  <si>
    <t>Ammatti- ja erikoisammattitutkintojen osien kustannusryhmän mukaan painotetut osaamispisteet</t>
  </si>
  <si>
    <t>Erityisen tuen mukaan painotetut tutkinnon osien osaamispisteet</t>
  </si>
  <si>
    <t>Tutkintojen ja tutkinnon osien painotetut pisteet yhteensä</t>
  </si>
  <si>
    <t/>
  </si>
  <si>
    <t>Yhteensä</t>
  </si>
  <si>
    <t>Aloittaneet</t>
  </si>
  <si>
    <t>Ahlmanin koulun Säätiö sr</t>
  </si>
  <si>
    <t>Aitoon Emäntäkoulu Oy</t>
  </si>
  <si>
    <t>Ammattiopisto Spesia Oy</t>
  </si>
  <si>
    <t>Ava-Instituutin kannatusyhdistys ry</t>
  </si>
  <si>
    <t>Axxell Utbildning Ab</t>
  </si>
  <si>
    <t>Cimson Koulutuspalvelut Oy</t>
  </si>
  <si>
    <t>Espoon seudun koulutuskuntayhtymä Omnia</t>
  </si>
  <si>
    <t>Etelä-Karjalan Koulutuskuntayhtymä</t>
  </si>
  <si>
    <t>Etelä-Savon Koulutus Oy</t>
  </si>
  <si>
    <t>Eurajoen kristillisen opiston kannatusyhdistys r.y.</t>
  </si>
  <si>
    <t>Folkhälsan Utbildning Ab</t>
  </si>
  <si>
    <t>Haapaveden Opiston kannatusyhdistys ry</t>
  </si>
  <si>
    <t>Harjun Oppimiskeskus Oy</t>
  </si>
  <si>
    <t>Helsingin kaupunki</t>
  </si>
  <si>
    <t>Helsingin Konservatorion Säätiö sr</t>
  </si>
  <si>
    <t>Helsinki Business College Oy</t>
  </si>
  <si>
    <t>Hevosopisto Oy</t>
  </si>
  <si>
    <t>Hyria koulutus Oy</t>
  </si>
  <si>
    <t>Hämeen ammatti-instituutti Oy</t>
  </si>
  <si>
    <t>Itä-Karjalan Kansanopistoseura ry</t>
  </si>
  <si>
    <t>Itä-Savon koulutuskuntayhtymä</t>
  </si>
  <si>
    <t>Itä-Suomen Liikuntaopisto Oy</t>
  </si>
  <si>
    <t>Joensuun kaupunki</t>
  </si>
  <si>
    <t>Jokilaaksojen koulutuskuntayhtymä</t>
  </si>
  <si>
    <t>Jollas-Opisto Oy</t>
  </si>
  <si>
    <t>Jyväskylän kristillisen opiston säätiö sr</t>
  </si>
  <si>
    <t>Jyväskylän Talouskouluyhdistys r.y.</t>
  </si>
  <si>
    <t>Järviseudun Koulutuskuntayhtymä</t>
  </si>
  <si>
    <t>Kajaanin kaupunki</t>
  </si>
  <si>
    <t>Kalajoen Kristillisen Opiston kannatusyhdistys ry</t>
  </si>
  <si>
    <t>Kanneljärven Kansanopiston kannatusyhdistys r.y.</t>
  </si>
  <si>
    <t>Kansan Sivistystyön Liitto KSL ry</t>
  </si>
  <si>
    <t>Karstulan Evankelisen Kansanopiston kannatusyhdistys ry</t>
  </si>
  <si>
    <t>Kellosepäntaidon Edistämissäätiö sr</t>
  </si>
  <si>
    <t>Kemi-Tornionlaakson koulutuskuntayhtymä Lappia</t>
  </si>
  <si>
    <t>Keski-Pohjanmaan Konservatorion Kannatusyhdistys Ry</t>
  </si>
  <si>
    <t>Keski-Pohjanmaan Koulutusyhtymä</t>
  </si>
  <si>
    <t>Keski-Uudenmaan koulutuskuntayhtymä</t>
  </si>
  <si>
    <t>Kiinteistöalan Koulutussäätiö sr</t>
  </si>
  <si>
    <t>Kiipulasäätiö sr</t>
  </si>
  <si>
    <t>Kirkkopalvelut ry</t>
  </si>
  <si>
    <t>Kiteen Evankelisen Kansanopiston kannatusyhdistys ry</t>
  </si>
  <si>
    <t>Korpisaaren Säätiö sr</t>
  </si>
  <si>
    <t>Kotkan-Haminan seudun koulutuskuntayhtymä</t>
  </si>
  <si>
    <t>Koulutuskeskus Salpaus -kuntayhtymä</t>
  </si>
  <si>
    <t>Koulutuskuntayhtymä Tavastia</t>
  </si>
  <si>
    <t>KSAK Oy</t>
  </si>
  <si>
    <t>Kuopion Konservatorion kannatusyhdistys r.y.</t>
  </si>
  <si>
    <t>Kuopion Talouskoulun kannatusyhdistys r.y.</t>
  </si>
  <si>
    <t>Kuortaneen Urheiluopistosäätiö sr</t>
  </si>
  <si>
    <t>Laajasalon opiston säätiö sr</t>
  </si>
  <si>
    <t>Lahden kansanopiston säätiö sr</t>
  </si>
  <si>
    <t>Lahden Konservatorio Oy</t>
  </si>
  <si>
    <t>Lounais-Hämeen koulutuskuntayhtymä</t>
  </si>
  <si>
    <t>Lounais-Suomen koulutuskuntayhtymä</t>
  </si>
  <si>
    <t>Luksia, Länsi-Uudenmaan koulutuskuntayhtymä</t>
  </si>
  <si>
    <t>Länsirannikon Koulutus Oy</t>
  </si>
  <si>
    <t>Maalariammattikoulun kannatusyhdistys r.y.</t>
  </si>
  <si>
    <t>Management Institute of Finland MIF Oy</t>
  </si>
  <si>
    <t>Marttayhdistysten liitto ry</t>
  </si>
  <si>
    <t>Optima samkommun</t>
  </si>
  <si>
    <t>Oulun kaupunki</t>
  </si>
  <si>
    <t>Paasikiviopistoyhdistys r.y.</t>
  </si>
  <si>
    <t>Palkansaajien koulutussäätiö sr</t>
  </si>
  <si>
    <t>Palloilu Säätiö sr</t>
  </si>
  <si>
    <t>Peimarin koulutuskuntayhtymä</t>
  </si>
  <si>
    <t>Perho Liiketalousopisto Oy</t>
  </si>
  <si>
    <t>Peräpohjolan Kansanopiston kannatusyhdistys ry</t>
  </si>
  <si>
    <t>Pohjois-Karjalan Koulutuskuntayhtymä</t>
  </si>
  <si>
    <t>Pohjois-Satakunnan Kansanopiston kannatusyhdistys r.y.</t>
  </si>
  <si>
    <t>Pohjois-Savon Kansanopistoseura r.y.</t>
  </si>
  <si>
    <t>Pohjois-Suomen Koulutuskeskussäätiö sr</t>
  </si>
  <si>
    <t>Pop &amp; Jazz Konservatorion Säätiö sr</t>
  </si>
  <si>
    <t>Portaanpää ry</t>
  </si>
  <si>
    <t>Raahen Porvari- ja Kauppakoulurahasto sr</t>
  </si>
  <si>
    <t>Raision Seudun Koulutuskuntayhtymä</t>
  </si>
  <si>
    <t>Rakennusteollisuus RT ry</t>
  </si>
  <si>
    <t>Raudaskylän Kristillinen Opisto r.y.</t>
  </si>
  <si>
    <t>Rovalan Setlementti ry</t>
  </si>
  <si>
    <t>Rovaniemen Koulutuskuntayhtymä</t>
  </si>
  <si>
    <t>Salon Seudun Koulutuskuntayhtymä</t>
  </si>
  <si>
    <t>SASKY koulutuskuntayhtymä</t>
  </si>
  <si>
    <t>Satakunnan koulutuskuntayhtymä</t>
  </si>
  <si>
    <t>Savon Koulutuskuntayhtymä</t>
  </si>
  <si>
    <t>Seinäjoen koulutuskuntayhtymä</t>
  </si>
  <si>
    <t>Suomen Diakoniaopisto - SDO Oy</t>
  </si>
  <si>
    <t>Suomen kansallisooppera ja -baletti sr</t>
  </si>
  <si>
    <t>Suomen Nuoriso-Opiston kannatusyhdistys ry</t>
  </si>
  <si>
    <t>Suomen Urheiluopiston Kannatusosakeyhtiö</t>
  </si>
  <si>
    <t>Suomen ympäristöopisto SYKLI Oy</t>
  </si>
  <si>
    <t>Suupohjan Koulutuskuntayhtymä</t>
  </si>
  <si>
    <t>Svenska Framtidsskolan i Helsingforsregionen Ab</t>
  </si>
  <si>
    <t>Svenska Österbottens förbund för Utbildning och Kultur</t>
  </si>
  <si>
    <t>Tampereen Aikuiskoulutussäätiö sr</t>
  </si>
  <si>
    <t>Tampereen kaupunki</t>
  </si>
  <si>
    <t>Tampereen Musiikkiopiston Säätiö sr</t>
  </si>
  <si>
    <t>Tanhuvaaran Säätiö sr</t>
  </si>
  <si>
    <t>Tohtori Matthias Ingmanin säätiö sr</t>
  </si>
  <si>
    <t>Traffica Oy</t>
  </si>
  <si>
    <t>Turun Aikuiskoulutussäätiö sr</t>
  </si>
  <si>
    <t>Turun Ammattiopistosäätiö sr</t>
  </si>
  <si>
    <t>Turun kaupunki</t>
  </si>
  <si>
    <t>Turun kristillisen opiston säätiö sr</t>
  </si>
  <si>
    <t>Työtehoseura ry</t>
  </si>
  <si>
    <t>Vaasan kaupunki</t>
  </si>
  <si>
    <t>Valkeakosken seudun koulutuskuntayhtymä</t>
  </si>
  <si>
    <t>Valkealan Kristillisen Kansanopiston kannatusyhdistys r.y.</t>
  </si>
  <si>
    <t>Vantaan kaupunki</t>
  </si>
  <si>
    <t>Varalan Säätiö sr</t>
  </si>
  <si>
    <t>Ylä-Savon koulutuskuntayhtymä</t>
  </si>
  <si>
    <t>Äänekosken Ammatillisen Koulutuksen kuntayhtymä</t>
  </si>
  <si>
    <t>Koko tutkinnon suorittaneet</t>
  </si>
  <si>
    <t>Tutkinnon osia suorittaneet</t>
  </si>
  <si>
    <t>Fysikaalinen hoitolaitos Arcus Lumio &amp; Pirttimaa</t>
  </si>
  <si>
    <t>KONE Hissit Oy</t>
  </si>
  <si>
    <t>Suomen Luterilainen Evankeliumiyhdistys ry</t>
  </si>
  <si>
    <t>TYA-oppilaitos Oy</t>
  </si>
  <si>
    <t>Kustannusryhmän mukaan painotetut perustutkinnon opiskelijavuodet</t>
  </si>
  <si>
    <t>Kustannusryhmän mukaan painotetut at- ja eat-tutkinnon opiskelijavuodet</t>
  </si>
  <si>
    <t>Kustannusryhmän mukaan painotetut opiskelijavalmiuksia tukevat opiskelijavuodet</t>
  </si>
  <si>
    <t>Kustannusryhmän mukaan painotetut muun koulutuksen opiskelijavuodet</t>
  </si>
  <si>
    <t>Erityistuen mukaan painotetut opiskelijavuodet</t>
  </si>
  <si>
    <t>Majoituksen mukaan painotetut opiskelijavuodet</t>
  </si>
  <si>
    <t>Henkilöstökoulutuksen mukaan painotetut opiskelijavuodet</t>
  </si>
  <si>
    <t>Työvoimakoulutuksen mukaan painotetut opiskelijavuodet</t>
  </si>
  <si>
    <t>Vankilakoulutuksen mukaan painotetut opiskelijavuodet</t>
  </si>
  <si>
    <t>Painotetut opiskelijavuodet yhteensä</t>
  </si>
  <si>
    <t>Profiilikerroin</t>
  </si>
  <si>
    <t>Haus Kehittämiskeskus Oy</t>
  </si>
  <si>
    <t>Kvarnen samkommun</t>
  </si>
  <si>
    <t>Meyer Turku Oy</t>
  </si>
  <si>
    <t>Suomen Ilmailuopisto Oy</t>
  </si>
  <si>
    <t>Ava-instituutin kannatusyhdistys ry</t>
  </si>
  <si>
    <t>Careeria Oy</t>
  </si>
  <si>
    <t>Kalajoen Kristillisen Opiston Kannatusyhdistys ry</t>
  </si>
  <si>
    <t>Suoritusrahoitus</t>
  </si>
  <si>
    <t>€</t>
  </si>
  <si>
    <t>Alv</t>
  </si>
  <si>
    <t>Strategiarahoitus</t>
  </si>
  <si>
    <t>Harkinnanvarainen perusrahoitus</t>
  </si>
  <si>
    <t>Laskennallinen rahoitus + alv</t>
  </si>
  <si>
    <t xml:space="preserve">Työllistyneet ja jatko-opiskelijat </t>
  </si>
  <si>
    <t>%-osuus 1</t>
  </si>
  <si>
    <t>Painotetut pisteet 2</t>
  </si>
  <si>
    <t>%-osuus 2</t>
  </si>
  <si>
    <t>Painotetut pisteet 3</t>
  </si>
  <si>
    <t>%-osuus 3</t>
  </si>
  <si>
    <t>1 Opiskelijavuodet</t>
  </si>
  <si>
    <t>2 Tutkinnot ja tutkinnon osat</t>
  </si>
  <si>
    <t xml:space="preserve">3 Työllistyneet ja jatko-opiskelijat </t>
  </si>
  <si>
    <t>4 Aloittaneet opiskelijapalaute</t>
  </si>
  <si>
    <t>Painotetut pisteet 4</t>
  </si>
  <si>
    <t>%-osuus 4</t>
  </si>
  <si>
    <t>%-osuus 6</t>
  </si>
  <si>
    <t>Painotetut opiskelija-vuodet</t>
  </si>
  <si>
    <t>Tavoitteelliset opiske-lijavuodet</t>
  </si>
  <si>
    <t>Profiili-kerroin</t>
  </si>
  <si>
    <t>%-osuus 5</t>
  </si>
  <si>
    <t>Painotetut pisteet 5</t>
  </si>
  <si>
    <t>Uusimaa</t>
  </si>
  <si>
    <t>2918298-7</t>
  </si>
  <si>
    <t>Keski-Suomi</t>
  </si>
  <si>
    <t>0208589-6</t>
  </si>
  <si>
    <t>Pohjois-Savo</t>
  </si>
  <si>
    <t>0214765-5</t>
  </si>
  <si>
    <t>Pohjanmaa</t>
  </si>
  <si>
    <t>Pohjois-Pohjanmaa</t>
  </si>
  <si>
    <t>Kainuu</t>
  </si>
  <si>
    <t>Pirkanmaa</t>
  </si>
  <si>
    <t>0155689-5</t>
  </si>
  <si>
    <t>0124610-9</t>
  </si>
  <si>
    <t>Päijät-Häme</t>
  </si>
  <si>
    <t>Varsinais-Suomi</t>
  </si>
  <si>
    <t>Kymenlaakso</t>
  </si>
  <si>
    <t>0163408-0</t>
  </si>
  <si>
    <t>0206289-7</t>
  </si>
  <si>
    <t>0209602-6</t>
  </si>
  <si>
    <t>0202496-2</t>
  </si>
  <si>
    <t>0915313-4</t>
  </si>
  <si>
    <t>0204819-8</t>
  </si>
  <si>
    <t>0276652-8</t>
  </si>
  <si>
    <t>0142247-5</t>
  </si>
  <si>
    <t>0858476-8</t>
  </si>
  <si>
    <t>0172730-8</t>
  </si>
  <si>
    <t>1577184-4</t>
  </si>
  <si>
    <t>Etelä-Pohjanmaa</t>
  </si>
  <si>
    <t>Etelä-Savo</t>
  </si>
  <si>
    <t>0166930-4</t>
  </si>
  <si>
    <t>0206148-0</t>
  </si>
  <si>
    <t>0211675-2</t>
  </si>
  <si>
    <t>0155651-0</t>
  </si>
  <si>
    <t>0988182-8</t>
  </si>
  <si>
    <t>1648362-5</t>
  </si>
  <si>
    <t>0973712-1</t>
  </si>
  <si>
    <t>0208850-1</t>
  </si>
  <si>
    <t>0681365-1</t>
  </si>
  <si>
    <t>0202512-1</t>
  </si>
  <si>
    <t>0207230-7</t>
  </si>
  <si>
    <t>0242525-6</t>
  </si>
  <si>
    <t>0116936-9</t>
  </si>
  <si>
    <t>Satakunta</t>
  </si>
  <si>
    <t>1728925-0</t>
  </si>
  <si>
    <t>2756786-7</t>
  </si>
  <si>
    <t>1007629-5</t>
  </si>
  <si>
    <t>1852679-9</t>
  </si>
  <si>
    <t>0203929-1</t>
  </si>
  <si>
    <t>0204964-1</t>
  </si>
  <si>
    <t>0139545-4</t>
  </si>
  <si>
    <t>Lappi</t>
  </si>
  <si>
    <t>0973110-9</t>
  </si>
  <si>
    <t>0210668-5</t>
  </si>
  <si>
    <t>0195258-0</t>
  </si>
  <si>
    <t>0215303-5</t>
  </si>
  <si>
    <t>0204427-7</t>
  </si>
  <si>
    <t>0189373-6</t>
  </si>
  <si>
    <t>0210287-9</t>
  </si>
  <si>
    <t>0828475-7</t>
  </si>
  <si>
    <t>0214822-8</t>
  </si>
  <si>
    <t>0280690-5</t>
  </si>
  <si>
    <t>0207972-8</t>
  </si>
  <si>
    <t>0908429-8</t>
  </si>
  <si>
    <t>0193507-8</t>
  </si>
  <si>
    <t>2734201-9</t>
  </si>
  <si>
    <t>0823246-3</t>
  </si>
  <si>
    <t>0153158-3</t>
  </si>
  <si>
    <t>0882817-9</t>
  </si>
  <si>
    <t>0365121-2</t>
  </si>
  <si>
    <t>Pohjois-Karjala</t>
  </si>
  <si>
    <t>0212371-7</t>
  </si>
  <si>
    <t>0992445-3</t>
  </si>
  <si>
    <t>0187690-1</t>
  </si>
  <si>
    <t>0796234-1</t>
  </si>
  <si>
    <t>2460281-5</t>
  </si>
  <si>
    <t>0772017-4</t>
  </si>
  <si>
    <t>0187711-1</t>
  </si>
  <si>
    <t>0201689-0</t>
  </si>
  <si>
    <t>0222804-1</t>
  </si>
  <si>
    <t>0871305-6</t>
  </si>
  <si>
    <t>2245018-4</t>
  </si>
  <si>
    <t>0203167-9</t>
  </si>
  <si>
    <t>0204023-3</t>
  </si>
  <si>
    <t>Kanta-Häme</t>
  </si>
  <si>
    <t>0626288-8</t>
  </si>
  <si>
    <t>0149057-4</t>
  </si>
  <si>
    <t>0149666-9</t>
  </si>
  <si>
    <t>0209021-4</t>
  </si>
  <si>
    <t>0213834-5</t>
  </si>
  <si>
    <t>0180124-8</t>
  </si>
  <si>
    <t>0207872-5</t>
  </si>
  <si>
    <t>0207862-9</t>
  </si>
  <si>
    <t>0832600-5</t>
  </si>
  <si>
    <t>Keski-Pohjanmaa</t>
  </si>
  <si>
    <t>0208916-8</t>
  </si>
  <si>
    <t>1943518-6</t>
  </si>
  <si>
    <t>0205303-4</t>
  </si>
  <si>
    <t>0993644-6</t>
  </si>
  <si>
    <t>1958694-5</t>
  </si>
  <si>
    <t>0536496-2</t>
  </si>
  <si>
    <t>1904292-1</t>
  </si>
  <si>
    <t>0207572-7</t>
  </si>
  <si>
    <t>0215281-7</t>
  </si>
  <si>
    <t>0147520-0</t>
  </si>
  <si>
    <t>0774302-6</t>
  </si>
  <si>
    <t>2109309-0</t>
  </si>
  <si>
    <t>0101304-9</t>
  </si>
  <si>
    <t>0503417-0</t>
  </si>
  <si>
    <t>0208362-0</t>
  </si>
  <si>
    <t>0213502-1</t>
  </si>
  <si>
    <t>0213977-8</t>
  </si>
  <si>
    <t>0209892-9</t>
  </si>
  <si>
    <t>0214958-9</t>
  </si>
  <si>
    <t>1807931-9</t>
  </si>
  <si>
    <t>0208201-1</t>
  </si>
  <si>
    <t>1637771-8</t>
  </si>
  <si>
    <t>0210010-1</t>
  </si>
  <si>
    <t>0242746-2</t>
  </si>
  <si>
    <t>0942165-3</t>
  </si>
  <si>
    <t>1605076-6</t>
  </si>
  <si>
    <t>0167924-6</t>
  </si>
  <si>
    <t>0207390-8</t>
  </si>
  <si>
    <t>0207329-7</t>
  </si>
  <si>
    <t>0201375-3</t>
  </si>
  <si>
    <t>2627679-3</t>
  </si>
  <si>
    <t>2250205-2</t>
  </si>
  <si>
    <t>0200004-7</t>
  </si>
  <si>
    <t>0201252-3</t>
  </si>
  <si>
    <t>0934732-6</t>
  </si>
  <si>
    <t>2162576-3</t>
  </si>
  <si>
    <t>0201256-6</t>
  </si>
  <si>
    <t>1778388-1</t>
  </si>
  <si>
    <t>1055483-2</t>
  </si>
  <si>
    <t>0209770-7</t>
  </si>
  <si>
    <t>0734567-7</t>
  </si>
  <si>
    <t>0209492-8</t>
  </si>
  <si>
    <t>2334857-9</t>
  </si>
  <si>
    <t>0203717-3</t>
  </si>
  <si>
    <t>2249317-6</t>
  </si>
  <si>
    <t>Etelä-Karjala</t>
  </si>
  <si>
    <t>1027740-9</t>
  </si>
  <si>
    <t>0502454-6</t>
  </si>
  <si>
    <t>2189108-4</t>
  </si>
  <si>
    <t>2064886-7</t>
  </si>
  <si>
    <t>0211060-9</t>
  </si>
  <si>
    <t>2767840-1</t>
  </si>
  <si>
    <t>2811092-2</t>
  </si>
  <si>
    <t>0150951-1</t>
  </si>
  <si>
    <t>0155402-1</t>
  </si>
  <si>
    <t>Nimi</t>
  </si>
  <si>
    <t>Y-tunnus</t>
  </si>
  <si>
    <t>KOULUTUKSEN JÄRJESTÄJÄ</t>
  </si>
  <si>
    <t>kuntayhtymä</t>
  </si>
  <si>
    <t>yksityinen</t>
  </si>
  <si>
    <t>kunta</t>
  </si>
  <si>
    <t>Vaikuttavuusrahoitus</t>
  </si>
  <si>
    <t>5 Päättäneet  opiskelijapalaute</t>
  </si>
  <si>
    <t>Opiskelijapalaute</t>
  </si>
  <si>
    <t>Päättäneet</t>
  </si>
  <si>
    <t>Omistajatyyppi</t>
  </si>
  <si>
    <t>Maakunta</t>
  </si>
  <si>
    <t>Suoritus-rahoitus</t>
  </si>
  <si>
    <t>Vaikuttavuus-rahoitus yhteensä</t>
  </si>
  <si>
    <t>-josta työllistyneet ja jatko-opiskelijat</t>
  </si>
  <si>
    <t>-josta aloittaneet opiskelija-palaute</t>
  </si>
  <si>
    <t>-josta päättäneet opiskelija-palaute</t>
  </si>
  <si>
    <t>Perusrahoitus yht.</t>
  </si>
  <si>
    <t>Perus-rahoituksesta</t>
  </si>
  <si>
    <t>Vaikuttavuus-rahoituksesta</t>
  </si>
  <si>
    <t>Opiskelija-palaute-osuudesta</t>
  </si>
  <si>
    <t>Laskennalli-sesta</t>
  </si>
  <si>
    <t>Kaikesta 
(pl. alv)</t>
  </si>
  <si>
    <t>Summa</t>
  </si>
  <si>
    <t>Keskimääräinen profiilikerroin</t>
  </si>
  <si>
    <t>Kunta</t>
  </si>
  <si>
    <t>Yksityinen</t>
  </si>
  <si>
    <t>Järjestäjien kokonais-määrä</t>
  </si>
  <si>
    <t>Kunta-yhtymä</t>
  </si>
  <si>
    <t>Kaikki summat pl. alv sekä myöhemmin varainhoitovuonna jaettava osa</t>
  </si>
  <si>
    <t>Painottamattomat opiskelijavuodet yhteensä</t>
  </si>
  <si>
    <t>Painottamattomat opiskelijavuodet (pl. muu koulutus)</t>
  </si>
  <si>
    <t>Muun koulutuksen painottamattomat opiskelijavuodet</t>
  </si>
  <si>
    <t>Huom. osa järjestäjistä toimii usealla maakunnalla, joten jaottelu on vain suuntaa antava</t>
  </si>
  <si>
    <t>Tutkintojen painotetut pisteet yhteensä</t>
  </si>
  <si>
    <t>Tutkinnon osien painotetut osaamispisteet yhteensä</t>
  </si>
  <si>
    <t>Varainhoitovuoden jakovara ja oikaisuvähennys (-)</t>
  </si>
  <si>
    <t>Kuopion Talouskoulun Kannatusyhdistys ry</t>
  </si>
  <si>
    <t>Perusrahoitus yhteensä</t>
  </si>
  <si>
    <t>Suoritusrahoitus yhteensä</t>
  </si>
  <si>
    <t>Vaikuttavuusrahoitus yhteensä</t>
  </si>
  <si>
    <t>Suoritusrahoitus, €</t>
  </si>
  <si>
    <t>Työllistymiseen ja jatko-opintoihin siirtymiseen perustuva sekä opiskelija-palautteisiin perustuva, €</t>
  </si>
  <si>
    <t>Perus-, suoritus- ja vaikuttavuusrahoitus yhteensä, €</t>
  </si>
  <si>
    <t>Alv-korvaus, €</t>
  </si>
  <si>
    <t>Järjestämisluvan opisk.vuosien vähimmäismäärä</t>
  </si>
  <si>
    <t>Muutos, € 1</t>
  </si>
  <si>
    <t>Muutos, % 1</t>
  </si>
  <si>
    <t>Muutos, € 2</t>
  </si>
  <si>
    <t>Muutos, % 2</t>
  </si>
  <si>
    <t>Muutos, % 3</t>
  </si>
  <si>
    <t>Muutos, € 3</t>
  </si>
  <si>
    <t>Kieli</t>
  </si>
  <si>
    <t>suomenkielinen</t>
  </si>
  <si>
    <t>ruotsinkielinen</t>
  </si>
  <si>
    <t>kaksikielinen (s)</t>
  </si>
  <si>
    <t>Tutkintojen ja tutkinnon osien painotetut pisteet, järj. %-osuus</t>
  </si>
  <si>
    <t>3008326-5</t>
  </si>
  <si>
    <t>AEL-Amiedu Oy</t>
  </si>
  <si>
    <t>2962876-6</t>
  </si>
  <si>
    <t>Turun musiikinopetus Oy</t>
  </si>
  <si>
    <t>Fria Kristliga Folkhögskolföreningen FKF rf</t>
  </si>
  <si>
    <t xml:space="preserve"> Y-tunnus</t>
  </si>
  <si>
    <t>Painotetut
tavoitteelliset
opiskelijavuodet</t>
  </si>
  <si>
    <t>Perusrahoitus
yhteensä, €</t>
  </si>
  <si>
    <t>Tutkintojen
määrä</t>
  </si>
  <si>
    <t>Tutkintojen painotetut
pisteet</t>
  </si>
  <si>
    <t>Tutkinnon osien osaamispisteet</t>
  </si>
  <si>
    <t>Tutkinnon osien painotetut osaamispisteet</t>
  </si>
  <si>
    <t>Työllistyneet ja jatko-opintoihin siirtyneet</t>
  </si>
  <si>
    <t>Työllistyneet ja jatko-opintoihin siirtyneet, painotetut pisteet</t>
  </si>
  <si>
    <t>Työllistyneet ja jatko-opintoihin siirtyneet, €</t>
  </si>
  <si>
    <t>Opiskelunsa aloittaneiden palautteen pisteet</t>
  </si>
  <si>
    <t>Opiskelunsa aloittaneiden palautteen painotetut pisteet</t>
  </si>
  <si>
    <t>Opiskelunsa päättäneiden palautteen pisteet</t>
  </si>
  <si>
    <t>Opiskelunsa päättäneiden palautteen painotetut pisteet</t>
  </si>
  <si>
    <t>-josta työvoima-koulutus</t>
  </si>
  <si>
    <t>Raportti yhteensä</t>
  </si>
  <si>
    <t>Harkinnan-varainen
korotus, €</t>
  </si>
  <si>
    <t>Tavoitteellinen
opiskelija-vuosimäärä</t>
  </si>
  <si>
    <t>Suoritus-rahoitus
yhteensä, €</t>
  </si>
  <si>
    <t>Opiskelunsa päättäneiden opiskelija-palaute, €</t>
  </si>
  <si>
    <t>Vaikuttavuus-rahoitus
yhteensä, €</t>
  </si>
  <si>
    <t>Kyselyn kohteet (Rahoitus)</t>
  </si>
  <si>
    <t>Vastanneet (Rahoitus)</t>
  </si>
  <si>
    <t>Vastausosuus (Rahoitus)</t>
  </si>
  <si>
    <t>Korjauskerroin (Rahoitus)</t>
  </si>
  <si>
    <t>Keskiarvo (Rahoitus)</t>
  </si>
  <si>
    <t>Pisteet (Rahoitus)</t>
  </si>
  <si>
    <t>Painotetut pisteet (Rahoitus)</t>
  </si>
  <si>
    <t>Painotetut pisteet % (Rahoitus)</t>
  </si>
  <si>
    <t>Yhteensä Kyselyn kohteet (Rahoitus)</t>
  </si>
  <si>
    <t>Yhteensä Vastanneet (Rahoitus)</t>
  </si>
  <si>
    <t>Yhteensä Vastausosuus (Rahoitus)</t>
  </si>
  <si>
    <t>Yhteensä Keskiarvo (Rahoitus)</t>
  </si>
  <si>
    <t>Yhteensä Pisteet (Rahoitus)</t>
  </si>
  <si>
    <t>Suoriteperusteinen (opiskelijavuosiin perustuva) sekä harkinnanvarainen korotus, €</t>
  </si>
  <si>
    <t>ARVONLISÄVEROKORVAUS</t>
  </si>
  <si>
    <t>Kaikki summat pl. myöhemmin varainhoitovuonna jaettava osa</t>
  </si>
  <si>
    <t>Varsinaisella suoritepäätöksellä jaettava lask. rahoitus yhteensä</t>
  </si>
  <si>
    <t>Perusrahoitus</t>
  </si>
  <si>
    <t>Suorite-perusteinen perusrahoitus (pl. hark. kor.)</t>
  </si>
  <si>
    <t>Perusrahoitus yhteensä (ml. hark. kor.)</t>
  </si>
  <si>
    <t>Jaettava € 1</t>
  </si>
  <si>
    <t>Jaettava € 2</t>
  </si>
  <si>
    <t>Jaettava € 3</t>
  </si>
  <si>
    <t>Jaettava € 4</t>
  </si>
  <si>
    <t>Jaettava € 5</t>
  </si>
  <si>
    <t>Jaettava € 6</t>
  </si>
  <si>
    <t>Varsinaisella suoritepäätöksellä jaettava rahoitus (pl. alv)</t>
  </si>
  <si>
    <t>Varsinaisella suoritepäätöksellä jaettava suoriteperusteinen rahoitus (pl. alv.)</t>
  </si>
  <si>
    <t>Suomen Yrittäjäopisto Oy</t>
  </si>
  <si>
    <t>Keski-Pohjanmaan Konservatorion Kannatusyhdistys ry</t>
  </si>
  <si>
    <t>Jakotaulu, varsinainen suoritepäätös</t>
  </si>
  <si>
    <t>Rastor-instituutti ry</t>
  </si>
  <si>
    <t>Kisakeskussäätiö sr</t>
  </si>
  <si>
    <t>Koulutuskuntayhtymä OSAO</t>
  </si>
  <si>
    <t>Työtehoseura ry, ruotsiksi Arbetseffektivitetsföreningen rf</t>
  </si>
  <si>
    <t>Jyväskylän koulutuskuntayhtymä Gradia</t>
  </si>
  <si>
    <t>Mercuria kauppaoppilaitos Oy</t>
  </si>
  <si>
    <t>Painotetut pisteet yhteensä</t>
  </si>
  <si>
    <t>Työllisten ja opiskelijoiden painotetut pisteet %-osuus järjestäjittäin</t>
  </si>
  <si>
    <t>Oppivelvollisuuden mukaan painotetut opiskelijavuodet</t>
  </si>
  <si>
    <t>Erityistuen hyväksytyt painotetut opiskelijavuodet</t>
  </si>
  <si>
    <t>Majoituksen hyväksytyt painotetut opiskelijavuodet</t>
  </si>
  <si>
    <t>Yhteensä Korjauskerroin (Rahoitus)</t>
  </si>
  <si>
    <t>Yhteensä Painotetut pisteet (Rahoitus)</t>
  </si>
  <si>
    <t>Yhteensä Painotetut pisteet % (Rahoitus)</t>
  </si>
  <si>
    <t>Perusrahoituksen muutos, €</t>
  </si>
  <si>
    <t>Suoritusrahoituksen muutos, €</t>
  </si>
  <si>
    <t>Suoritusrahoituksen muutos, %</t>
  </si>
  <si>
    <t>Perusrahoituksen muutos, %</t>
  </si>
  <si>
    <t>Vaikuttavuusrahoituksen muutos, €</t>
  </si>
  <si>
    <t>Vaikuttavuusrahoituksen muutos, %</t>
  </si>
  <si>
    <t>Tavoitteelliset opiskelija-vuodet</t>
  </si>
  <si>
    <t>Ammatillisen koulutuksen rahoitus + alv-kompensaatio</t>
  </si>
  <si>
    <t>Ammatillisen koulutuksen rahoitus</t>
  </si>
  <si>
    <t>Laskennallinen rahoitus</t>
  </si>
  <si>
    <t>Laskennallinen rahoitus pl. harkinnanvaraisena korotuksena myönnettävä määräaikainen lisämääräraha
(suoritus- ja vaikuttavuusrahoituksen ulkopuolinen osuus laskennallisesta rahoituksesta)</t>
  </si>
  <si>
    <t>Suoriteperusteinen perusrahoitus (ennen varainhoitovuoden jakovara- ja oikaisuvähennystä)</t>
  </si>
  <si>
    <t>Suoriteperusteinen perusrahoitus (jakovara- ja oikaisuvähennyksen jälkeen)</t>
  </si>
  <si>
    <t>SUMMALUKUJA MAAKUNNITTAIN KOULUTUKSEN JÄRJESTÄJIEN KOTIPAIKKAKUNNAN MUKAISESTI</t>
  </si>
  <si>
    <t>Arvonlisävero-korvaus, €</t>
  </si>
  <si>
    <t>Opiskelunsa aloittaneiden opiskelija-
palaute, €</t>
  </si>
  <si>
    <t>Laskennallinen rahoitus
yhteensä
(ei sis. alv), €</t>
  </si>
  <si>
    <t>Suomen Nuoriso-opiston Kannatusyhdistys ry</t>
  </si>
  <si>
    <t>Live-säätiö sr</t>
  </si>
  <si>
    <t>Koulutuskuntayhtymä Brahe</t>
  </si>
  <si>
    <t>Fintraffic Lennonvarmistus Oy</t>
  </si>
  <si>
    <t>Laskentaan hyväksytyt painotetut osaamispisteet</t>
  </si>
  <si>
    <t>3213129-1</t>
  </si>
  <si>
    <t>Kouvolan Ammattiopisto Oy</t>
  </si>
  <si>
    <t>https://vipunen.fi/fi-fi/_layouts/15/xlviewer.aspx?id=/fi-fi/Raportit/Koski%20opiskelijavuodet.xlsb</t>
  </si>
  <si>
    <t>https://vipunen.fi/fi-fi/_layouts/15/xlviewer.aspx?id=/fi-fi/Raportit/Koski%20tutkinnot%20ja%20tutkinnon%20osat%20painotetut.xlsb</t>
  </si>
  <si>
    <t>Tutkinnon suorittaneet</t>
  </si>
  <si>
    <t>Tutkinnon suorittaneet työllistyneet</t>
  </si>
  <si>
    <t>Tutkinnon suorittaneet jatko-opiskelijat</t>
  </si>
  <si>
    <t>Tutkinnon osia suorittaneet työllistyneet</t>
  </si>
  <si>
    <t>Tutkinnon osia suorittaneet jatko-opiskelijat</t>
  </si>
  <si>
    <t>Tutkinnon suorittaneet työllistyneet, painotetut pisteet</t>
  </si>
  <si>
    <t>Tutkinnon suorittaneet jatko-opiskelijat, painotetut pisteet</t>
  </si>
  <si>
    <t>Tutkinnon osia suorittaneet työllistyneet, painotetut pisteet</t>
  </si>
  <si>
    <t>Tutkinnon osia suorittaneet jatko-opiskelijat, painotetut pisteet</t>
  </si>
  <si>
    <t>https://vipunen.fi/fi-fi/_layouts/15/xlviewer.aspx?id=/fi-fi/Raportit/Rahoitusperusteraportti%20(ty%C3%B6llistyneet%20ja%20jatko-opiskelijat)%20uusi.xlsb</t>
  </si>
  <si>
    <t>https://vipunen.fi/fi-fi/_layouts/15/xlviewer.aspx?id=/fi-fi/Raportit/Ammatillinen%20koulutus%20-%20opiskelijapalaute%20-%20rahoitusmalli%20-%20vahvistetut%20-%20p%C3%A4%C3%A4tt%C3%B6kysely.xlsb</t>
  </si>
  <si>
    <t>3240571-5</t>
  </si>
  <si>
    <t>Ammattiopisto Luovi Oy</t>
  </si>
  <si>
    <t>3250102-9</t>
  </si>
  <si>
    <t>Kolmen kampuksen urheiluopisto Oy</t>
  </si>
  <si>
    <t>Kolmen kampuksen urheiluopisto oy</t>
  </si>
  <si>
    <t>Pohjois-Satakunnan kansanopiston kannatusyhdistys ry</t>
  </si>
  <si>
    <t>AVA-instituutin Kannatusyhdistys ry</t>
  </si>
  <si>
    <t>Haapaveden Opiston Kannatusyhdistys ry</t>
  </si>
  <si>
    <t>Karstulan Evankelisen Kansanopiston Kannatusyhdistys ry</t>
  </si>
  <si>
    <t>Kuopion konservatorion kannatusyhdistys r.y.</t>
  </si>
  <si>
    <t>Maalariammattikoulun Kannatusyhdistys r.y.</t>
  </si>
  <si>
    <t>Peräpohjolan Kansanopiston Kannatusyhdistys ry</t>
  </si>
  <si>
    <t>Valkealan Kristillisen Kansanopiston Kannatusyhdistys r.y.</t>
  </si>
  <si>
    <t>Pisteet % (Rahoitus)</t>
  </si>
  <si>
    <t>https://vipunen.fi/fi-fi/_layouts/15/xlviewer.aspx?id=/fi-fi/Raportit/Ammatillinen%20koulutus%20-%20rahoitusperusteet%20ja%20kustannukset%20-%20ty%C3%B6el%C3%A4m%C3%A4palaute%20-%20ty%C3%B6paikkaohjaajakysely.xlsb</t>
  </si>
  <si>
    <t>6 Työpaikkaohjaajakysely</t>
  </si>
  <si>
    <t>7 Työpaikkakysely</t>
  </si>
  <si>
    <t>8 Lask.rah.yht. pl. hark.</t>
  </si>
  <si>
    <t>Painotetut pisteet 6</t>
  </si>
  <si>
    <t>%-osuus 7</t>
  </si>
  <si>
    <t>Jaettava € 7</t>
  </si>
  <si>
    <t>%-osuus 8</t>
  </si>
  <si>
    <t>Jaettava € 8</t>
  </si>
  <si>
    <t>Työpaikkaohjaakysely</t>
  </si>
  <si>
    <t>Työpaikkakysely</t>
  </si>
  <si>
    <t>Työelämäpalaute</t>
  </si>
  <si>
    <t>Työllistymiseen ja jatko-opintoihin siirtymiseen, opiskelijapalautteiseen sekä työelämäpalautteeseen perustuva, €</t>
  </si>
  <si>
    <t>1 Erityisen kalliin koulutuksen järjestämisen turvaamiseksi</t>
  </si>
  <si>
    <t>2 Yksittäisen koulutuksen järjestämisen turvaamiseksi tilapäisestä tai yksilöidystä erityisen perustellusta syystä</t>
  </si>
  <si>
    <t>3 Kokonaistaloudellisen tilanteen perusteella</t>
  </si>
  <si>
    <t>-josta työpaikka-ohjaajakysely</t>
  </si>
  <si>
    <t>-josta työpaikka-kysely</t>
  </si>
  <si>
    <t>Katokorjauskerroin (Rahoitus)</t>
  </si>
  <si>
    <t>Pisteet 7</t>
  </si>
  <si>
    <t>Työpaikka-ohjaaja-kyselyn pisteet</t>
  </si>
  <si>
    <t>Työpaikka-ohjaajakyselyn painotetut pisteet</t>
  </si>
  <si>
    <t>Työpaikka-kyselyn pisteet</t>
  </si>
  <si>
    <t>Työpaikka-kysely, €</t>
  </si>
  <si>
    <t>Perusrahoitus
tavoitteellisten
opiskelijavuosien
perusteella, €</t>
  </si>
  <si>
    <t>Työpaikka-ohjaaja-
kysely, €</t>
  </si>
  <si>
    <t>Ammatillisen koulutuksen vuoden 2024 varsinaisen suoritepäätöksen liiteraportti (liite 1)</t>
  </si>
  <si>
    <t>Kustannusryhmän mukaan painotetut VALMA&amp;TUVA&amp;TELMA opiskelijavuodet</t>
  </si>
  <si>
    <t>Raudaskylän Kristillinen Opisto ry</t>
  </si>
  <si>
    <t>https://vipunen.fi/fi-fi/_layouts/15/xlviewer.aspx?id=/fi-fi/Raportit/Ammatillinen%20koulutus%20-%20opiskelijapalaute%20-%20rahoitusmalli%20-%20vahvistetut%20-%20aloituskysely.xlsb</t>
  </si>
  <si>
    <t>Vaikuttavuusrahoitus 2024, €</t>
  </si>
  <si>
    <t>Suoritusrahoitus 2024, €</t>
  </si>
  <si>
    <t>Perusrahoitus 2024, €</t>
  </si>
  <si>
    <t>Rahoitus ml. hark. kor. + alv 2024, €</t>
  </si>
  <si>
    <t>Rahoitus ml. hark. kor. 
2024 ilman alv, €</t>
  </si>
  <si>
    <t>Rahoitus pl. hark. kor. 2024 ilman alv, €</t>
  </si>
  <si>
    <t>AMMATILLISEN KOULUTUKSEN VUODEN 2024 VARSINAISEN SUORITEPÄÄTÖKSEN LIITERAPORTTI</t>
  </si>
  <si>
    <t>Turun konservatorio Oy</t>
  </si>
  <si>
    <t>Kanneljärven Kansanopiston Kannatusyhdistys r.y.</t>
  </si>
  <si>
    <t>5 Urheilijoiden ammatillisen koulutuksen tukeminen</t>
  </si>
  <si>
    <t>6 Harkinnanvarainen korotus yhteensä</t>
  </si>
  <si>
    <t>4 Työpaikkaohjaajien koulutuksen lisääminen ja kehittäminen</t>
  </si>
  <si>
    <t>0204964-1X</t>
  </si>
  <si>
    <t>Rahoitus pl. hark. kor. 2025 ilman alv, €</t>
  </si>
  <si>
    <t>Rahoitus ml. hark. kor. 
2025 ilman alv, €</t>
  </si>
  <si>
    <t>Rahoitus ml. hark. kor. + alv 2025, €</t>
  </si>
  <si>
    <t>Perusrahoitus 2025, €</t>
  </si>
  <si>
    <t>Suoritusrahoitus 2025, €</t>
  </si>
  <si>
    <t>Vaikuttavuusrahoitus 2025, €</t>
  </si>
  <si>
    <t>Rahoituksen muutos vuodesta 2024 vuoteen 2025 (pl. hark. kor.)</t>
  </si>
  <si>
    <t>Rahoituksen muutos vuodesta 2024 vuoteen 2025 (ml. hark. kor.)</t>
  </si>
  <si>
    <t>Rahoituksen muutos vuodesta 2024 vuoteen 2025 (ml. hark. kor.) + alv-korvaus</t>
  </si>
  <si>
    <t>Perusrahoituksen muutos vuodesta 2024 vuoteen 2025</t>
  </si>
  <si>
    <t>Suoritusrahoituksen muutos vuodesta 2024 vuoteen 2025</t>
  </si>
  <si>
    <t>Vaikuttavuusrahoituksen muutos vuodesta 2024 vuoteen 2025</t>
  </si>
  <si>
    <t>Suupohjan koulutus- ja työllisyyskuntayhtymä</t>
  </si>
  <si>
    <t>Jakotaulun lukuja voi muokata keltaisella pohjalla olevien euromäärien ja rahoitusosuuksien kautta. Muut solut määräytyvät niiden perusteella.</t>
  </si>
  <si>
    <t>SUORITEPERUSTEINEN LASKENNALLINEN RAHOITUS</t>
  </si>
  <si>
    <t>Järjestämisluvan opisk.vuosien vähimmäismäärä (ei noudateta 2025)</t>
  </si>
  <si>
    <t>Harkinnanvarainen korotus 1, €</t>
  </si>
  <si>
    <t>Harkinnanvarainen korotus 2, €</t>
  </si>
  <si>
    <t>Harkinnanvarainen korotus 3, €</t>
  </si>
  <si>
    <t>Harkinnanvarainen korotus 4, €</t>
  </si>
  <si>
    <t>Harkinnanvarainen korotus 5, €</t>
  </si>
  <si>
    <t>Harkinnanvarainen korotus yhteensä, €</t>
  </si>
  <si>
    <t>PERUSRAHOITUKSEN HARKINNANVARAISET KOROTUKSET</t>
  </si>
  <si>
    <t>LASKENNALLINEN RAHOITUS YHTEENSÄ</t>
  </si>
  <si>
    <t>(huom. perusrahoituksen myöhemmin varainhoitovuoden aikana jaettavan osan puuttuminen laskee perusrahoituksen osuutta ja korostaa muita, siksi rahoitusosuudet ei summarivillä 70/20/10)</t>
  </si>
  <si>
    <t>VARSINAISELLA SUORITEPÄÄTÖKSELLÄ JAETTAVAN LASKENNALLISEN RAHOITUKSEN OSIEN SUHDE JÄRJESTÄJITTÄIN</t>
  </si>
  <si>
    <t>VERTAILU VUODEN 2024 VARSINAISEN SUORITEPÄÄTÖKSEN RAHOITUKSEEN</t>
  </si>
  <si>
    <t>VERTAILU VUODEN 2024 VARSINAISEN SUORITEPÄÄTÖKSEN RAHOITUKSEEN RAHOITUSOSUUKSITTAIN</t>
  </si>
  <si>
    <t>Mukana oikaisu- ja korjauspäätökset</t>
  </si>
  <si>
    <t>https://vipunen.fi/fi-fi/_layouts/15/xlviewer.aspx?id=/fi-fi/Raportit/Ammatillinen%20koulutus%20-%20rahoitusperusteet%20ja%20kustannukset%20-%20ty%C3%B6el%C3%A4m%C3%A4palaute%20-%20ty%C3%B6paikkakysely.xlsb</t>
  </si>
  <si>
    <t>LASKENNALLINEN RAHOITUS YHTEENSÄ + ALV-KORVAUS</t>
  </si>
  <si>
    <t>Laskennallinen rahoitus + 
alv-korvaus, €</t>
  </si>
  <si>
    <r>
      <t xml:space="preserve">KOULUTUKSEN JÄRJESTÄJÄ
</t>
    </r>
    <r>
      <rPr>
        <sz val="9"/>
        <rFont val="Calibri"/>
        <family val="2"/>
        <scheme val="minor"/>
      </rPr>
      <t>(myös vuoden 2024 luvuissa mukana vain koulutuksen järjestäjät joilla järjestämislupa 1.1.2025 lukien)</t>
    </r>
  </si>
  <si>
    <t>Myös vuoden 2024 luvuissa mukana vain koulutuksen järjestäjät joilla järjestämislupa 1.1.2025 lukien.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</si>
</sst>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\ %;\-0.00\ %;0.00\ %"/>
    <numFmt numFmtId="166" formatCode="0.0000"/>
    <numFmt numFmtId="167" formatCode="#,##0.0"/>
    <numFmt numFmtId="168" formatCode="0.00000"/>
    <numFmt numFmtId="169" formatCode="0.000\ %"/>
    <numFmt numFmtId="170" formatCode="#,##0.00000"/>
    <numFmt numFmtId="171" formatCode="#,##0\ &quot;€&quot;"/>
    <numFmt numFmtId="173" formatCode="0\ %;\-0\ %;0\ %"/>
    <numFmt numFmtId="174" formatCode="#,##0.000"/>
    <numFmt numFmtId="175" formatCode="0.0"/>
    <numFmt numFmtId="179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</font>
    <font>
      <sz val="9"/>
      <color theme="1"/>
      <name val="Arial"/>
    </font>
    <font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7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8" fillId="0" borderId="0" xfId="0" applyFont="1" applyFill="1" applyBorder="1"/>
    <xf numFmtId="168" fontId="3" fillId="0" borderId="0" xfId="0" applyNumberFormat="1" applyFont="1" applyBorder="1"/>
    <xf numFmtId="10" fontId="3" fillId="0" borderId="0" xfId="2" applyNumberFormat="1" applyFont="1" applyBorder="1"/>
    <xf numFmtId="3" fontId="3" fillId="0" borderId="0" xfId="0" applyNumberFormat="1" applyFont="1" applyBorder="1"/>
    <xf numFmtId="3" fontId="3" fillId="0" borderId="4" xfId="0" applyNumberFormat="1" applyFont="1" applyBorder="1"/>
    <xf numFmtId="10" fontId="3" fillId="0" borderId="4" xfId="2" applyNumberFormat="1" applyFont="1" applyBorder="1"/>
    <xf numFmtId="10" fontId="3" fillId="0" borderId="0" xfId="0" applyNumberFormat="1" applyFont="1" applyBorder="1"/>
    <xf numFmtId="0" fontId="3" fillId="3" borderId="0" xfId="0" applyFont="1" applyFill="1" applyBorder="1"/>
    <xf numFmtId="0" fontId="3" fillId="0" borderId="0" xfId="0" applyFont="1"/>
    <xf numFmtId="3" fontId="3" fillId="0" borderId="1" xfId="0" applyNumberFormat="1" applyFont="1" applyBorder="1"/>
    <xf numFmtId="0" fontId="3" fillId="11" borderId="0" xfId="0" applyFont="1" applyFill="1" applyBorder="1" applyAlignment="1">
      <alignment wrapText="1"/>
    </xf>
    <xf numFmtId="2" fontId="3" fillId="11" borderId="0" xfId="0" applyNumberFormat="1" applyFont="1" applyFill="1" applyBorder="1" applyAlignment="1">
      <alignment wrapText="1"/>
    </xf>
    <xf numFmtId="0" fontId="3" fillId="11" borderId="4" xfId="0" applyFont="1" applyFill="1" applyBorder="1" applyAlignment="1">
      <alignment horizontal="center" wrapText="1"/>
    </xf>
    <xf numFmtId="0" fontId="3" fillId="11" borderId="0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/>
    <xf numFmtId="0" fontId="7" fillId="5" borderId="4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3" fontId="3" fillId="0" borderId="0" xfId="0" applyNumberFormat="1" applyFont="1" applyFill="1" applyBorder="1"/>
    <xf numFmtId="3" fontId="3" fillId="0" borderId="5" xfId="0" applyNumberFormat="1" applyFont="1" applyBorder="1"/>
    <xf numFmtId="10" fontId="3" fillId="0" borderId="1" xfId="2" applyNumberFormat="1" applyFont="1" applyBorder="1"/>
    <xf numFmtId="0" fontId="10" fillId="13" borderId="14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2" borderId="0" xfId="0" quotePrefix="1" applyFont="1" applyFill="1" applyBorder="1" applyAlignment="1">
      <alignment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10" fontId="3" fillId="0" borderId="5" xfId="2" applyNumberFormat="1" applyFont="1" applyBorder="1"/>
    <xf numFmtId="0" fontId="11" fillId="0" borderId="0" xfId="0" applyFont="1"/>
    <xf numFmtId="0" fontId="0" fillId="0" borderId="0" xfId="0" applyBorder="1"/>
    <xf numFmtId="0" fontId="0" fillId="0" borderId="6" xfId="0" applyBorder="1"/>
    <xf numFmtId="0" fontId="0" fillId="0" borderId="0" xfId="0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9" xfId="0" applyBorder="1"/>
    <xf numFmtId="169" fontId="11" fillId="0" borderId="0" xfId="2" applyNumberFormat="1" applyFont="1" applyBorder="1" applyAlignment="1"/>
    <xf numFmtId="169" fontId="0" fillId="0" borderId="4" xfId="2" applyNumberFormat="1" applyFont="1" applyFill="1" applyBorder="1"/>
    <xf numFmtId="169" fontId="0" fillId="0" borderId="0" xfId="2" applyNumberFormat="1" applyFont="1" applyBorder="1"/>
    <xf numFmtId="169" fontId="0" fillId="0" borderId="0" xfId="2" applyNumberFormat="1" applyFont="1" applyFill="1" applyBorder="1"/>
    <xf numFmtId="0" fontId="0" fillId="0" borderId="12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3" xfId="0" applyFont="1" applyFill="1" applyBorder="1"/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9" fontId="0" fillId="0" borderId="1" xfId="2" applyNumberFormat="1" applyFont="1" applyBorder="1"/>
    <xf numFmtId="0" fontId="11" fillId="0" borderId="4" xfId="0" applyFont="1" applyBorder="1" applyAlignment="1">
      <alignment horizontal="left"/>
    </xf>
    <xf numFmtId="169" fontId="0" fillId="0" borderId="12" xfId="2" applyNumberFormat="1" applyFont="1" applyBorder="1"/>
    <xf numFmtId="169" fontId="0" fillId="0" borderId="9" xfId="2" applyNumberFormat="1" applyFont="1" applyBorder="1"/>
    <xf numFmtId="169" fontId="0" fillId="0" borderId="11" xfId="2" applyNumberFormat="1" applyFont="1" applyBorder="1"/>
    <xf numFmtId="169" fontId="0" fillId="0" borderId="6" xfId="2" applyNumberFormat="1" applyFont="1" applyBorder="1"/>
    <xf numFmtId="169" fontId="0" fillId="0" borderId="4" xfId="2" applyNumberFormat="1" applyFont="1" applyBorder="1"/>
    <xf numFmtId="169" fontId="0" fillId="0" borderId="7" xfId="2" applyNumberFormat="1" applyFont="1" applyBorder="1"/>
    <xf numFmtId="0" fontId="5" fillId="3" borderId="0" xfId="0" applyFont="1" applyFill="1" applyBorder="1" applyAlignment="1">
      <alignment vertical="top" wrapText="1"/>
    </xf>
    <xf numFmtId="0" fontId="3" fillId="11" borderId="4" xfId="0" applyFont="1" applyFill="1" applyBorder="1" applyAlignment="1">
      <alignment wrapText="1"/>
    </xf>
    <xf numFmtId="3" fontId="0" fillId="0" borderId="0" xfId="0" applyNumberFormat="1" applyBorder="1"/>
    <xf numFmtId="0" fontId="0" fillId="0" borderId="4" xfId="0" applyBorder="1" applyAlignment="1">
      <alignment horizontal="left"/>
    </xf>
    <xf numFmtId="170" fontId="3" fillId="0" borderId="0" xfId="0" applyNumberFormat="1" applyFont="1" applyBorder="1"/>
    <xf numFmtId="167" fontId="3" fillId="0" borderId="0" xfId="0" applyNumberFormat="1" applyFont="1" applyBorder="1"/>
    <xf numFmtId="3" fontId="0" fillId="0" borderId="2" xfId="0" applyNumberFormat="1" applyBorder="1" applyAlignment="1">
      <alignment horizontal="center"/>
    </xf>
    <xf numFmtId="3" fontId="11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169" fontId="0" fillId="0" borderId="1" xfId="0" applyNumberFormat="1" applyBorder="1"/>
    <xf numFmtId="169" fontId="0" fillId="0" borderId="0" xfId="0" applyNumberFormat="1" applyBorder="1"/>
    <xf numFmtId="9" fontId="2" fillId="3" borderId="0" xfId="2" applyNumberFormat="1" applyFont="1" applyFill="1" applyBorder="1"/>
    <xf numFmtId="9" fontId="0" fillId="3" borderId="0" xfId="2" applyNumberFormat="1" applyFont="1" applyFill="1" applyBorder="1"/>
    <xf numFmtId="169" fontId="2" fillId="0" borderId="0" xfId="2" applyNumberFormat="1" applyFont="1" applyFill="1" applyBorder="1"/>
    <xf numFmtId="169" fontId="2" fillId="0" borderId="0" xfId="2" applyNumberFormat="1" applyFont="1" applyBorder="1"/>
    <xf numFmtId="3" fontId="0" fillId="3" borderId="0" xfId="0" applyNumberFormat="1" applyFont="1" applyFill="1" applyBorder="1"/>
    <xf numFmtId="3" fontId="0" fillId="3" borderId="9" xfId="0" applyNumberFormat="1" applyFont="1" applyFill="1" applyBorder="1"/>
    <xf numFmtId="0" fontId="4" fillId="0" borderId="0" xfId="0" applyFont="1" applyFill="1" applyBorder="1" applyAlignment="1">
      <alignment vertical="top"/>
    </xf>
    <xf numFmtId="0" fontId="3" fillId="0" borderId="0" xfId="0" applyFont="1" applyFill="1"/>
    <xf numFmtId="0" fontId="5" fillId="0" borderId="0" xfId="0" applyFont="1"/>
    <xf numFmtId="0" fontId="5" fillId="0" borderId="0" xfId="0" applyFont="1" applyFill="1" applyBorder="1"/>
    <xf numFmtId="6" fontId="7" fillId="5" borderId="4" xfId="0" applyNumberFormat="1" applyFont="1" applyFill="1" applyBorder="1" applyAlignment="1">
      <alignment wrapText="1"/>
    </xf>
    <xf numFmtId="169" fontId="0" fillId="0" borderId="4" xfId="0" applyNumberFormat="1" applyBorder="1" applyAlignment="1"/>
    <xf numFmtId="169" fontId="0" fillId="0" borderId="0" xfId="0" applyNumberFormat="1" applyBorder="1" applyAlignment="1"/>
    <xf numFmtId="169" fontId="0" fillId="0" borderId="1" xfId="0" applyNumberFormat="1" applyBorder="1" applyAlignment="1"/>
    <xf numFmtId="3" fontId="0" fillId="0" borderId="9" xfId="0" applyNumberFormat="1" applyFont="1" applyFill="1" applyBorder="1"/>
    <xf numFmtId="0" fontId="8" fillId="0" borderId="0" xfId="0" applyNumberFormat="1" applyFont="1" applyFill="1" applyBorder="1"/>
    <xf numFmtId="0" fontId="7" fillId="5" borderId="5" xfId="0" applyFont="1" applyFill="1" applyBorder="1" applyAlignment="1">
      <alignment wrapText="1"/>
    </xf>
    <xf numFmtId="3" fontId="5" fillId="0" borderId="2" xfId="0" applyNumberFormat="1" applyFont="1" applyBorder="1"/>
    <xf numFmtId="3" fontId="5" fillId="0" borderId="3" xfId="0" applyNumberFormat="1" applyFont="1" applyBorder="1"/>
    <xf numFmtId="0" fontId="4" fillId="0" borderId="0" xfId="0" applyFont="1" applyFill="1" applyBorder="1"/>
    <xf numFmtId="0" fontId="7" fillId="7" borderId="5" xfId="0" applyFont="1" applyFill="1" applyBorder="1" applyAlignment="1">
      <alignment wrapText="1"/>
    </xf>
    <xf numFmtId="3" fontId="3" fillId="0" borderId="5" xfId="0" applyNumberFormat="1" applyFont="1" applyFill="1" applyBorder="1"/>
    <xf numFmtId="0" fontId="13" fillId="0" borderId="0" xfId="0" applyFont="1"/>
    <xf numFmtId="3" fontId="3" fillId="0" borderId="4" xfId="0" applyNumberFormat="1" applyFont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0" fontId="5" fillId="0" borderId="0" xfId="0" applyFont="1" applyBorder="1"/>
    <xf numFmtId="0" fontId="12" fillId="0" borderId="0" xfId="0" applyFont="1"/>
    <xf numFmtId="169" fontId="0" fillId="0" borderId="6" xfId="2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wrapText="1"/>
    </xf>
    <xf numFmtId="4" fontId="0" fillId="0" borderId="0" xfId="0" applyNumberFormat="1"/>
    <xf numFmtId="3" fontId="0" fillId="0" borderId="0" xfId="0" applyNumberFormat="1"/>
    <xf numFmtId="0" fontId="5" fillId="15" borderId="4" xfId="0" applyFont="1" applyFill="1" applyBorder="1" applyAlignment="1">
      <alignment horizontal="left" vertical="center" wrapText="1"/>
    </xf>
    <xf numFmtId="0" fontId="6" fillId="1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0" fontId="3" fillId="0" borderId="10" xfId="2" applyNumberFormat="1" applyFont="1" applyBorder="1"/>
    <xf numFmtId="3" fontId="0" fillId="0" borderId="6" xfId="0" applyNumberFormat="1" applyFont="1" applyFill="1" applyBorder="1"/>
    <xf numFmtId="0" fontId="14" fillId="0" borderId="0" xfId="0" applyFont="1" applyFill="1" applyAlignment="1">
      <alignment horizontal="left"/>
    </xf>
    <xf numFmtId="4" fontId="14" fillId="0" borderId="0" xfId="0" applyNumberFormat="1" applyFont="1" applyFill="1" applyAlignment="1">
      <alignment horizontal="right"/>
    </xf>
    <xf numFmtId="0" fontId="15" fillId="0" borderId="0" xfId="0" applyFont="1"/>
    <xf numFmtId="0" fontId="3" fillId="0" borderId="12" xfId="0" applyFont="1" applyBorder="1"/>
    <xf numFmtId="0" fontId="3" fillId="0" borderId="9" xfId="0" applyFont="1" applyBorder="1"/>
    <xf numFmtId="0" fontId="3" fillId="0" borderId="4" xfId="0" applyFont="1" applyBorder="1"/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70" fontId="5" fillId="0" borderId="2" xfId="0" applyNumberFormat="1" applyFont="1" applyBorder="1"/>
    <xf numFmtId="167" fontId="5" fillId="0" borderId="2" xfId="0" applyNumberFormat="1" applyFont="1" applyBorder="1"/>
    <xf numFmtId="0" fontId="16" fillId="0" borderId="2" xfId="0" applyFont="1" applyFill="1" applyBorder="1"/>
    <xf numFmtId="0" fontId="16" fillId="0" borderId="3" xfId="0" applyFont="1" applyFill="1" applyBorder="1"/>
    <xf numFmtId="0" fontId="5" fillId="0" borderId="2" xfId="0" applyFont="1" applyBorder="1"/>
    <xf numFmtId="167" fontId="3" fillId="0" borderId="4" xfId="0" applyNumberFormat="1" applyFont="1" applyBorder="1"/>
    <xf numFmtId="167" fontId="3" fillId="0" borderId="0" xfId="1" applyNumberFormat="1" applyFont="1" applyBorder="1"/>
    <xf numFmtId="174" fontId="3" fillId="0" borderId="0" xfId="0" applyNumberFormat="1" applyFont="1"/>
    <xf numFmtId="12" fontId="11" fillId="0" borderId="0" xfId="0" applyNumberFormat="1" applyFont="1"/>
    <xf numFmtId="9" fontId="11" fillId="0" borderId="0" xfId="2" applyFont="1"/>
    <xf numFmtId="0" fontId="0" fillId="0" borderId="0" xfId="0"/>
    <xf numFmtId="10" fontId="5" fillId="0" borderId="2" xfId="0" applyNumberFormat="1" applyFont="1" applyBorder="1"/>
    <xf numFmtId="10" fontId="5" fillId="0" borderId="8" xfId="0" applyNumberFormat="1" applyFont="1" applyBorder="1"/>
    <xf numFmtId="3" fontId="5" fillId="0" borderId="8" xfId="0" applyNumberFormat="1" applyFont="1" applyBorder="1"/>
    <xf numFmtId="3" fontId="5" fillId="0" borderId="13" xfId="0" applyNumberFormat="1" applyFont="1" applyBorder="1"/>
    <xf numFmtId="6" fontId="7" fillId="11" borderId="4" xfId="0" applyNumberFormat="1" applyFont="1" applyFill="1" applyBorder="1" applyAlignment="1">
      <alignment wrapText="1"/>
    </xf>
    <xf numFmtId="0" fontId="7" fillId="11" borderId="4" xfId="0" applyFont="1" applyFill="1" applyBorder="1" applyAlignment="1">
      <alignment wrapText="1"/>
    </xf>
    <xf numFmtId="0" fontId="7" fillId="11" borderId="1" xfId="0" applyFont="1" applyFill="1" applyBorder="1" applyAlignment="1">
      <alignment wrapText="1"/>
    </xf>
    <xf numFmtId="10" fontId="5" fillId="0" borderId="3" xfId="0" applyNumberFormat="1" applyFont="1" applyBorder="1"/>
    <xf numFmtId="3" fontId="0" fillId="3" borderId="0" xfId="0" applyNumberFormat="1" applyFill="1" applyBorder="1"/>
    <xf numFmtId="0" fontId="17" fillId="0" borderId="0" xfId="0" applyFont="1" applyFill="1" applyBorder="1"/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right" vertical="center" indent="3"/>
    </xf>
    <xf numFmtId="3" fontId="9" fillId="0" borderId="0" xfId="0" applyNumberFormat="1" applyFont="1" applyAlignment="1">
      <alignment horizontal="right" vertical="center" indent="3"/>
    </xf>
    <xf numFmtId="3" fontId="10" fillId="13" borderId="14" xfId="0" applyNumberFormat="1" applyFont="1" applyFill="1" applyBorder="1" applyAlignment="1">
      <alignment horizontal="right" vertical="center" indent="3"/>
    </xf>
    <xf numFmtId="0" fontId="6" fillId="12" borderId="0" xfId="0" applyFont="1" applyFill="1" applyBorder="1" applyAlignment="1">
      <alignment horizontal="left" vertical="center"/>
    </xf>
    <xf numFmtId="0" fontId="8" fillId="0" borderId="0" xfId="0" applyFont="1" applyFill="1"/>
    <xf numFmtId="3" fontId="3" fillId="0" borderId="0" xfId="0" applyNumberFormat="1" applyFont="1"/>
    <xf numFmtId="0" fontId="4" fillId="0" borderId="0" xfId="0" quotePrefix="1" applyFont="1" applyBorder="1"/>
    <xf numFmtId="0" fontId="15" fillId="0" borderId="4" xfId="0" applyFont="1" applyBorder="1" applyAlignment="1">
      <alignment horizontal="left"/>
    </xf>
    <xf numFmtId="167" fontId="3" fillId="0" borderId="0" xfId="0" applyNumberFormat="1" applyFont="1" applyFill="1" applyBorder="1"/>
    <xf numFmtId="169" fontId="0" fillId="0" borderId="0" xfId="0" applyNumberFormat="1"/>
    <xf numFmtId="10" fontId="0" fillId="0" borderId="0" xfId="2" applyNumberFormat="1" applyFont="1"/>
    <xf numFmtId="0" fontId="5" fillId="4" borderId="0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wrapText="1"/>
    </xf>
    <xf numFmtId="3" fontId="3" fillId="0" borderId="4" xfId="0" applyNumberFormat="1" applyFont="1" applyFill="1" applyBorder="1"/>
    <xf numFmtId="10" fontId="3" fillId="0" borderId="4" xfId="2" applyNumberFormat="1" applyFont="1" applyFill="1" applyBorder="1"/>
    <xf numFmtId="10" fontId="3" fillId="0" borderId="1" xfId="2" applyNumberFormat="1" applyFont="1" applyFill="1" applyBorder="1"/>
    <xf numFmtId="10" fontId="3" fillId="0" borderId="1" xfId="0" applyNumberFormat="1" applyFont="1" applyFill="1" applyBorder="1"/>
    <xf numFmtId="10" fontId="3" fillId="0" borderId="0" xfId="2" applyNumberFormat="1" applyFont="1" applyFill="1" applyBorder="1"/>
    <xf numFmtId="3" fontId="3" fillId="0" borderId="0" xfId="2" applyNumberFormat="1" applyFont="1" applyFill="1" applyBorder="1"/>
    <xf numFmtId="3" fontId="3" fillId="0" borderId="5" xfId="2" applyNumberFormat="1" applyFont="1" applyFill="1" applyBorder="1"/>
    <xf numFmtId="3" fontId="3" fillId="0" borderId="4" xfId="2" applyNumberFormat="1" applyFont="1" applyFill="1" applyBorder="1"/>
    <xf numFmtId="10" fontId="3" fillId="0" borderId="6" xfId="2" applyNumberFormat="1" applyFont="1" applyFill="1" applyBorder="1"/>
    <xf numFmtId="0" fontId="3" fillId="0" borderId="0" xfId="0" applyFont="1" applyAlignment="1">
      <alignment wrapText="1"/>
    </xf>
    <xf numFmtId="167" fontId="3" fillId="0" borderId="0" xfId="0" applyNumberFormat="1" applyFont="1"/>
    <xf numFmtId="0" fontId="0" fillId="0" borderId="0" xfId="0" applyBorder="1" applyAlignment="1">
      <alignment horizontal="left"/>
    </xf>
    <xf numFmtId="0" fontId="0" fillId="0" borderId="7" xfId="0" applyBorder="1"/>
    <xf numFmtId="3" fontId="0" fillId="3" borderId="7" xfId="0" applyNumberFormat="1" applyFont="1" applyFill="1" applyBorder="1"/>
    <xf numFmtId="3" fontId="0" fillId="0" borderId="10" xfId="0" applyNumberFormat="1" applyFont="1" applyFill="1" applyBorder="1"/>
    <xf numFmtId="169" fontId="0" fillId="0" borderId="10" xfId="2" applyNumberFormat="1" applyFont="1" applyBorder="1"/>
    <xf numFmtId="13" fontId="13" fillId="3" borderId="0" xfId="2" applyNumberFormat="1" applyFont="1" applyFill="1" applyBorder="1" applyAlignment="1">
      <alignment horizontal="right"/>
    </xf>
    <xf numFmtId="169" fontId="13" fillId="0" borderId="1" xfId="2" applyNumberFormat="1" applyFont="1" applyBorder="1"/>
    <xf numFmtId="169" fontId="13" fillId="0" borderId="0" xfId="2" applyNumberFormat="1" applyFont="1" applyBorder="1"/>
    <xf numFmtId="13" fontId="13" fillId="3" borderId="1" xfId="2" applyNumberFormat="1" applyFont="1" applyFill="1" applyBorder="1"/>
    <xf numFmtId="12" fontId="13" fillId="0" borderId="1" xfId="2" applyNumberFormat="1" applyFont="1" applyFill="1" applyBorder="1"/>
    <xf numFmtId="13" fontId="13" fillId="0" borderId="0" xfId="2" applyNumberFormat="1" applyFont="1" applyFill="1" applyBorder="1" applyAlignment="1">
      <alignment horizontal="right"/>
    </xf>
    <xf numFmtId="0" fontId="19" fillId="13" borderId="14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/>
    </xf>
    <xf numFmtId="3" fontId="5" fillId="0" borderId="2" xfId="0" applyNumberFormat="1" applyFont="1" applyFill="1" applyBorder="1"/>
    <xf numFmtId="167" fontId="5" fillId="0" borderId="8" xfId="0" applyNumberFormat="1" applyFont="1" applyBorder="1"/>
    <xf numFmtId="3" fontId="5" fillId="0" borderId="3" xfId="0" applyNumberFormat="1" applyFont="1" applyFill="1" applyBorder="1"/>
    <xf numFmtId="0" fontId="0" fillId="0" borderId="0" xfId="0" applyAlignment="1">
      <alignment horizontal="right"/>
    </xf>
    <xf numFmtId="0" fontId="20" fillId="13" borderId="15" xfId="0" applyFont="1" applyFill="1" applyBorder="1" applyAlignment="1">
      <alignment horizontal="left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20" fillId="13" borderId="0" xfId="0" applyFont="1" applyFill="1" applyAlignment="1">
      <alignment horizontal="left" vertical="center" wrapText="1"/>
    </xf>
    <xf numFmtId="0" fontId="20" fillId="13" borderId="16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indent="3"/>
    </xf>
    <xf numFmtId="166" fontId="10" fillId="0" borderId="0" xfId="0" applyNumberFormat="1" applyFont="1" applyAlignment="1">
      <alignment horizontal="right" vertical="center" indent="3"/>
    </xf>
    <xf numFmtId="4" fontId="9" fillId="0" borderId="0" xfId="0" applyNumberFormat="1" applyFont="1" applyAlignment="1">
      <alignment horizontal="right" vertical="center" indent="3"/>
    </xf>
    <xf numFmtId="166" fontId="9" fillId="0" borderId="0" xfId="0" applyNumberFormat="1" applyFont="1" applyAlignment="1">
      <alignment horizontal="right" vertical="center" indent="3"/>
    </xf>
    <xf numFmtId="4" fontId="10" fillId="13" borderId="14" xfId="0" applyNumberFormat="1" applyFont="1" applyFill="1" applyBorder="1" applyAlignment="1">
      <alignment horizontal="right" vertical="center" indent="3"/>
    </xf>
    <xf numFmtId="166" fontId="10" fillId="13" borderId="14" xfId="0" applyNumberFormat="1" applyFont="1" applyFill="1" applyBorder="1" applyAlignment="1">
      <alignment horizontal="right" vertical="center" indent="3"/>
    </xf>
    <xf numFmtId="165" fontId="10" fillId="0" borderId="0" xfId="0" applyNumberFormat="1" applyFont="1" applyAlignment="1">
      <alignment horizontal="right" vertical="center" indent="3"/>
    </xf>
    <xf numFmtId="165" fontId="9" fillId="0" borderId="0" xfId="0" applyNumberFormat="1" applyFont="1" applyAlignment="1">
      <alignment horizontal="right" vertical="center" indent="3"/>
    </xf>
    <xf numFmtId="165" fontId="10" fillId="13" borderId="14" xfId="0" applyNumberFormat="1" applyFont="1" applyFill="1" applyBorder="1" applyAlignment="1">
      <alignment horizontal="right" vertical="center" indent="3"/>
    </xf>
    <xf numFmtId="168" fontId="3" fillId="0" borderId="0" xfId="0" applyNumberFormat="1" applyFont="1" applyFill="1" applyBorder="1"/>
    <xf numFmtId="167" fontId="3" fillId="0" borderId="4" xfId="0" applyNumberFormat="1" applyFont="1" applyFill="1" applyBorder="1"/>
    <xf numFmtId="167" fontId="3" fillId="0" borderId="0" xfId="1" applyNumberFormat="1" applyFont="1" applyFill="1" applyBorder="1"/>
    <xf numFmtId="10" fontId="3" fillId="0" borderId="0" xfId="0" applyNumberFormat="1" applyFont="1" applyFill="1" applyBorder="1"/>
    <xf numFmtId="171" fontId="5" fillId="9" borderId="0" xfId="3" applyNumberFormat="1" applyFont="1" applyFill="1" applyBorder="1" applyAlignment="1">
      <alignment horizontal="center"/>
    </xf>
    <xf numFmtId="173" fontId="10" fillId="0" borderId="0" xfId="0" applyNumberFormat="1" applyFont="1" applyAlignment="1">
      <alignment horizontal="right" vertical="center" indent="3"/>
    </xf>
    <xf numFmtId="2" fontId="10" fillId="0" borderId="0" xfId="0" applyNumberFormat="1" applyFont="1" applyAlignment="1">
      <alignment horizontal="right" vertical="center" indent="3"/>
    </xf>
    <xf numFmtId="173" fontId="9" fillId="0" borderId="0" xfId="0" applyNumberFormat="1" applyFont="1" applyAlignment="1">
      <alignment horizontal="right" vertical="center" indent="3"/>
    </xf>
    <xf numFmtId="2" fontId="9" fillId="0" borderId="0" xfId="0" applyNumberFormat="1" applyFont="1" applyAlignment="1">
      <alignment horizontal="right" vertical="center" indent="3"/>
    </xf>
    <xf numFmtId="173" fontId="10" fillId="13" borderId="14" xfId="0" applyNumberFormat="1" applyFont="1" applyFill="1" applyBorder="1" applyAlignment="1">
      <alignment horizontal="right" vertical="center" indent="3"/>
    </xf>
    <xf numFmtId="2" fontId="10" fillId="13" borderId="14" xfId="0" applyNumberFormat="1" applyFont="1" applyFill="1" applyBorder="1" applyAlignment="1">
      <alignment horizontal="right" vertical="center" indent="3"/>
    </xf>
    <xf numFmtId="0" fontId="10" fillId="0" borderId="0" xfId="0" applyFont="1" applyAlignment="1">
      <alignment horizontal="right" vertical="center" indent="3"/>
    </xf>
    <xf numFmtId="0" fontId="9" fillId="0" borderId="0" xfId="0" applyFont="1" applyAlignment="1">
      <alignment horizontal="right" vertical="center" indent="3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0" fontId="3" fillId="0" borderId="0" xfId="0" applyNumberFormat="1" applyFont="1"/>
    <xf numFmtId="3" fontId="5" fillId="0" borderId="0" xfId="0" applyNumberFormat="1" applyFont="1"/>
    <xf numFmtId="179" fontId="3" fillId="0" borderId="0" xfId="3" applyNumberFormat="1" applyFont="1" applyBorder="1"/>
    <xf numFmtId="0" fontId="6" fillId="12" borderId="0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0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3" fillId="11" borderId="12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top" wrapText="1"/>
    </xf>
    <xf numFmtId="0" fontId="3" fillId="11" borderId="12" xfId="0" applyFont="1" applyFill="1" applyBorder="1" applyAlignment="1">
      <alignment horizontal="center" vertical="top"/>
    </xf>
    <xf numFmtId="0" fontId="3" fillId="11" borderId="9" xfId="0" applyFont="1" applyFill="1" applyBorder="1" applyAlignment="1">
      <alignment horizontal="center" vertical="top"/>
    </xf>
    <xf numFmtId="0" fontId="3" fillId="11" borderId="11" xfId="0" applyFont="1" applyFill="1" applyBorder="1" applyAlignment="1">
      <alignment horizontal="center" vertical="top"/>
    </xf>
    <xf numFmtId="0" fontId="5" fillId="9" borderId="4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0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left" vertical="center" wrapText="1"/>
    </xf>
    <xf numFmtId="0" fontId="6" fillId="1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171" fontId="5" fillId="9" borderId="0" xfId="0" applyNumberFormat="1" applyFont="1" applyFill="1" applyBorder="1" applyAlignment="1"/>
    <xf numFmtId="171" fontId="5" fillId="9" borderId="0" xfId="3" applyNumberFormat="1" applyFont="1" applyFill="1" applyBorder="1" applyAlignment="1"/>
    <xf numFmtId="171" fontId="5" fillId="9" borderId="1" xfId="0" applyNumberFormat="1" applyFont="1" applyFill="1" applyBorder="1" applyAlignment="1"/>
    <xf numFmtId="0" fontId="3" fillId="11" borderId="10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wrapText="1"/>
    </xf>
    <xf numFmtId="0" fontId="7" fillId="8" borderId="5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wrapText="1"/>
    </xf>
    <xf numFmtId="0" fontId="5" fillId="4" borderId="5" xfId="0" applyFont="1" applyFill="1" applyBorder="1" applyAlignment="1">
      <alignment horizontal="left" vertical="center" wrapText="1"/>
    </xf>
    <xf numFmtId="0" fontId="3" fillId="16" borderId="5" xfId="0" applyFont="1" applyFill="1" applyBorder="1" applyAlignment="1">
      <alignment horizontal="center" vertical="top" wrapText="1"/>
    </xf>
    <xf numFmtId="0" fontId="3" fillId="16" borderId="5" xfId="0" applyFont="1" applyFill="1" applyBorder="1" applyAlignment="1">
      <alignment wrapText="1"/>
    </xf>
    <xf numFmtId="0" fontId="18" fillId="0" borderId="9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6" fillId="9" borderId="0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/>
    </xf>
    <xf numFmtId="0" fontId="6" fillId="9" borderId="0" xfId="0" applyFont="1" applyFill="1" applyBorder="1" applyAlignment="1">
      <alignment vertical="center"/>
    </xf>
    <xf numFmtId="0" fontId="7" fillId="0" borderId="0" xfId="0" applyFont="1"/>
    <xf numFmtId="0" fontId="7" fillId="8" borderId="4" xfId="0" applyFont="1" applyFill="1" applyBorder="1" applyAlignment="1">
      <alignment wrapText="1"/>
    </xf>
    <xf numFmtId="0" fontId="22" fillId="13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indent="1"/>
    </xf>
    <xf numFmtId="0" fontId="22" fillId="13" borderId="14" xfId="0" applyFont="1" applyFill="1" applyBorder="1" applyAlignment="1">
      <alignment horizontal="left" vertical="center" wrapText="1"/>
    </xf>
    <xf numFmtId="3" fontId="22" fillId="0" borderId="0" xfId="0" applyNumberFormat="1" applyFont="1" applyAlignment="1">
      <alignment horizontal="right" vertical="center" indent="3"/>
    </xf>
    <xf numFmtId="173" fontId="22" fillId="0" borderId="0" xfId="0" applyNumberFormat="1" applyFont="1" applyAlignment="1">
      <alignment horizontal="right" vertical="center" indent="3"/>
    </xf>
    <xf numFmtId="2" fontId="22" fillId="0" borderId="0" xfId="0" applyNumberFormat="1" applyFont="1" applyAlignment="1">
      <alignment horizontal="right" vertical="center" indent="3"/>
    </xf>
    <xf numFmtId="175" fontId="22" fillId="0" borderId="0" xfId="0" applyNumberFormat="1" applyFont="1" applyAlignment="1">
      <alignment horizontal="right" vertical="center" indent="3"/>
    </xf>
    <xf numFmtId="165" fontId="22" fillId="0" borderId="0" xfId="0" applyNumberFormat="1" applyFont="1" applyAlignment="1">
      <alignment horizontal="right" vertical="center" indent="3"/>
    </xf>
    <xf numFmtId="3" fontId="23" fillId="0" borderId="0" xfId="0" applyNumberFormat="1" applyFont="1" applyAlignment="1">
      <alignment horizontal="right" vertical="center" indent="3"/>
    </xf>
    <xf numFmtId="173" fontId="23" fillId="0" borderId="0" xfId="0" applyNumberFormat="1" applyFont="1" applyAlignment="1">
      <alignment horizontal="right" vertical="center" indent="3"/>
    </xf>
    <xf numFmtId="2" fontId="23" fillId="0" borderId="0" xfId="0" applyNumberFormat="1" applyFont="1" applyAlignment="1">
      <alignment horizontal="right" vertical="center" indent="3"/>
    </xf>
    <xf numFmtId="175" fontId="23" fillId="0" borderId="0" xfId="0" applyNumberFormat="1" applyFont="1" applyAlignment="1">
      <alignment horizontal="right" vertical="center" indent="3"/>
    </xf>
    <xf numFmtId="165" fontId="23" fillId="0" borderId="0" xfId="0" applyNumberFormat="1" applyFont="1" applyAlignment="1">
      <alignment horizontal="right" vertical="center" indent="3"/>
    </xf>
    <xf numFmtId="3" fontId="22" fillId="13" borderId="14" xfId="0" applyNumberFormat="1" applyFont="1" applyFill="1" applyBorder="1" applyAlignment="1">
      <alignment horizontal="right" vertical="center" indent="3"/>
    </xf>
    <xf numFmtId="173" fontId="22" fillId="13" borderId="14" xfId="0" applyNumberFormat="1" applyFont="1" applyFill="1" applyBorder="1" applyAlignment="1">
      <alignment horizontal="right" vertical="center" indent="3"/>
    </xf>
    <xf numFmtId="2" fontId="22" fillId="13" borderId="14" xfId="0" applyNumberFormat="1" applyFont="1" applyFill="1" applyBorder="1" applyAlignment="1">
      <alignment horizontal="right" vertical="center" indent="3"/>
    </xf>
    <xf numFmtId="175" fontId="22" fillId="13" borderId="14" xfId="0" applyNumberFormat="1" applyFont="1" applyFill="1" applyBorder="1" applyAlignment="1">
      <alignment horizontal="right" vertical="center" indent="3"/>
    </xf>
    <xf numFmtId="165" fontId="22" fillId="13" borderId="14" xfId="0" applyNumberFormat="1" applyFont="1" applyFill="1" applyBorder="1" applyAlignment="1">
      <alignment horizontal="right" vertical="center" indent="3"/>
    </xf>
    <xf numFmtId="0" fontId="4" fillId="0" borderId="0" xfId="0" applyFont="1"/>
  </cellXfs>
  <cellStyles count="4">
    <cellStyle name="Normaali" xfId="0" builtinId="0"/>
    <cellStyle name="Pilkku" xfId="1" builtinId="3"/>
    <cellStyle name="Prosenttia" xfId="2" builtinId="5"/>
    <cellStyle name="Valuutta" xfId="3" builtinId="4"/>
  </cellStyles>
  <dxfs count="2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vertic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>
        <left style="thin">
          <color indexed="64"/>
        </left>
        <right/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indexed="64"/>
        </left>
        <right/>
        <top/>
        <bottom/>
        <vertical/>
        <horizontal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auto="1"/>
        </left>
        <right/>
        <top/>
        <bottom/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outline="0">
        <right style="thin">
          <color indexed="64"/>
        </right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outline="0">
        <right style="thin">
          <color indexed="64"/>
        </right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8" formatCode="0.0000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0" formatCode="#,##0.000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vertic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</border>
    </dxf>
    <dxf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z val="10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4" formatCode="0.00\ 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#,##0.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70" formatCode="#,##0.000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top style="thin">
          <color indexed="64"/>
        </top>
      </border>
    </dxf>
    <dxf>
      <font>
        <b/>
      </font>
    </dxf>
    <dxf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strike val="0"/>
        <outline val="0"/>
        <shadow val="0"/>
        <u val="none"/>
        <vertAlign val="baseline"/>
        <sz val="10"/>
      </font>
      <alignment vertical="bottom" textRotation="0" indent="0" justifyLastLine="0" shrinkToFit="0" readingOrder="0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 xr9:uid="{00000000-0011-0000-FFFF-FFFF00000000}"/>
    <tableStyle name="PivotStyleLight7 2" table="0" count="6" xr9:uid="{00000000-0011-0000-FFFF-FFFF01000000}">
      <tableStyleElement type="headerRow" dxfId="286"/>
      <tableStyleElement type="totalRow" dxfId="285"/>
      <tableStyleElement type="firstRowStripe" dxfId="284"/>
      <tableStyleElement type="firstRowSubheading" dxfId="283"/>
      <tableStyleElement type="pageFieldLabels" dxfId="282"/>
      <tableStyleElement type="pageFieldValues" dxfId="281"/>
    </tableStyle>
    <tableStyle name="SlicerStyleLight6 2" pivot="0" table="0" count="2" xr9:uid="{00000000-0011-0000-FFFF-FFFF02000000}">
      <tableStyleElement type="wholeTable" dxfId="280"/>
      <tableStyleElement type="headerRow" dxfId="279"/>
    </tableStyle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161925</xdr:rowOff>
    </xdr:from>
    <xdr:ext cx="7305675" cy="3785291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5" y="161925"/>
          <a:ext cx="7305675" cy="3785291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19.12.2024	Rahoituksen simulointimalli ammatillisen koulutuksen järjestäjille</a:t>
          </a:r>
        </a:p>
        <a:p>
          <a:endParaRPr lang="fi-FI">
            <a:effectLst/>
          </a:endParaRPr>
        </a:p>
        <a:p>
          <a:r>
            <a:rPr lang="fi-FI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OHJEET</a:t>
          </a:r>
        </a:p>
        <a:p>
          <a:endParaRPr lang="fi-FI">
            <a:effectLst/>
          </a:endParaRP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Simulointimalli on varsinaisen suoritepäätöksen laatimiseen tarkoitettu työkalu, joka on tässä suppeampana versiona koulutuksen järjestäjien omaa rahoituksen ennakointia varten hyödynnettäväksi. Mallin tässä versiossa on vuoden 2025 varsinaisen suoritepäätöksen (18.12.2024, </a:t>
          </a:r>
          <a:r>
            <a:rPr lang="fi-FI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VN/29429/2024-OKM-136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mukaiset luvut.</a:t>
          </a:r>
        </a:p>
        <a:p>
          <a:endParaRPr lang="fi-FI">
            <a:effectLst/>
          </a:endParaRP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Välilehdellä 1.1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on laskettu talousarvion mukaisen ammatillisen koulutuksen määrärahan jakautuminen eri rahoitusosuuksiin. Lukuja muuttamalla pystyy simuloimaan rahoitusta eri suuruisella määrärahalla tai rahoitusosuuksien eri suuruisilla osuuksilla.</a:t>
          </a:r>
        </a:p>
        <a:p>
          <a:endParaRPr lang="fi-FI">
            <a:effectLst/>
          </a:endParaRPr>
        </a:p>
        <a:p>
          <a:pPr eaLnBrk="1" fontAlgn="auto" latinLnBrk="0" hangingPunct="1"/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Välilehdellä 1.2 on laskettu rahoitus koulutuksen järjestäjittäin. Lukuja muuttamalla pystyy simuloimaan rahoitusta erilaisilla tavoitteellisten opiskelijavuosien, harkinnanvaraisten korotusten ja rahoituksen perusteena olevien suoritteiden määrillä.</a:t>
          </a:r>
        </a:p>
        <a:p>
          <a:pPr eaLnBrk="1" fontAlgn="auto" latinLnBrk="0" hangingPunct="1"/>
          <a:endParaRPr lang="fi-FI">
            <a:effectLst/>
          </a:endParaRPr>
        </a:p>
        <a:p>
          <a:pPr eaLnBrk="1" fontAlgn="auto" latinLnBrk="0" hangingPunct="1"/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Välilehdellä 1.3 on vertailtu koulutuksen järjestäjittäin rahoitusosuuksien suuruuksia sekä rahoituksen muutosta edeltävän vuoden varsinaiseen suoritepäätökseen nähden. Välilehdellä 1.4 on vastaava vertailu maakunnittain koulutuksen järjestäjien kotipaikan maakuntien mukaan.</a:t>
          </a:r>
        </a:p>
        <a:p>
          <a:pPr eaLnBrk="1" fontAlgn="auto" latinLnBrk="0" hangingPunct="1"/>
          <a:endParaRPr lang="fi-FI">
            <a:effectLst/>
          </a:endParaRPr>
        </a:p>
        <a:p>
          <a:pPr eaLnBrk="1" fontAlgn="auto" latinLnBrk="0" hangingPunct="1"/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Välilehdille 2.1 - 2.7 on koottu rahoitusperusteraporteilta (https://vipunen.fi/fi-fi/ammatillinen/Sivut/Rahoitusperuste--ja-kustannustiedot.aspx) suoritetiedot välilehden 1.2 laskentaa varten.</a:t>
          </a:r>
          <a:endParaRPr lang="fi-FI"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hj.lask." displayName="Ohj.lask." ref="A5:AQ139" totalsRowCount="1" headerRowDxfId="278" dataDxfId="277" totalsRowDxfId="276" totalsRowBorderDxfId="275">
  <autoFilter ref="A5:AQ138" xr:uid="{00000000-0009-0000-0100-000001000000}"/>
  <sortState xmlns:xlrd2="http://schemas.microsoft.com/office/spreadsheetml/2017/richdata2" ref="A6:AQ141">
    <sortCondition ref="B5:B152"/>
  </sortState>
  <tableColumns count="43">
    <tableColumn id="62" xr3:uid="{00000000-0010-0000-0100-00003E000000}" name="Y-tunnus" totalsRowLabel="Yhteensä" dataDxfId="85" totalsRowDxfId="42"/>
    <tableColumn id="1" xr3:uid="{00000000-0010-0000-0100-000001000000}" name="Nimi" totalsRowFunction="custom" dataDxfId="84" totalsRowDxfId="41">
      <totalsRowFormula>COUNTIF(Ohj.lask.[Nimi],"?*")</totalsRowFormula>
    </tableColumn>
    <tableColumn id="73" xr3:uid="{00000000-0010-0000-0100-000049000000}" name="Maakunta" dataDxfId="83" totalsRowDxfId="40"/>
    <tableColumn id="72" xr3:uid="{00000000-0010-0000-0100-000048000000}" name="Omistajatyyppi" dataDxfId="82" totalsRowDxfId="39"/>
    <tableColumn id="43" xr3:uid="{00000000-0010-0000-0100-00002B000000}" name="Kieli" dataDxfId="81" totalsRowDxfId="38"/>
    <tableColumn id="2" xr3:uid="{00000000-0010-0000-0100-000002000000}" name="Järjestämisluvan opisk.vuosien vähimmäismäärä (ei noudateta 2025)" totalsRowFunction="custom" dataDxfId="80" totalsRowDxfId="37">
      <totalsRowFormula>SUM(Ohj.lask.[Järjestämisluvan opisk.vuosien vähimmäismäärä (ei noudateta 2025)])</totalsRowFormula>
    </tableColumn>
    <tableColumn id="4" xr3:uid="{00000000-0010-0000-0100-000004000000}" name="Tavoitteelliset opiskelija-vuodet" totalsRowFunction="custom" dataDxfId="79" totalsRowDxfId="36">
      <totalsRowFormula>SUM(Ohj.lask.[Tavoitteelliset opiskelija-vuodet])</totalsRowFormula>
    </tableColumn>
    <tableColumn id="5" xr3:uid="{00000000-0010-0000-0100-000005000000}" name="Profiili-kerroin" dataDxfId="78" totalsRowDxfId="35">
      <calculatedColumnFormula>IFERROR(VLOOKUP(Ohj.lask.[[#This Row],[Y-tunnus]],'2.1 Toteut. op.vuodet'!$A:$T,COLUMN('2.1 Toteut. op.vuodet'!S:S),FALSE),0)</calculatedColumnFormula>
    </tableColumn>
    <tableColumn id="6" xr3:uid="{00000000-0010-0000-0100-000006000000}" name="Painotetut opiskelija-vuodet" totalsRowFunction="custom" dataDxfId="77" totalsRowDxfId="34">
      <calculatedColumnFormula>IFERROR(ROUND(G6*H6,1),0)</calculatedColumnFormula>
      <totalsRowFormula>SUM(Ohj.lask.[Painotetut opiskelija-vuodet])</totalsRowFormula>
    </tableColumn>
    <tableColumn id="7" xr3:uid="{00000000-0010-0000-0100-000007000000}" name="%-osuus 1" totalsRowFunction="custom" dataDxfId="76" totalsRowDxfId="33">
      <calculatedColumnFormula>IFERROR(Ohj.lask.[[#This Row],[Painotetut opiskelija-vuodet]]/Ohj.lask.[[#Totals],[Painotetut opiskelija-vuodet]],0)</calculatedColumnFormula>
      <totalsRowFormula>SUM(Ohj.lask.[%-osuus 1])</totalsRowFormula>
    </tableColumn>
    <tableColumn id="8" xr3:uid="{00000000-0010-0000-0100-000008000000}" name="Jaettava € 1" totalsRowFunction="custom" dataDxfId="75" totalsRowDxfId="32">
      <calculatedColumnFormula>ROUND(IFERROR('1.1 Jakotaulu'!L$12*Ohj.lask.[[#This Row],[%-osuus 1]],0),0)</calculatedColumnFormula>
      <totalsRowFormula>SUM(Ohj.lask.[Jaettava € 1])</totalsRowFormula>
    </tableColumn>
    <tableColumn id="9" xr3:uid="{00000000-0010-0000-0100-000009000000}" name="Painotetut pisteet 2" totalsRowFunction="custom" dataDxfId="74" totalsRowDxfId="31">
      <calculatedColumnFormula>IFERROR(ROUND(VLOOKUP(Ohj.lask.[[#This Row],[Y-tunnus]],'2.2 Tutk. ja osien pain. pist.'!$A:$Q,COLUMN('2.2 Tutk. ja osien pain. pist.'!O:O),FALSE),1),0)</calculatedColumnFormula>
      <totalsRowFormula>SUM(Ohj.lask.[Painotetut pisteet 2])</totalsRowFormula>
    </tableColumn>
    <tableColumn id="10" xr3:uid="{00000000-0010-0000-0100-00000A000000}" name="%-osuus 2" totalsRowFunction="custom" dataDxfId="73" totalsRowDxfId="30" dataCellStyle="Prosenttia">
      <calculatedColumnFormula>IFERROR(Ohj.lask.[[#This Row],[Painotetut pisteet 2]]/Ohj.lask.[[#Totals],[Painotetut pisteet 2]],0)</calculatedColumnFormula>
      <totalsRowFormula>SUM(Ohj.lask.[%-osuus 2])</totalsRowFormula>
    </tableColumn>
    <tableColumn id="11" xr3:uid="{00000000-0010-0000-0100-00000B000000}" name="Jaettava € 2" totalsRowFunction="custom" dataDxfId="72" totalsRowDxfId="29">
      <calculatedColumnFormula>ROUND(IFERROR('1.1 Jakotaulu'!K$13*Ohj.lask.[[#This Row],[%-osuus 2]],0),0)</calculatedColumnFormula>
      <totalsRowFormula>SUM(Ohj.lask.[Jaettava € 2])</totalsRowFormula>
    </tableColumn>
    <tableColumn id="12" xr3:uid="{00000000-0010-0000-0100-00000C000000}" name="Painotetut pisteet 3" totalsRowFunction="custom" dataDxfId="71" totalsRowDxfId="28" dataCellStyle="Pilkku">
      <calculatedColumnFormula>IFERROR(ROUND(VLOOKUP(Ohj.lask.[[#This Row],[Y-tunnus]],'2.3 Työll. ja jatko-opisk.'!$A:$Y,COLUMN('2.3 Työll. ja jatko-opisk.'!L:L),FALSE),1),0)</calculatedColumnFormula>
      <totalsRowFormula>SUM(Ohj.lask.[Painotetut pisteet 3])</totalsRowFormula>
    </tableColumn>
    <tableColumn id="13" xr3:uid="{00000000-0010-0000-0100-00000D000000}" name="%-osuus 3" totalsRowFunction="custom" dataDxfId="70" totalsRowDxfId="27">
      <calculatedColumnFormula>IFERROR(Ohj.lask.[[#This Row],[Painotetut pisteet 3]]/Ohj.lask.[[#Totals],[Painotetut pisteet 3]],0)</calculatedColumnFormula>
      <totalsRowFormula>SUM(Ohj.lask.[%-osuus 3])</totalsRowFormula>
    </tableColumn>
    <tableColumn id="14" xr3:uid="{00000000-0010-0000-0100-00000E000000}" name="Jaettava € 3" totalsRowFunction="custom" dataDxfId="69" totalsRowDxfId="26">
      <calculatedColumnFormula>ROUND(IFERROR('1.1 Jakotaulu'!L$15*Ohj.lask.[[#This Row],[%-osuus 3]],0),0)</calculatedColumnFormula>
      <totalsRowFormula>SUM(Ohj.lask.[Jaettava € 3])</totalsRowFormula>
    </tableColumn>
    <tableColumn id="15" xr3:uid="{00000000-0010-0000-0100-00000F000000}" name="Painotetut pisteet 4" totalsRowFunction="custom" dataDxfId="68" totalsRowDxfId="25">
      <calculatedColumnFormula>IFERROR(ROUND(VLOOKUP(Ohj.lask.[[#This Row],[Y-tunnus]],'2.4 Aloittaneet palaute'!$A:$I,COLUMN('2.4 Aloittaneet palaute'!H:H),FALSE),1),0)</calculatedColumnFormula>
      <totalsRowFormula>SUM(Ohj.lask.[Painotetut pisteet 4])</totalsRowFormula>
    </tableColumn>
    <tableColumn id="16" xr3:uid="{00000000-0010-0000-0100-000010000000}" name="%-osuus 4" totalsRowFunction="custom" dataDxfId="67" totalsRowDxfId="24">
      <calculatedColumnFormula>IFERROR(Ohj.lask.[[#This Row],[Painotetut pisteet 4]]/Ohj.lask.[[#Totals],[Painotetut pisteet 4]],0)</calculatedColumnFormula>
      <totalsRowFormula>SUM(Ohj.lask.[%-osuus 4])</totalsRowFormula>
    </tableColumn>
    <tableColumn id="17" xr3:uid="{00000000-0010-0000-0100-000011000000}" name="Jaettava € 4" totalsRowFunction="custom" dataDxfId="66" totalsRowDxfId="23">
      <calculatedColumnFormula>ROUND(IFERROR('1.1 Jakotaulu'!M$17*Ohj.lask.[[#This Row],[%-osuus 4]],0),0)</calculatedColumnFormula>
      <totalsRowFormula>SUM(Ohj.lask.[Jaettava € 4])</totalsRowFormula>
    </tableColumn>
    <tableColumn id="18" xr3:uid="{00000000-0010-0000-0100-000012000000}" name="Painotetut pisteet 5" totalsRowFunction="custom" dataDxfId="65" totalsRowDxfId="22">
      <calculatedColumnFormula>IFERROR(ROUND(VLOOKUP(Ohj.lask.[[#This Row],[Y-tunnus]],'2.5 Päättäneet palaute'!$A:$Y,COLUMN('2.5 Päättäneet palaute'!X:X),FALSE),1),0)</calculatedColumnFormula>
      <totalsRowFormula>SUM(Ohj.lask.[Painotetut pisteet 5])</totalsRowFormula>
    </tableColumn>
    <tableColumn id="19" xr3:uid="{00000000-0010-0000-0100-000013000000}" name="%-osuus 5" totalsRowFunction="custom" dataDxfId="64" totalsRowDxfId="21">
      <calculatedColumnFormula>IFERROR(Ohj.lask.[[#This Row],[Painotetut pisteet 5]]/Ohj.lask.[[#Totals],[Painotetut pisteet 5]],0)</calculatedColumnFormula>
      <totalsRowFormula>SUM(Ohj.lask.[%-osuus 5])</totalsRowFormula>
    </tableColumn>
    <tableColumn id="20" xr3:uid="{00000000-0010-0000-0100-000014000000}" name="Jaettava € 5" totalsRowFunction="custom" dataDxfId="63" totalsRowDxfId="20">
      <calculatedColumnFormula>ROUND(IFERROR('1.1 Jakotaulu'!M$18*Ohj.lask.[[#This Row],[%-osuus 5]],0),0)</calculatedColumnFormula>
      <totalsRowFormula>SUM(Ohj.lask.[Jaettava € 5])</totalsRowFormula>
    </tableColumn>
    <tableColumn id="55" xr3:uid="{00000000-0010-0000-0100-000037000000}" name="Painotetut pisteet 6" totalsRowFunction="custom" dataDxfId="62" totalsRowDxfId="19">
      <calculatedColumnFormula>IFERROR(ROUND(VLOOKUP(Ohj.lask.[[#This Row],[Y-tunnus]],'2.6 Työpaikkaohjaajakysely'!A:I,COLUMN('2.6 Työpaikkaohjaajakysely'!H:H),FALSE),1),0)</calculatedColumnFormula>
      <totalsRowFormula>SUM(Ohj.lask.[Painotetut pisteet 6])</totalsRowFormula>
    </tableColumn>
    <tableColumn id="54" xr3:uid="{00000000-0010-0000-0100-000036000000}" name="%-osuus 6" totalsRowFunction="custom" dataDxfId="61" totalsRowDxfId="18" dataCellStyle="Prosenttia">
      <calculatedColumnFormula>IFERROR(Ohj.lask.[[#This Row],[Painotetut pisteet 6]]/Ohj.lask.[[#Totals],[Painotetut pisteet 6]],0)</calculatedColumnFormula>
      <totalsRowFormula>SUM(Ohj.lask.[%-osuus 6])</totalsRowFormula>
    </tableColumn>
    <tableColumn id="53" xr3:uid="{00000000-0010-0000-0100-000035000000}" name="Jaettava € 6" totalsRowFunction="custom" dataDxfId="60" totalsRowDxfId="17">
      <calculatedColumnFormula>ROUND(IFERROR('1.1 Jakotaulu'!M$20*Ohj.lask.[[#This Row],[%-osuus 6]],0),0)</calculatedColumnFormula>
      <totalsRowFormula>SUM(Ohj.lask.[Jaettava € 6])</totalsRowFormula>
    </tableColumn>
    <tableColumn id="52" xr3:uid="{00000000-0010-0000-0100-000034000000}" name="Pisteet 7" totalsRowFunction="custom" dataDxfId="59" totalsRowDxfId="16">
      <calculatedColumnFormula>IFERROR(ROUND(VLOOKUP(Ohj.lask.[[#This Row],[Y-tunnus]],'2.7 Työpaikkakysely'!A:G,COLUMN('2.7 Työpaikkakysely'!F:F),FALSE),1),0)</calculatedColumnFormula>
      <totalsRowFormula>SUM(Ohj.lask.[Pisteet 7])</totalsRowFormula>
    </tableColumn>
    <tableColumn id="51" xr3:uid="{00000000-0010-0000-0100-000033000000}" name="%-osuus 7" totalsRowFunction="custom" dataDxfId="58" totalsRowDxfId="15" dataCellStyle="Prosenttia">
      <calculatedColumnFormula>IFERROR(Ohj.lask.[[#This Row],[Pisteet 7]]/Ohj.lask.[[#Totals],[Pisteet 7]],0)</calculatedColumnFormula>
      <totalsRowFormula>SUM(Ohj.lask.[%-osuus 7])</totalsRowFormula>
    </tableColumn>
    <tableColumn id="50" xr3:uid="{00000000-0010-0000-0100-000032000000}" name="Jaettava € 7" totalsRowFunction="custom" dataDxfId="57" totalsRowDxfId="14">
      <calculatedColumnFormula>ROUND(IFERROR('1.1 Jakotaulu'!M$21*Ohj.lask.[[#This Row],[%-osuus 7]],0),0)</calculatedColumnFormula>
      <totalsRowFormula>SUM(Ohj.lask.[Jaettava € 7])</totalsRowFormula>
    </tableColumn>
    <tableColumn id="21" xr3:uid="{00000000-0010-0000-0100-000015000000}" name="%-osuus 8" totalsRowFunction="custom" dataDxfId="56" totalsRowDxfId="13" dataCellStyle="Prosenttia">
      <calculatedColumnFormula>IFERROR(Ohj.lask.[[#This Row],[Jaettava € 8]]/Ohj.lask.[[#Totals],[Jaettava € 8]],"")</calculatedColumnFormula>
      <totalsRowFormula>SUM(Ohj.lask.[%-osuus 8])</totalsRowFormula>
    </tableColumn>
    <tableColumn id="22" xr3:uid="{00000000-0010-0000-0100-000016000000}" name="Jaettava € 8" totalsRowFunction="custom" dataDxfId="55" totalsRowDxfId="12">
      <calculatedColumnFormula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calculatedColumnFormula>
      <totalsRowFormula>SUM(Ohj.lask.[Jaettava € 8])</totalsRowFormula>
    </tableColumn>
    <tableColumn id="25" xr3:uid="{00000000-0010-0000-0100-000019000000}" name="Harkinnanvarainen korotus 1, €" totalsRowFunction="custom" dataDxfId="54" totalsRowDxfId="11">
      <totalsRowFormula>SUM(Ohj.lask.[Harkinnanvarainen korotus 1, €])</totalsRowFormula>
    </tableColumn>
    <tableColumn id="29" xr3:uid="{00000000-0010-0000-0100-00001D000000}" name="Harkinnanvarainen korotus 2, €" totalsRowFunction="custom" dataDxfId="53" totalsRowDxfId="10">
      <totalsRowFormula>SUM(Ohj.lask.[Harkinnanvarainen korotus 2, €])</totalsRowFormula>
    </tableColumn>
    <tableColumn id="44" xr3:uid="{00000000-0010-0000-0100-00002C000000}" name="Harkinnanvarainen korotus 3, €" totalsRowFunction="custom" dataDxfId="52" totalsRowDxfId="9">
      <totalsRowFormula>SUM(Ohj.lask.[Harkinnanvarainen korotus 3, €])</totalsRowFormula>
    </tableColumn>
    <tableColumn id="27" xr3:uid="{00000000-0010-0000-0100-00001B000000}" name="Harkinnanvarainen korotus 4, €" totalsRowFunction="custom" dataDxfId="51" totalsRowDxfId="8">
      <totalsRowFormula>SUM(Ohj.lask.[Harkinnanvarainen korotus 4, €])</totalsRowFormula>
    </tableColumn>
    <tableColumn id="47" xr3:uid="{00000000-0010-0000-0100-00002F000000}" name="Harkinnanvarainen korotus 5, €" totalsRowFunction="custom" dataDxfId="50" totalsRowDxfId="7">
      <totalsRowFormula>SUM(Ohj.lask.[Harkinnanvarainen korotus 5, €])</totalsRowFormula>
    </tableColumn>
    <tableColumn id="33" xr3:uid="{00000000-0010-0000-0100-000021000000}" name="Harkinnanvarainen korotus yhteensä, €" totalsRowFunction="custom" dataDxfId="49" totalsRowDxfId="6">
      <calculatedColumnFormula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calculatedColumnFormula>
      <totalsRowFormula>SUM(Ohj.lask.[Harkinnanvarainen korotus yhteensä, €])</totalsRowFormula>
    </tableColumn>
    <tableColumn id="38" xr3:uid="{00000000-0010-0000-0100-000026000000}" name="Suoriteperusteinen (opiskelijavuosiin perustuva) sekä harkinnanvarainen korotus, €" totalsRowFunction="custom" dataDxfId="48" totalsRowDxfId="5">
      <calculatedColumnFormula>Ohj.lask.[[#This Row],[Jaettava € 1]]+Ohj.lask.[[#This Row],[Harkinnanvarainen korotus yhteensä, €]]</calculatedColumnFormula>
      <totalsRowFormula>SUM(Ohj.lask.[Suoriteperusteinen (opiskelijavuosiin perustuva) sekä harkinnanvarainen korotus, €])</totalsRowFormula>
    </tableColumn>
    <tableColumn id="34" xr3:uid="{00000000-0010-0000-0100-000022000000}" name="Suoritusrahoitus, €" totalsRowFunction="custom" dataDxfId="47" totalsRowDxfId="4">
      <calculatedColumnFormula>Ohj.lask.[[#This Row],[Jaettava € 2]]</calculatedColumnFormula>
      <totalsRowFormula>SUM(Ohj.lask.[Suoritusrahoitus, €])</totalsRowFormula>
    </tableColumn>
    <tableColumn id="23" xr3:uid="{00000000-0010-0000-0100-000017000000}" name="Työllistymiseen ja jatko-opintoihin siirtymiseen, opiskelijapalautteiseen sekä työelämäpalautteeseen perustuva, €" totalsRowFunction="custom" dataDxfId="46" totalsRowDxfId="3">
      <calculatedColumnFormula>Ohj.lask.[[#This Row],[Jaettava € 3]]+Ohj.lask.[[#This Row],[Jaettava € 4]]+Ohj.lask.[[#This Row],[Jaettava € 5]]+Ohj.lask.[[#This Row],[Jaettava € 6]]+Ohj.lask.[[#This Row],[Jaettava € 7]]</calculatedColumnFormula>
      <totalsRowFormula>SUM(Ohj.lask.[Työllistymiseen ja jatko-opintoihin siirtymiseen, opiskelijapalautteiseen sekä työelämäpalautteeseen perustuva, €])</totalsRowFormula>
    </tableColumn>
    <tableColumn id="39" xr3:uid="{00000000-0010-0000-0100-000027000000}" name="Perus-, suoritus- ja vaikuttavuusrahoitus yhteensä, €" totalsRowFunction="custom" dataDxfId="45" totalsRowDxfId="2">
      <calculatedColumnFormula>Ohj.lask.[[#This Row],[Jaettava € 8]]+Ohj.lask.[[#This Row],[Harkinnanvarainen korotus yhteensä, €]]</calculatedColumnFormula>
      <totalsRowFormula>SUM(Ohj.lask.[Perus-, suoritus- ja vaikuttavuusrahoitus yhteensä, €])</totalsRowFormula>
    </tableColumn>
    <tableColumn id="35" xr3:uid="{00000000-0010-0000-0100-000023000000}" name="Alv-korvaus, €" totalsRowFunction="custom" dataDxfId="44" totalsRowDxfId="1">
      <totalsRowFormula>SUM(Ohj.lask.[Alv-korvaus, €])</totalsRowFormula>
    </tableColumn>
    <tableColumn id="42" xr3:uid="{00000000-0010-0000-0100-00002A000000}" name="Laskennallinen rahoitus + _x000a_alv-korvaus, €" totalsRowFunction="custom" dataDxfId="43" totalsRowDxfId="0">
      <calculatedColumnFormula>Ohj.lask.[[#This Row],[Perus-, suoritus- ja vaikuttavuusrahoitus yhteensä, €]]+Ohj.lask.[[#This Row],[Alv-korvaus, €]]</calculatedColumnFormula>
      <totalsRowFormula>SUM(Ohj.lask.[Laskennallinen rahoitus + 
alv-korvaus, €])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Vertailu" displayName="Vertailu" ref="A5:AK139" totalsRowCount="1" dataDxfId="274" totalsRowDxfId="273" totalsRowBorderDxfId="272">
  <autoFilter ref="A5:AK138" xr:uid="{00000000-0009-0000-0100-000003000000}"/>
  <sortState xmlns:xlrd2="http://schemas.microsoft.com/office/spreadsheetml/2017/richdata2" ref="A6:AK138">
    <sortCondition ref="B5:B138"/>
  </sortState>
  <tableColumns count="37">
    <tableColumn id="1" xr3:uid="{00000000-0010-0000-0200-000001000000}" name="Y-tunnus" totalsRowLabel="Yhteensä" dataDxfId="230" totalsRowDxfId="196"/>
    <tableColumn id="2" xr3:uid="{00000000-0010-0000-0200-000002000000}" name="Nimi" totalsRowFunction="custom" dataDxfId="233" totalsRowDxfId="195">
      <totalsRowFormula>COUNTIF(Vertailu[Nimi],"?*")</totalsRowFormula>
    </tableColumn>
    <tableColumn id="3" xr3:uid="{00000000-0010-0000-0200-000003000000}" name="Maakunta" dataDxfId="232" totalsRowDxfId="194"/>
    <tableColumn id="4" xr3:uid="{00000000-0010-0000-0200-000004000000}" name="Omistajatyyppi" dataDxfId="231" totalsRowDxfId="193"/>
    <tableColumn id="5" xr3:uid="{00000000-0010-0000-0200-000005000000}" name="Suorite-perusteinen perusrahoitus (pl. hark. kor.)" totalsRowFunction="custom" dataDxfId="229" totalsRowDxfId="192" dataCellStyle="Prosenttia">
      <calculatedColumnFormula>IFERROR(VLOOKUP(Vertailu[[#This Row],[Y-tunnus]],'1.2 Ohjaus-laskentataulu'!A:AQ,COLUMN('1.2 Ohjaus-laskentataulu'!K:K),FALSE)/VLOOKUP(Vertailu[[#This Row],[Y-tunnus]],'1.2 Ohjaus-laskentataulu'!A:AQ,COLUMN('1.2 Ohjaus-laskentataulu'!AO:AO),FALSE),0)</calculatedColumnFormula>
      <totalsRowFormula>Ohj.lask.[[#Totals],[Jaettava € 1]]/Ohj.lask.[[#Totals],[Perus-, suoritus- ja vaikuttavuusrahoitus yhteensä, €]]</totalsRowFormula>
    </tableColumn>
    <tableColumn id="38" xr3:uid="{00000000-0010-0000-0200-000026000000}" name="Perusrahoitus yhteensä (ml. hark. kor.)" totalsRowFunction="custom" dataDxfId="228" totalsRowDxfId="191" dataCellStyle="Prosenttia">
      <calculatedColumnFormula>IFERROR(VLOOKUP(Vertailu[[#This Row],[Y-tunnus]],'1.2 Ohjaus-laskentataulu'!A:AQ,COLUMN('1.2 Ohjaus-laskentataulu'!AL:AL),FALSE)/VLOOKUP(Vertailu[[#This Row],[Y-tunnus]],'1.2 Ohjaus-laskentataulu'!A:AQ,COLUMN('1.2 Ohjaus-laskentataulu'!AO:AO),FALSE),0)</calculatedColumnFormula>
      <totalsRowFormula>Ohj.lask.[[#Totals],[Suoriteperusteinen (opiskelijavuosiin perustuva) sekä harkinnanvarainen korotus, €]]/Ohj.lask.[[#Totals],[Perus-, suoritus- ja vaikuttavuusrahoitus yhteensä, €]]</totalsRowFormula>
    </tableColumn>
    <tableColumn id="6" xr3:uid="{00000000-0010-0000-0200-000006000000}" name="Suoritus-rahoitus" totalsRowFunction="custom" dataDxfId="227" totalsRowDxfId="190">
      <calculatedColumnFormula>IFERROR(VLOOKUP(Vertailu[[#This Row],[Y-tunnus]],'1.2 Ohjaus-laskentataulu'!A:AQ,COLUMN('1.2 Ohjaus-laskentataulu'!AM:AM),FALSE)/VLOOKUP(Vertailu[[#This Row],[Y-tunnus]],'1.2 Ohjaus-laskentataulu'!A:AQ,COLUMN('1.2 Ohjaus-laskentataulu'!AO:AO),FALSE),0)</calculatedColumnFormula>
      <totalsRowFormula>Ohj.lask.[[#Totals],[Suoritusrahoitus, €]]/Ohj.lask.[[#Totals],[Perus-, suoritus- ja vaikuttavuusrahoitus yhteensä, €]]</totalsRowFormula>
    </tableColumn>
    <tableColumn id="7" xr3:uid="{00000000-0010-0000-0200-000007000000}" name="Vaikuttavuus-rahoitus yhteensä" totalsRowFunction="custom" dataDxfId="226" totalsRowDxfId="165" dataCellStyle="Prosenttia">
      <calculatedColumnFormula>IFERROR(VLOOKUP(Vertailu[[#This Row],[Y-tunnus]],'1.2 Ohjaus-laskentataulu'!A:AQ,COLUMN('1.2 Ohjaus-laskentataulu'!AN:AN),FALSE)/VLOOKUP(Vertailu[[#This Row],[Y-tunnus]],'1.2 Ohjaus-laskentataulu'!A:AQ,COLUMN('1.2 Ohjaus-laskentataulu'!AO:AO),FALSE),0)</calculatedColumnFormula>
      <totalsRowFormula>Ohj.lask.[[#Totals],[Työllistymiseen ja jatko-opintoihin siirtymiseen, opiskelijapalautteiseen sekä työelämäpalautteeseen perustuva, €]]/Ohj.lask.[[#Totals],[Perus-, suoritus- ja vaikuttavuusrahoitus yhteensä, €]]</totalsRowFormula>
    </tableColumn>
    <tableColumn id="8" xr3:uid="{00000000-0010-0000-0200-000008000000}" name="-josta työllistyneet ja jatko-opiskelijat" totalsRowFunction="custom" dataDxfId="225" totalsRowDxfId="164" dataCellStyle="Prosenttia">
      <calculatedColumnFormula>IFERROR(VLOOKUP(Vertailu[[#This Row],[Y-tunnus]],'1.2 Ohjaus-laskentataulu'!A:AQ,COLUMN('1.2 Ohjaus-laskentataulu'!Q:Q),FALSE)/VLOOKUP(Vertailu[[#This Row],[Y-tunnus]],'1.2 Ohjaus-laskentataulu'!A:AQ,COLUMN('1.2 Ohjaus-laskentataulu'!AO:AO),FALSE),0)</calculatedColumnFormula>
      <totalsRowFormula>Ohj.lask.[[#Totals],[Jaettava € 3]]/Ohj.lask.[[#Totals],[Perus-, suoritus- ja vaikuttavuusrahoitus yhteensä, €]]</totalsRowFormula>
    </tableColumn>
    <tableColumn id="9" xr3:uid="{00000000-0010-0000-0200-000009000000}" name="-josta aloittaneet opiskelija-palaute" totalsRowFunction="custom" dataDxfId="224" totalsRowDxfId="163" dataCellStyle="Prosenttia">
      <calculatedColumnFormula>IFERROR(VLOOKUP(Vertailu[[#This Row],[Y-tunnus]],'1.2 Ohjaus-laskentataulu'!A:AQ,COLUMN('1.2 Ohjaus-laskentataulu'!T:T),FALSE)/VLOOKUP(Vertailu[[#This Row],[Y-tunnus]],'1.2 Ohjaus-laskentataulu'!A:AQ,COLUMN('1.2 Ohjaus-laskentataulu'!AO:AO),FALSE),0)</calculatedColumnFormula>
      <totalsRowFormula>Ohj.lask.[[#Totals],[Jaettava € 4]]/Ohj.lask.[[#Totals],[Perus-, suoritus- ja vaikuttavuusrahoitus yhteensä, €]]</totalsRowFormula>
    </tableColumn>
    <tableColumn id="10" xr3:uid="{00000000-0010-0000-0200-00000A000000}" name="-josta päättäneet opiskelija-palaute" totalsRowFunction="custom" dataDxfId="223" totalsRowDxfId="162" dataCellStyle="Prosenttia">
      <calculatedColumnFormula>IFERROR(VLOOKUP(Vertailu[[#This Row],[Y-tunnus]],'1.2 Ohjaus-laskentataulu'!A:AQ,COLUMN('1.2 Ohjaus-laskentataulu'!W:W),FALSE)/VLOOKUP(Vertailu[[#This Row],[Y-tunnus]],'1.2 Ohjaus-laskentataulu'!A:AQ,COLUMN('1.2 Ohjaus-laskentataulu'!AO:AO),FALSE),0)</calculatedColumnFormula>
      <totalsRowFormula>Ohj.lask.[[#Totals],[Jaettava € 5]]/Ohj.lask.[[#Totals],[Perus-, suoritus- ja vaikuttavuusrahoitus yhteensä, €]]</totalsRowFormula>
    </tableColumn>
    <tableColumn id="55" xr3:uid="{00000000-0010-0000-0200-000037000000}" name="-josta työpaikka-ohjaajakysely" totalsRowFunction="custom" dataDxfId="222" totalsRowDxfId="161" dataCellStyle="Prosenttia">
      <calculatedColumnFormula>IFERROR(VLOOKUP(Vertailu[[#This Row],[Y-tunnus]],'1.2 Ohjaus-laskentataulu'!A:AQ,COLUMN('1.2 Ohjaus-laskentataulu'!Z:Z),FALSE)/VLOOKUP(Vertailu[[#This Row],[Y-tunnus]],'1.2 Ohjaus-laskentataulu'!A:AQ,COLUMN('1.2 Ohjaus-laskentataulu'!AO:AO),FALSE),0)</calculatedColumnFormula>
      <totalsRowFormula>Ohj.lask.[[#Totals],[Jaettava € 6]]/Ohj.lask.[[#Totals],[Perus-, suoritus- ja vaikuttavuusrahoitus yhteensä, €]]</totalsRowFormula>
    </tableColumn>
    <tableColumn id="54" xr3:uid="{00000000-0010-0000-0200-000036000000}" name="-josta työpaikka-kysely" totalsRowFunction="custom" dataDxfId="221" totalsRowDxfId="160" dataCellStyle="Prosenttia">
      <calculatedColumnFormula>IFERROR(VLOOKUP(Vertailu[[#This Row],[Y-tunnus]],'1.2 Ohjaus-laskentataulu'!A:AQ,COLUMN('1.2 Ohjaus-laskentataulu'!AC:AC),FALSE)/VLOOKUP(Vertailu[[#This Row],[Y-tunnus]],'1.2 Ohjaus-laskentataulu'!A:AQ,COLUMN('1.2 Ohjaus-laskentataulu'!AO:AO),FALSE),0)</calculatedColumnFormula>
      <totalsRowFormula>Ohj.lask.[[#Totals],[Jaettava € 7]]/Ohj.lask.[[#Totals],[Perus-, suoritus- ja vaikuttavuusrahoitus yhteensä, €]]</totalsRowFormula>
    </tableColumn>
    <tableColumn id="12" xr3:uid="{00000000-0010-0000-0200-00000C000000}" name="Rahoitus pl. hark. kor. 2024 ilman alv, €" totalsRowFunction="sum" dataDxfId="220" totalsRowDxfId="189">
      <calculatedColumnFormula>IFERROR(VLOOKUP(Vertailu[[#This Row],[Y-tunnus]],#REF!,COLUMN(#REF!),FALSE)-VLOOKUP(Vertailu[[#This Row],[Y-tunnus]],#REF!,COLUMN(#REF!),FALSE),0)</calculatedColumnFormula>
    </tableColumn>
    <tableColumn id="16" xr3:uid="{00000000-0010-0000-0200-000010000000}" name="Rahoitus pl. hark. kor. 2025 ilman alv, €" totalsRowFunction="sum" dataDxfId="219" totalsRowDxfId="188">
      <calculatedColumnFormula>IFERROR(VLOOKUP(Vertailu[[#This Row],[Y-tunnus]],'1.2 Ohjaus-laskentataulu'!A:AQ,COLUMN('1.2 Ohjaus-laskentataulu'!AE:AE),FALSE),0)</calculatedColumnFormula>
    </tableColumn>
    <tableColumn id="14" xr3:uid="{00000000-0010-0000-0200-00000E000000}" name="Muutos, € 1" totalsRowFunction="sum" dataDxfId="218" totalsRowDxfId="187">
      <calculatedColumnFormula>IFERROR(Vertailu[[#This Row],[Rahoitus pl. hark. kor. 2025 ilman alv, €]]-Vertailu[[#This Row],[Rahoitus pl. hark. kor. 2024 ilman alv, €]],0)</calculatedColumnFormula>
    </tableColumn>
    <tableColumn id="15" xr3:uid="{00000000-0010-0000-0200-00000F000000}" name="Muutos, % 1" totalsRowFunction="custom" dataDxfId="217" totalsRowDxfId="186" dataCellStyle="Prosenttia">
      <calculatedColumnFormula>IFERROR(Vertailu[[#This Row],[Muutos, € 1]]/Vertailu[[#This Row],[Rahoitus pl. hark. kor. 2024 ilman alv, €]],0)</calculatedColumnFormula>
      <totalsRowFormula>IFERROR(Vertailu[[#Totals],[Muutos, € 1]]/Vertailu[[#Totals],[Rahoitus pl. hark. kor. 2024 ilman alv, €]],0)</totalsRowFormula>
    </tableColumn>
    <tableColumn id="37" xr3:uid="{00000000-0010-0000-0200-000025000000}" name="Rahoitus ml. hark. kor. _x000a_2024 ilman alv, €" totalsRowFunction="sum" dataDxfId="216" totalsRowDxfId="185" dataCellStyle="Prosenttia">
      <calculatedColumnFormula>IFERROR(VLOOKUP(Vertailu[[#This Row],[Y-tunnus]],#REF!,COLUMN(#REF!),FALSE),0)</calculatedColumnFormula>
    </tableColumn>
    <tableColumn id="23" xr3:uid="{00000000-0010-0000-0200-000017000000}" name="Rahoitus ml. hark. kor. _x000a_2025 ilman alv, €" totalsRowFunction="sum" dataDxfId="215" totalsRowDxfId="184" dataCellStyle="Prosenttia">
      <calculatedColumnFormula>IFERROR(VLOOKUP(Vertailu[[#This Row],[Y-tunnus]],'1.2 Ohjaus-laskentataulu'!A:AQ,COLUMN('1.2 Ohjaus-laskentataulu'!AO:AO),FALSE),0)</calculatedColumnFormula>
    </tableColumn>
    <tableColumn id="13" xr3:uid="{00000000-0010-0000-0200-00000D000000}" name="Muutos, € 2" totalsRowFunction="sum" dataDxfId="214" totalsRowDxfId="183" dataCellStyle="Prosenttia">
      <calculatedColumnFormula>IFERROR(Vertailu[[#This Row],[Rahoitus ml. hark. kor. 
2025 ilman alv, €]]-Vertailu[[#This Row],[Rahoitus ml. hark. kor. 
2024 ilman alv, €]],0)</calculatedColumnFormula>
    </tableColumn>
    <tableColumn id="11" xr3:uid="{00000000-0010-0000-0200-00000B000000}" name="Muutos, % 2" totalsRowFunction="custom" dataDxfId="213" totalsRowDxfId="182" dataCellStyle="Prosenttia">
      <calculatedColumnFormula>IFERROR(Vertailu[[#This Row],[Muutos, € 2]]/Vertailu[[#This Row],[Rahoitus ml. hark. kor. 
2024 ilman alv, €]],0)</calculatedColumnFormula>
      <totalsRowFormula>IFERROR(Vertailu[[#Totals],[Muutos, € 2]]/Vertailu[[#Totals],[Rahoitus ml. hark. kor. 
2024 ilman alv, €]],0)</totalsRowFormula>
    </tableColumn>
    <tableColumn id="30" xr3:uid="{00000000-0010-0000-0200-00001E000000}" name="Rahoitus ml. hark. kor. + alv 2024, €" totalsRowFunction="sum" dataDxfId="212" totalsRowDxfId="181" dataCellStyle="Prosenttia">
      <calculatedColumnFormula>IFERROR(VLOOKUP(Vertailu[[#This Row],[Y-tunnus]],#REF!,COLUMN(#REF!),FALSE)+VLOOKUP(Vertailu[[#This Row],[Y-tunnus]],#REF!,COLUMN(#REF!),FALSE),0)</calculatedColumnFormula>
    </tableColumn>
    <tableColumn id="45" xr3:uid="{00000000-0010-0000-0200-00002D000000}" name="Rahoitus ml. hark. kor. + alv 2025, €" totalsRowFunction="sum" dataDxfId="211" totalsRowDxfId="180" dataCellStyle="Prosenttia">
      <calculatedColumnFormula>IFERROR(VLOOKUP(Vertailu[[#This Row],[Y-tunnus]],'1.2 Ohjaus-laskentataulu'!A:AQ,COLUMN('1.2 Ohjaus-laskentataulu'!AQ:AQ),FALSE),0)</calculatedColumnFormula>
    </tableColumn>
    <tableColumn id="44" xr3:uid="{00000000-0010-0000-0200-00002C000000}" name="Muutos, € 3" totalsRowFunction="sum" dataDxfId="210" totalsRowDxfId="179" dataCellStyle="Prosenttia">
      <calculatedColumnFormula>IFERROR(Vertailu[[#This Row],[Rahoitus ml. hark. kor. + alv 2025, €]]-Vertailu[[#This Row],[Rahoitus ml. hark. kor. + alv 2024, €]],0)</calculatedColumnFormula>
    </tableColumn>
    <tableColumn id="24" xr3:uid="{00000000-0010-0000-0200-000018000000}" name="Muutos, % 3" totalsRowFunction="custom" dataDxfId="209" totalsRowDxfId="178" dataCellStyle="Prosenttia">
      <calculatedColumnFormula>IFERROR(Vertailu[[#This Row],[Muutos, € 3]]/Vertailu[[#This Row],[Rahoitus ml. hark. kor. + alv 2024, €]],0)</calculatedColumnFormula>
      <totalsRowFormula>IFERROR(Vertailu[[#Totals],[Muutos, € 3]]/Vertailu[[#Totals],[Rahoitus ml. hark. kor. + alv 2024, €]],0)</totalsRowFormula>
    </tableColumn>
    <tableColumn id="40" xr3:uid="{00000000-0010-0000-0200-000028000000}" name="Perusrahoitus 2024, €" totalsRowFunction="sum" dataDxfId="208" totalsRowDxfId="177">
      <calculatedColumnFormula>IFERROR(VLOOKUP(Vertailu[[#This Row],[Y-tunnus]],#REF!,COLUMN(#REF!),FALSE),0)</calculatedColumnFormula>
    </tableColumn>
    <tableColumn id="41" xr3:uid="{00000000-0010-0000-0200-000029000000}" name="Perusrahoitus 2025, €" totalsRowFunction="sum" dataDxfId="207" totalsRowDxfId="176">
      <calculatedColumnFormula>IFERROR(VLOOKUP(Vertailu[[#This Row],[Y-tunnus]],'1.2 Ohjaus-laskentataulu'!A:AQ,COLUMN('1.2 Ohjaus-laskentataulu'!AL:AL),FALSE),0)</calculatedColumnFormula>
    </tableColumn>
    <tableColumn id="42" xr3:uid="{00000000-0010-0000-0200-00002A000000}" name="Perusrahoituksen muutos, €" totalsRowFunction="sum" dataDxfId="206" totalsRowDxfId="175">
      <calculatedColumnFormula>Vertailu[[#This Row],[Perusrahoitus 2025, €]]-Vertailu[[#This Row],[Perusrahoitus 2024, €]]</calculatedColumnFormula>
    </tableColumn>
    <tableColumn id="43" xr3:uid="{00000000-0010-0000-0200-00002B000000}" name="Perusrahoituksen muutos, %" totalsRowFunction="custom" dataDxfId="205" totalsRowDxfId="174" dataCellStyle="Prosenttia">
      <calculatedColumnFormula>IFERROR(Vertailu[[#This Row],[Perusrahoituksen muutos, €]]/Vertailu[[#This Row],[Perusrahoitus 2024, €]],0)</calculatedColumnFormula>
      <totalsRowFormula>IFERROR(Vertailu[[#Totals],[Perusrahoituksen muutos, €]]/Vertailu[[#Totals],[Perusrahoitus 2024, €]],0)</totalsRowFormula>
    </tableColumn>
    <tableColumn id="46" xr3:uid="{00000000-0010-0000-0200-00002E000000}" name="Suoritusrahoitus 2024, €" totalsRowFunction="sum" dataDxfId="204" totalsRowDxfId="173">
      <calculatedColumnFormula>IFERROR(VLOOKUP(Vertailu[[#This Row],[Y-tunnus]],#REF!,COLUMN(#REF!),FALSE),0)</calculatedColumnFormula>
    </tableColumn>
    <tableColumn id="47" xr3:uid="{00000000-0010-0000-0200-00002F000000}" name="Suoritusrahoitus 2025, €" totalsRowFunction="sum" dataDxfId="203" totalsRowDxfId="172">
      <calculatedColumnFormula>IFERROR(VLOOKUP(Vertailu[[#This Row],[Y-tunnus]],'1.2 Ohjaus-laskentataulu'!A:AQ,COLUMN('1.2 Ohjaus-laskentataulu'!N:N),FALSE),0)</calculatedColumnFormula>
    </tableColumn>
    <tableColumn id="48" xr3:uid="{00000000-0010-0000-0200-000030000000}" name="Suoritusrahoituksen muutos, €" totalsRowFunction="sum" dataDxfId="202" totalsRowDxfId="171">
      <calculatedColumnFormula>Vertailu[[#This Row],[Suoritusrahoitus 2025, €]]-Vertailu[[#This Row],[Suoritusrahoitus 2024, €]]</calculatedColumnFormula>
    </tableColumn>
    <tableColumn id="49" xr3:uid="{00000000-0010-0000-0200-000031000000}" name="Suoritusrahoituksen muutos, %" totalsRowFunction="custom" dataDxfId="201" totalsRowDxfId="170" dataCellStyle="Prosenttia">
      <calculatedColumnFormula>IFERROR(Vertailu[[#This Row],[Suoritusrahoituksen muutos, €]]/Vertailu[[#This Row],[Suoritusrahoitus 2024, €]],0)</calculatedColumnFormula>
      <totalsRowFormula>IFERROR(Vertailu[[#Totals],[Suoritusrahoituksen muutos, €]]/Vertailu[[#Totals],[Suoritusrahoitus 2024, €]],0)</totalsRowFormula>
    </tableColumn>
    <tableColumn id="50" xr3:uid="{00000000-0010-0000-0200-000032000000}" name="Vaikuttavuusrahoitus 2024, €" totalsRowFunction="sum" dataDxfId="200" totalsRowDxfId="169">
      <calculatedColumnFormula>IFERROR(VLOOKUP(Vertailu[[#This Row],[Y-tunnus]],#REF!,COLUMN(#REF!),FALSE),0)</calculatedColumnFormula>
    </tableColumn>
    <tableColumn id="51" xr3:uid="{00000000-0010-0000-0200-000033000000}" name="Vaikuttavuusrahoitus 2025, €" totalsRowFunction="sum" dataDxfId="199" totalsRowDxfId="168">
      <calculatedColumnFormula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calculatedColumnFormula>
    </tableColumn>
    <tableColumn id="52" xr3:uid="{00000000-0010-0000-0200-000034000000}" name="Vaikuttavuusrahoituksen muutos, €" totalsRowFunction="sum" dataDxfId="198" totalsRowDxfId="167">
      <calculatedColumnFormula>Vertailu[[#This Row],[Vaikuttavuusrahoitus 2025, €]]-Vertailu[[#This Row],[Vaikuttavuusrahoitus 2024, €]]</calculatedColumnFormula>
    </tableColumn>
    <tableColumn id="53" xr3:uid="{00000000-0010-0000-0200-000035000000}" name="Vaikuttavuusrahoituksen muutos, %" totalsRowFunction="custom" dataDxfId="197" totalsRowDxfId="166" dataCellStyle="Prosenttia">
      <calculatedColumnFormula>IFERROR(Vertailu[[#This Row],[Vaikuttavuusrahoituksen muutos, €]]/Vertailu[[#This Row],[Vaikuttavuusrahoitus 2024, €]],0)</calculatedColumnFormula>
      <totalsRowFormula>IFERROR(Vertailu[[#Totals],[Vaikuttavuusrahoituksen muutos, €]]/Vertailu[[#Totals],[Vaikuttavuusrahoitus 2024, €]],0)</totalsRowFormula>
    </tableColumn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aakunt." displayName="Maakunt." ref="A5:BB24" totalsRowCount="1" headerRowDxfId="271" dataDxfId="270" totalsRowDxfId="269">
  <autoFilter ref="A5:BB23" xr:uid="{00000000-0009-0000-0100-000004000000}"/>
  <tableColumns count="54">
    <tableColumn id="1" xr3:uid="{00000000-0010-0000-0300-000001000000}" name="Maakunta" totalsRowLabel="Summa" dataDxfId="268" totalsRowDxfId="143"/>
    <tableColumn id="2" xr3:uid="{00000000-0010-0000-0300-000002000000}" name="Järjestäjien kokonais-määrä" totalsRowFunction="sum" dataDxfId="267" totalsRowDxfId="142">
      <calculatedColumnFormula>COUNTIF(Ohj.lask.[Maakunta],Maakunt.[[#This Row],[Maakunta]])</calculatedColumnFormula>
    </tableColumn>
    <tableColumn id="50" xr3:uid="{00000000-0010-0000-0300-000032000000}" name="Yksityinen" totalsRowFunction="sum" dataDxfId="266" totalsRowDxfId="141">
      <calculatedColumnFormula>COUNTIFS(Ohj.lask.[Maakunta],Maakunt.[[#This Row],[Maakunta]],Ohj.lask.[Omistajatyyppi],"=yksityinen")</calculatedColumnFormula>
    </tableColumn>
    <tableColumn id="3" xr3:uid="{00000000-0010-0000-0300-000003000000}" name="Kunta" totalsRowFunction="sum" dataDxfId="265" totalsRowDxfId="140">
      <calculatedColumnFormula>COUNTIFS(Ohj.lask.[Maakunta],Maakunt.[[#This Row],[Maakunta]],Ohj.lask.[Omistajatyyppi],"=kunta")</calculatedColumnFormula>
    </tableColumn>
    <tableColumn id="4" xr3:uid="{00000000-0010-0000-0300-000004000000}" name="Kunta-yhtymä" totalsRowFunction="sum" dataDxfId="264" totalsRowDxfId="139">
      <calculatedColumnFormula>COUNTIFS(Ohj.lask.[Maakunta],Maakunt.[[#This Row],[Maakunta]],Ohj.lask.[Omistajatyyppi],"=kuntayhtymä")</calculatedColumnFormula>
    </tableColumn>
    <tableColumn id="5" xr3:uid="{00000000-0010-0000-0300-000005000000}" name="Järjestämisluvan opisk.vuosien vähimmäismäärä" totalsRowFunction="sum" dataDxfId="263" totalsRowDxfId="138">
      <calculatedColumnFormula>SUMIF(Ohj.lask.[Maakunta],Maakunt.[[#This Row],[Maakunta]],Ohj.lask.[Järjestämisluvan opisk.vuosien vähimmäismäärä (ei noudateta 2025)])</calculatedColumnFormula>
    </tableColumn>
    <tableColumn id="7" xr3:uid="{00000000-0010-0000-0300-000007000000}" name="Tavoitteelliset opiske-lijavuodet" totalsRowFunction="sum" dataDxfId="262" totalsRowDxfId="137">
      <calculatedColumnFormula>SUMIF(Ohj.lask.[Maakunta],Maakunt.[[#This Row],[Maakunta]],Ohj.lask.[Tavoitteelliset opiskelija-vuodet])</calculatedColumnFormula>
    </tableColumn>
    <tableColumn id="8" xr3:uid="{00000000-0010-0000-0300-000008000000}" name="Keskimääräinen profiilikerroin" totalsRowFunction="custom" dataDxfId="261" totalsRowDxfId="136">
      <calculatedColumnFormula>Maakunt.[[#This Row],[Painotetut opiskelija-vuodet]]/Maakunt.[[#This Row],[Tavoitteelliset opiske-lijavuodet]]</calculatedColumnFormula>
      <totalsRowFormula>Maakunt.[[#Totals],[Painotetut opiskelija-vuodet]]/Maakunt.[[#Totals],[Tavoitteelliset opiske-lijavuodet]]</totalsRowFormula>
    </tableColumn>
    <tableColumn id="9" xr3:uid="{00000000-0010-0000-0300-000009000000}" name="Painotetut opiskelija-vuodet" totalsRowFunction="sum" dataDxfId="260" totalsRowDxfId="135">
      <calculatedColumnFormula>SUMIF(Ohj.lask.[Maakunta],Maakunt.[[#This Row],[Maakunta]],Ohj.lask.[Painotetut opiskelija-vuodet])</calculatedColumnFormula>
    </tableColumn>
    <tableColumn id="10" xr3:uid="{00000000-0010-0000-0300-00000A000000}" name="%-osuus 1" totalsRowFunction="sum" dataDxfId="259" totalsRowDxfId="134" dataCellStyle="Prosenttia">
      <calculatedColumnFormula>SUMIF(Ohj.lask.[Maakunta],Maakunt.[[#This Row],[Maakunta]],Ohj.lask.[%-osuus 1])</calculatedColumnFormula>
    </tableColumn>
    <tableColumn id="11" xr3:uid="{00000000-0010-0000-0300-00000B000000}" name="Jaettava € 1" totalsRowFunction="sum" dataDxfId="258" totalsRowDxfId="133">
      <calculatedColumnFormula>SUMIF(Ohj.lask.[Maakunta],Maakunt.[[#This Row],[Maakunta]],Ohj.lask.[Jaettava € 1])</calculatedColumnFormula>
    </tableColumn>
    <tableColumn id="12" xr3:uid="{00000000-0010-0000-0300-00000C000000}" name="Painotetut pisteet 2" totalsRowFunction="sum" dataDxfId="257" totalsRowDxfId="132">
      <calculatedColumnFormula>SUMIF(Ohj.lask.[Maakunta],Maakunt.[[#This Row],[Maakunta]],Ohj.lask.[Painotetut pisteet 2])</calculatedColumnFormula>
    </tableColumn>
    <tableColumn id="13" xr3:uid="{00000000-0010-0000-0300-00000D000000}" name="%-osuus 2" totalsRowFunction="sum" dataDxfId="256" totalsRowDxfId="131" dataCellStyle="Prosenttia">
      <calculatedColumnFormula>SUMIF(Ohj.lask.[Maakunta],Maakunt.[[#This Row],[Maakunta]],Ohj.lask.[%-osuus 2])</calculatedColumnFormula>
    </tableColumn>
    <tableColumn id="14" xr3:uid="{00000000-0010-0000-0300-00000E000000}" name="Jaettava € 2" totalsRowFunction="sum" dataDxfId="255" totalsRowDxfId="130">
      <calculatedColumnFormula>SUMIF(Ohj.lask.[Maakunta],Maakunt.[[#This Row],[Maakunta]],Ohj.lask.[Jaettava € 2])</calculatedColumnFormula>
    </tableColumn>
    <tableColumn id="15" xr3:uid="{00000000-0010-0000-0300-00000F000000}" name="Painotetut pisteet 3" totalsRowFunction="sum" dataDxfId="254" totalsRowDxfId="129">
      <calculatedColumnFormula>SUMIF(Ohj.lask.[Maakunta],Maakunt.[[#This Row],[Maakunta]],Ohj.lask.[Painotetut pisteet 3])</calculatedColumnFormula>
    </tableColumn>
    <tableColumn id="16" xr3:uid="{00000000-0010-0000-0300-000010000000}" name="%-osuus 3" totalsRowFunction="sum" dataDxfId="253" totalsRowDxfId="128" dataCellStyle="Prosenttia">
      <calculatedColumnFormula>SUMIF(Ohj.lask.[Maakunta],Maakunt.[[#This Row],[Maakunta]],Ohj.lask.[%-osuus 3])</calculatedColumnFormula>
    </tableColumn>
    <tableColumn id="17" xr3:uid="{00000000-0010-0000-0300-000011000000}" name="Jaettava € 3" totalsRowFunction="sum" dataDxfId="252" totalsRowDxfId="127">
      <calculatedColumnFormula>SUMIF(Ohj.lask.[Maakunta],Maakunt.[[#This Row],[Maakunta]],Ohj.lask.[Jaettava € 3])</calculatedColumnFormula>
    </tableColumn>
    <tableColumn id="18" xr3:uid="{00000000-0010-0000-0300-000012000000}" name="Painotetut pisteet 4" totalsRowFunction="sum" dataDxfId="251" totalsRowDxfId="126">
      <calculatedColumnFormula>SUMIF(Ohj.lask.[Maakunta],Maakunt.[[#This Row],[Maakunta]],Ohj.lask.[Painotetut pisteet 4])</calculatedColumnFormula>
    </tableColumn>
    <tableColumn id="19" xr3:uid="{00000000-0010-0000-0300-000013000000}" name="%-osuus 4" totalsRowFunction="sum" dataDxfId="250" totalsRowDxfId="125" dataCellStyle="Prosenttia">
      <calculatedColumnFormula>SUMIF(Ohj.lask.[Maakunta],Maakunt.[[#This Row],[Maakunta]],Ohj.lask.[%-osuus 4])</calculatedColumnFormula>
    </tableColumn>
    <tableColumn id="20" xr3:uid="{00000000-0010-0000-0300-000014000000}" name="Jaettava € 4" totalsRowFunction="sum" dataDxfId="249" totalsRowDxfId="124">
      <calculatedColumnFormula>SUMIF(Ohj.lask.[Maakunta],Maakunt.[[#This Row],[Maakunta]],Ohj.lask.[Jaettava € 4])</calculatedColumnFormula>
    </tableColumn>
    <tableColumn id="21" xr3:uid="{00000000-0010-0000-0300-000015000000}" name="Painotetut pisteet 5" totalsRowFunction="sum" dataDxfId="248" totalsRowDxfId="123">
      <calculatedColumnFormula>SUMIF(Ohj.lask.[Maakunta],Maakunt.[[#This Row],[Maakunta]],Ohj.lask.[Painotetut pisteet 5])</calculatedColumnFormula>
    </tableColumn>
    <tableColumn id="22" xr3:uid="{00000000-0010-0000-0300-000016000000}" name="%-osuus 5" totalsRowFunction="sum" dataDxfId="247" totalsRowDxfId="122" dataCellStyle="Prosenttia">
      <calculatedColumnFormula>SUMIF(Ohj.lask.[Maakunta],Maakunt.[[#This Row],[Maakunta]],Ohj.lask.[%-osuus 5])</calculatedColumnFormula>
    </tableColumn>
    <tableColumn id="23" xr3:uid="{00000000-0010-0000-0300-000017000000}" name="Jaettava € 5" totalsRowFunction="sum" dataDxfId="246" totalsRowDxfId="121">
      <calculatedColumnFormula>SUMIF(Ohj.lask.[Maakunta],Maakunt.[[#This Row],[Maakunta]],Ohj.lask.[Jaettava € 5])</calculatedColumnFormula>
    </tableColumn>
    <tableColumn id="65" xr3:uid="{210B4928-BAC6-49FC-8C78-ADA92173BC98}" name="Painotetut pisteet 6" totalsRowFunction="sum" dataDxfId="158" totalsRowDxfId="120">
      <calculatedColumnFormula>SUMIF(Ohj.lask.[Maakunta],Maakunt.[[#This Row],[Maakunta]],Ohj.lask.[Painotetut pisteet 6])</calculatedColumnFormula>
    </tableColumn>
    <tableColumn id="64" xr3:uid="{63A4ABB5-03FC-4537-83D3-DAEE99F89757}" name="%-osuus 6" totalsRowFunction="sum" dataDxfId="157" totalsRowDxfId="119" dataCellStyle="Prosenttia">
      <calculatedColumnFormula>SUMIF(Ohj.lask.[Maakunta],Maakunt.[[#This Row],[Maakunta]],Ohj.lask.[%-osuus 6])</calculatedColumnFormula>
    </tableColumn>
    <tableColumn id="63" xr3:uid="{9D52F7DC-D0FB-485E-AE99-C18675A724D4}" name="Jaettava € 6" totalsRowFunction="sum" dataDxfId="154" totalsRowDxfId="118">
      <calculatedColumnFormula>SUMIF(Ohj.lask.[Maakunta],Maakunt.[[#This Row],[Maakunta]],Ohj.lask.[Jaettava € 6])</calculatedColumnFormula>
    </tableColumn>
    <tableColumn id="62" xr3:uid="{20F801A4-E202-4EA5-8F4C-6570E3E7044F}" name="Pisteet 7" totalsRowFunction="sum" dataDxfId="156" totalsRowDxfId="117">
      <calculatedColumnFormula>SUMIF(Ohj.lask.[Maakunta],Maakunt.[[#This Row],[Maakunta]],Ohj.lask.[Pisteet 7])</calculatedColumnFormula>
    </tableColumn>
    <tableColumn id="56" xr3:uid="{D8B71567-01F2-4A23-AA85-4A29E10DF884}" name="%-osuus 7" totalsRowFunction="sum" dataDxfId="155" totalsRowDxfId="116" dataCellStyle="Prosenttia">
      <calculatedColumnFormula>SUMIF(Ohj.lask.[Maakunta],Maakunt.[[#This Row],[Maakunta]],Ohj.lask.[%-osuus 7])</calculatedColumnFormula>
    </tableColumn>
    <tableColumn id="38" xr3:uid="{E3C04FD8-6461-4FF0-B7A1-0DCB16AD5067}" name="Jaettava € 7" totalsRowFunction="sum" dataDxfId="153" totalsRowDxfId="115">
      <calculatedColumnFormula>SUMIF(Ohj.lask.[Maakunta],Maakunt.[[#This Row],[Maakunta]],Ohj.lask.[Jaettava € 7])</calculatedColumnFormula>
    </tableColumn>
    <tableColumn id="24" xr3:uid="{00000000-0010-0000-0300-000018000000}" name="%-osuus 8" totalsRowFunction="sum" dataDxfId="245" totalsRowDxfId="114" dataCellStyle="Prosenttia">
      <calculatedColumnFormula>SUMIF(Ohj.lask.[Maakunta],Maakunt.[[#This Row],[Maakunta]],Ohj.lask.[%-osuus 8])</calculatedColumnFormula>
    </tableColumn>
    <tableColumn id="25" xr3:uid="{00000000-0010-0000-0300-000019000000}" name="Jaettava € 8" totalsRowFunction="sum" dataDxfId="244" totalsRowDxfId="113">
      <calculatedColumnFormula>SUMIF(Ohj.lask.[Maakunta],Maakunt.[[#This Row],[Maakunta]],Ohj.lask.[Jaettava € 8])</calculatedColumnFormula>
    </tableColumn>
    <tableColumn id="27" xr3:uid="{00000000-0010-0000-0300-00001B000000}" name="Harkinnanvarainen korotus 1, €" totalsRowFunction="sum" dataDxfId="151" totalsRowDxfId="112">
      <calculatedColumnFormula>SUMIF(Ohj.lask.[Maakunta],Maakunt.[[#This Row],[Maakunta]],Ohj.lask.[Harkinnanvarainen korotus 1, €])</calculatedColumnFormula>
    </tableColumn>
    <tableColumn id="29" xr3:uid="{00000000-0010-0000-0300-00001D000000}" name="Harkinnanvarainen korotus 2, €" totalsRowFunction="sum" dataDxfId="150" totalsRowDxfId="111">
      <calculatedColumnFormula>SUMIF(Ohj.lask.[Maakunta],Maakunt.[[#This Row],[Maakunta]],Ohj.lask.[Harkinnanvarainen korotus 2, €])</calculatedColumnFormula>
    </tableColumn>
    <tableColumn id="31" xr3:uid="{00000000-0010-0000-0300-00001F000000}" name="Harkinnanvarainen korotus 3, €" totalsRowFunction="sum" dataDxfId="149" totalsRowDxfId="110">
      <calculatedColumnFormula>SUMIF(Ohj.lask.[Maakunta],Maakunt.[[#This Row],[Maakunta]],Ohj.lask.[Harkinnanvarainen korotus 3, €])</calculatedColumnFormula>
    </tableColumn>
    <tableColumn id="33" xr3:uid="{00000000-0010-0000-0300-000021000000}" name="Harkinnanvarainen korotus 4, €" totalsRowFunction="sum" dataDxfId="148" totalsRowDxfId="109">
      <calculatedColumnFormula>SUMIF(Ohj.lask.[Maakunta],Maakunt.[[#This Row],[Maakunta]],Ohj.lask.[Harkinnanvarainen korotus 4, €])</calculatedColumnFormula>
    </tableColumn>
    <tableColumn id="51" xr3:uid="{00000000-0010-0000-0300-000033000000}" name="Harkinnanvarainen korotus 5, €" totalsRowFunction="sum" dataDxfId="147" totalsRowDxfId="108">
      <calculatedColumnFormula>SUMIF(Ohj.lask.[Maakunta],Maakunt.[[#This Row],[Maakunta]],Ohj.lask.[Harkinnanvarainen korotus 5, €])</calculatedColumnFormula>
    </tableColumn>
    <tableColumn id="35" xr3:uid="{00000000-0010-0000-0300-000023000000}" name="Harkinnanvarainen korotus yhteensä, €" totalsRowFunction="sum" dataDxfId="152" totalsRowDxfId="107">
      <calculatedColumnFormula>SUMIF(Ohj.lask.[Maakunta],Maakunt.[[#This Row],[Maakunta]],Ohj.lask.[Harkinnanvarainen korotus yhteensä, €])</calculatedColumnFormula>
    </tableColumn>
    <tableColumn id="36" xr3:uid="{00000000-0010-0000-0300-000024000000}" name="Suoriteperusteinen (opiskelijavuosiin perustuva) sekä harkinnanvarainen korotus, €" totalsRowFunction="sum" dataDxfId="243" totalsRowDxfId="106">
      <calculatedColumnFormula>SUMIF(Ohj.lask.[Maakunta],Maakunt.[[#This Row],[Maakunta]],Ohj.lask.[Suoriteperusteinen (opiskelijavuosiin perustuva) sekä harkinnanvarainen korotus, €])</calculatedColumnFormula>
    </tableColumn>
    <tableColumn id="54" xr3:uid="{00000000-0010-0000-0300-000036000000}" name="Suoritusrahoitus, €" totalsRowFunction="sum" dataDxfId="242" totalsRowDxfId="105">
      <calculatedColumnFormula>SUMIF(Ohj.lask.[Maakunta],Maakunt.[[#This Row],[Maakunta]],Ohj.lask.[Suoritusrahoitus, €])</calculatedColumnFormula>
    </tableColumn>
    <tableColumn id="53" xr3:uid="{00000000-0010-0000-0300-000035000000}" name="Työllistymiseen ja jatko-opintoihin siirtymiseen perustuva sekä opiskelija-palautteisiin perustuva, €" totalsRowFunction="sum" dataDxfId="241" totalsRowDxfId="104">
      <calculatedColumnFormula>SUMIF(Ohj.lask.[Maakunta],Maakunt.[[#This Row],[Maakunta]],Ohj.lask.[Työllistymiseen ja jatko-opintoihin siirtymiseen, opiskelijapalautteiseen sekä työelämäpalautteeseen perustuva, €])</calculatedColumnFormula>
    </tableColumn>
    <tableColumn id="37" xr3:uid="{00000000-0010-0000-0300-000025000000}" name="Perus-, suoritus- ja vaikuttavuusrahoitus yhteensä, €" totalsRowFunction="sum" dataDxfId="240" totalsRowDxfId="103">
      <calculatedColumnFormula>SUMIF(Ohj.lask.[Maakunta],Maakunt.[[#This Row],[Maakunta]],Ohj.lask.[Perus-, suoritus- ja vaikuttavuusrahoitus yhteensä, €])</calculatedColumnFormula>
    </tableColumn>
    <tableColumn id="57" xr3:uid="{00000000-0010-0000-0300-000039000000}" name="Suorite-perusteinen perusrahoitus (pl. hark. kor.)" totalsRowFunction="custom" dataDxfId="239" totalsRowDxfId="102" dataCellStyle="Prosenttia">
      <calculatedColumnFormula>Maakunt.[[#This Row],[Jaettava € 1]]/Maakunt.[[#This Row],[Perus-, suoritus- ja vaikuttavuusrahoitus yhteensä, €]]</calculatedColumnFormula>
      <totalsRowFormula>Maakunt.[[#Totals],[Jaettava € 1]]/Maakunt.[[#Totals],[Perus-, suoritus- ja vaikuttavuusrahoitus yhteensä, €]]</totalsRowFormula>
    </tableColumn>
    <tableColumn id="39" xr3:uid="{00000000-0010-0000-0300-000027000000}" name="Perusrahoitus yhteensä (ml. hark. kor.)" totalsRowFunction="custom" dataDxfId="238" totalsRowDxfId="101" dataCellStyle="Prosenttia">
      <calculatedColumnFormula>Maakunt.[[#This Row],[Suoriteperusteinen (opiskelijavuosiin perustuva) sekä harkinnanvarainen korotus, €]]/Maakunt.[[#This Row],[Perus-, suoritus- ja vaikuttavuusrahoitus yhteensä, €]]</calculatedColumnFormula>
      <totalsRowFormula>Maakunt.[[#Totals],[Suoriteperusteinen (opiskelijavuosiin perustuva) sekä harkinnanvarainen korotus, €]]/Maakunt.[[#Totals],[Perus-, suoritus- ja vaikuttavuusrahoitus yhteensä, €]]</totalsRowFormula>
    </tableColumn>
    <tableColumn id="40" xr3:uid="{00000000-0010-0000-0300-000028000000}" name="Suoritus-rahoitus" totalsRowFunction="custom" dataDxfId="237" totalsRowDxfId="100" dataCellStyle="Prosenttia">
      <calculatedColumnFormula>Maakunt.[[#This Row],[Suoritusrahoitus, €]]/Maakunt.[[#This Row],[Perus-, suoritus- ja vaikuttavuusrahoitus yhteensä, €]]</calculatedColumnFormula>
      <totalsRowFormula>Maakunt.[[#Totals],[Suoritusrahoitus, €]]/Maakunt.[[#Totals],[Perus-, suoritus- ja vaikuttavuusrahoitus yhteensä, €]]</totalsRowFormula>
    </tableColumn>
    <tableColumn id="41" xr3:uid="{00000000-0010-0000-0300-000029000000}" name="Vaikuttavuus-rahoitus yhteensä" totalsRowFunction="custom" dataDxfId="236" totalsRowDxfId="99" dataCellStyle="Prosenttia">
      <calculatedColumnFormula>Maakunt.[[#This Row],[Työllistymiseen ja jatko-opintoihin siirtymiseen perustuva sekä opiskelija-palautteisiin perustuva, €]]/Maakunt.[[#This Row],[Perus-, suoritus- ja vaikuttavuusrahoitus yhteensä, €]]</calculatedColumnFormula>
      <totalsRowFormula>Maakunt.[[#Totals],[Työllistymiseen ja jatko-opintoihin siirtymiseen perustuva sekä opiskelija-palautteisiin perustuva, €]]/Maakunt.[[#Totals],[Perus-, suoritus- ja vaikuttavuusrahoitus yhteensä, €]]</totalsRowFormula>
    </tableColumn>
    <tableColumn id="42" xr3:uid="{00000000-0010-0000-0300-00002A000000}" name="-josta työllistyneet ja jatko-opiskelijat" totalsRowFunction="custom" dataDxfId="235" totalsRowDxfId="98" dataCellStyle="Prosenttia">
      <calculatedColumnFormula>SUMIF(Ohj.lask.[Maakunta],Maakunt.[[#This Row],[Maakunta]],Ohj.lask.[Jaettava € 3])/Maakunt.[[#This Row],[Perus-, suoritus- ja vaikuttavuusrahoitus yhteensä, €]]</calculatedColumnFormula>
      <totalsRowFormula>Ohj.lask.[[#Totals],[Jaettava € 3]]/Ohj.lask.[[#Totals],[Perus-, suoritus- ja vaikuttavuusrahoitus yhteensä, €]]</totalsRowFormula>
    </tableColumn>
    <tableColumn id="43" xr3:uid="{00000000-0010-0000-0300-00002B000000}" name="-josta aloittaneet opiskelija-palaute" totalsRowFunction="custom" dataDxfId="234" totalsRowDxfId="97" dataCellStyle="Prosenttia">
      <calculatedColumnFormula>SUMIF(Ohj.lask.[Maakunta],Maakunt.[[#This Row],[Maakunta]],Ohj.lask.[Jaettava € 4])/Maakunt.[[#This Row],[Perus-, suoritus- ja vaikuttavuusrahoitus yhteensä, €]]</calculatedColumnFormula>
      <totalsRowFormula>Ohj.lask.[[#Totals],[Jaettava € 4]]/Ohj.lask.[[#Totals],[Perus-, suoritus- ja vaikuttavuusrahoitus yhteensä, €]]</totalsRowFormula>
    </tableColumn>
    <tableColumn id="26" xr3:uid="{54E980D8-F257-4EC6-9642-C70F0C68B762}" name="-josta päättäneet opiskelija-palaute" totalsRowFunction="custom" dataDxfId="146" totalsRowDxfId="96" dataCellStyle="Prosenttia">
      <calculatedColumnFormula>SUMIF(Ohj.lask.[Maakunta],Maakunt.[[#This Row],[Maakunta]],Ohj.lask.[Jaettava € 5])/Maakunt.[[#This Row],[Perus-, suoritus- ja vaikuttavuusrahoitus yhteensä, €]]</calculatedColumnFormula>
      <totalsRowFormula>Ohj.lask.[[#Totals],[Jaettava € 5]]/Ohj.lask.[[#Totals],[Perus-, suoritus- ja vaikuttavuusrahoitus yhteensä, €]]</totalsRowFormula>
    </tableColumn>
    <tableColumn id="6" xr3:uid="{C2EE1639-FDA7-4F8B-9261-F89387E140B6}" name="-josta työpaikka-ohjaajakysely" totalsRowFunction="custom" dataDxfId="145" totalsRowDxfId="95" dataCellStyle="Prosenttia">
      <calculatedColumnFormula>SUMIF(Ohj.lask.[Maakunta],Maakunt.[[#This Row],[Maakunta]],Ohj.lask.[Jaettava € 6])/Maakunt.[[#This Row],[Perus-, suoritus- ja vaikuttavuusrahoitus yhteensä, €]]</calculatedColumnFormula>
      <totalsRowFormula>Ohj.lask.[[#Totals],[Jaettava € 6]]/Ohj.lask.[[#Totals],[Perus-, suoritus- ja vaikuttavuusrahoitus yhteensä, €]]</totalsRowFormula>
    </tableColumn>
    <tableColumn id="44" xr3:uid="{00000000-0010-0000-0300-00002C000000}" name="-josta työpaikka-kysely" totalsRowFunction="custom" dataDxfId="144" totalsRowDxfId="94" dataCellStyle="Prosenttia">
      <calculatedColumnFormula>SUMIF(Ohj.lask.[Maakunta],Maakunt.[[#This Row],[Maakunta]],Ohj.lask.[Jaettava € 7])/Maakunt.[[#This Row],[Perus-, suoritus- ja vaikuttavuusrahoitus yhteensä, €]]</calculatedColumnFormula>
      <totalsRowFormula>Ohj.lask.[[#Totals],[Jaettava € 7]]/Ohj.lask.[[#Totals],[Perus-, suoritus- ja vaikuttavuusrahoitus yhteensä, €]]</totalsRowFormula>
    </tableColumn>
    <tableColumn id="46" xr3:uid="{00000000-0010-0000-0300-00002E000000}" name="Rahoitus ml. hark. kor. _x000a_2024 ilman alv, €" totalsRowFunction="sum" dataDxfId="93" totalsRowDxfId="92">
      <calculatedColumnFormula>SUMIF(Vertailu[Maakunta],Maakunt.[[#This Row],[Maakunta]],Vertailu[Rahoitus ml. hark. kor. 
2024 ilman alv, €])</calculatedColumnFormula>
    </tableColumn>
    <tableColumn id="55" xr3:uid="{00000000-0010-0000-0300-000037000000}" name="Rahoitus ml. hark. kor. _x000a_2025 ilman alv, €" totalsRowFunction="sum" dataDxfId="91" totalsRowDxfId="90">
      <calculatedColumnFormula>SUMIF(Vertailu[Maakunta],Maakunt.[[#This Row],[Maakunta]],Vertailu[Rahoitus ml. hark. kor. 
2025 ilman alv, €])</calculatedColumnFormula>
    </tableColumn>
    <tableColumn id="48" xr3:uid="{00000000-0010-0000-0300-000030000000}" name="Muutos, € 2" totalsRowFunction="sum" dataDxfId="89" totalsRowDxfId="88">
      <calculatedColumnFormula>SUMIF(Vertailu[Maakunta],Maakunt.[[#This Row],[Maakunta]],Vertailu[Muutos, € 2])</calculatedColumnFormula>
    </tableColumn>
    <tableColumn id="49" xr3:uid="{00000000-0010-0000-0300-000031000000}" name="Muutos, % 2" totalsRowFunction="custom" dataDxfId="87" totalsRowDxfId="86" dataCellStyle="Prosenttia">
      <calculatedColumnFormula>IFERROR(Maakunt.[[#This Row],[Muutos, € 2]]/Maakunt.[[#This Row],[Rahoitus ml. hark. kor. 
2024 ilman alv, €]],0)</calculatedColumnFormula>
      <totalsRowFormula>IFERROR(Maakunt.[[#Totals],[Muutos, € 2]]/Maakunt.[[#Totals],[Rahoitus ml. hark. kor. 
2024 ilman alv, €]],0)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"/>
  <sheetViews>
    <sheetView tabSelected="1" workbookViewId="0"/>
  </sheetViews>
  <sheetFormatPr defaultRowHeight="15" x14ac:dyDescent="0.25"/>
  <cols>
    <col min="20" max="20" width="9.28515625" customWidth="1"/>
  </cols>
  <sheetData>
    <row r="1" spans="1:1" x14ac:dyDescent="0.25">
      <c r="A1" s="12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ul18">
    <tabColor theme="9" tint="0.59999389629810485"/>
  </sheetPr>
  <dimension ref="A1:Z267"/>
  <sheetViews>
    <sheetView zoomScale="90" zoomScaleNormal="90" workbookViewId="0">
      <pane xSplit="1" ySplit="3" topLeftCell="R250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48.5703125" customWidth="1"/>
    <col min="2" max="2" width="17.42578125" customWidth="1"/>
    <col min="3" max="25" width="17.42578125" style="144" customWidth="1"/>
  </cols>
  <sheetData>
    <row r="1" spans="1:26" ht="15" customHeight="1" x14ac:dyDescent="0.25">
      <c r="A1" s="198"/>
      <c r="B1" s="199" t="s">
        <v>12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6" ht="15" customHeight="1" x14ac:dyDescent="0.25">
      <c r="A2" s="200"/>
      <c r="B2" s="284" t="s">
        <v>126</v>
      </c>
      <c r="C2" s="284"/>
      <c r="D2" s="284"/>
      <c r="E2" s="284"/>
      <c r="F2" s="284"/>
      <c r="G2" s="284"/>
      <c r="H2" s="284"/>
      <c r="I2" s="284"/>
      <c r="J2" s="284" t="s">
        <v>127</v>
      </c>
      <c r="K2" s="284"/>
      <c r="L2" s="284"/>
      <c r="M2" s="284"/>
      <c r="N2" s="284"/>
      <c r="O2" s="284"/>
      <c r="P2" s="284"/>
      <c r="Q2" s="284"/>
      <c r="R2" s="284" t="s">
        <v>413</v>
      </c>
      <c r="S2" s="284" t="s">
        <v>414</v>
      </c>
      <c r="T2" s="284" t="s">
        <v>415</v>
      </c>
      <c r="U2" s="284" t="s">
        <v>447</v>
      </c>
      <c r="V2" s="284" t="s">
        <v>416</v>
      </c>
      <c r="W2" s="284" t="s">
        <v>417</v>
      </c>
      <c r="X2" s="284" t="s">
        <v>448</v>
      </c>
      <c r="Y2" s="284" t="s">
        <v>449</v>
      </c>
    </row>
    <row r="3" spans="1:26" ht="24" customHeight="1" x14ac:dyDescent="0.25">
      <c r="A3" s="201" t="s">
        <v>12</v>
      </c>
      <c r="B3" s="201" t="s">
        <v>405</v>
      </c>
      <c r="C3" s="201" t="s">
        <v>406</v>
      </c>
      <c r="D3" s="201" t="s">
        <v>407</v>
      </c>
      <c r="E3" s="201" t="s">
        <v>408</v>
      </c>
      <c r="F3" s="201" t="s">
        <v>409</v>
      </c>
      <c r="G3" s="201" t="s">
        <v>410</v>
      </c>
      <c r="H3" s="201" t="s">
        <v>411</v>
      </c>
      <c r="I3" s="201" t="s">
        <v>412</v>
      </c>
      <c r="J3" s="201" t="s">
        <v>405</v>
      </c>
      <c r="K3" s="201" t="s">
        <v>406</v>
      </c>
      <c r="L3" s="201" t="s">
        <v>407</v>
      </c>
      <c r="M3" s="201" t="s">
        <v>408</v>
      </c>
      <c r="N3" s="201" t="s">
        <v>409</v>
      </c>
      <c r="O3" s="201" t="s">
        <v>410</v>
      </c>
      <c r="P3" s="201" t="s">
        <v>411</v>
      </c>
      <c r="Q3" s="201" t="s">
        <v>412</v>
      </c>
      <c r="R3" s="284"/>
      <c r="S3" s="284"/>
      <c r="T3" s="284"/>
      <c r="U3" s="284"/>
      <c r="V3" s="284"/>
      <c r="W3" s="284"/>
      <c r="X3" s="284"/>
      <c r="Y3" s="284"/>
    </row>
    <row r="4" spans="1:26" ht="15" customHeight="1" x14ac:dyDescent="0.25">
      <c r="A4" s="156" t="s">
        <v>380</v>
      </c>
      <c r="B4" s="157">
        <v>2475</v>
      </c>
      <c r="C4" s="157">
        <v>1374</v>
      </c>
      <c r="D4" s="216">
        <v>0.55515151515151517</v>
      </c>
      <c r="E4" s="217">
        <v>1.7240623376623376</v>
      </c>
      <c r="F4" s="217">
        <v>4.3936191666666664</v>
      </c>
      <c r="G4" s="157">
        <v>72442</v>
      </c>
      <c r="H4" s="157">
        <v>374683.57159480517</v>
      </c>
      <c r="I4" s="208">
        <v>3.6315536701184051E-2</v>
      </c>
      <c r="J4" s="157">
        <v>1043</v>
      </c>
      <c r="K4" s="157">
        <v>524</v>
      </c>
      <c r="L4" s="216">
        <v>0.50239693192713331</v>
      </c>
      <c r="M4" s="217">
        <v>1.8316816874400768</v>
      </c>
      <c r="N4" s="217">
        <v>4.2398213333333334</v>
      </c>
      <c r="O4" s="157">
        <v>26660</v>
      </c>
      <c r="P4" s="157">
        <v>48832.633787152445</v>
      </c>
      <c r="Q4" s="208">
        <v>6.2666339909049809E-2</v>
      </c>
      <c r="R4" s="157">
        <v>3518</v>
      </c>
      <c r="S4" s="157">
        <v>1898</v>
      </c>
      <c r="T4" s="216">
        <v>0.53951108584422969</v>
      </c>
      <c r="U4" s="217">
        <v>1.7778720125512071</v>
      </c>
      <c r="V4" s="217">
        <v>4.3511586478749562</v>
      </c>
      <c r="W4" s="157">
        <v>99102</v>
      </c>
      <c r="X4" s="157">
        <v>423516.20538195758</v>
      </c>
      <c r="Y4" s="208">
        <v>3.8165981252754617E-2</v>
      </c>
      <c r="Z4" s="166"/>
    </row>
    <row r="5" spans="1:26" ht="15" customHeight="1" x14ac:dyDescent="0.25">
      <c r="A5" s="155" t="s">
        <v>379</v>
      </c>
      <c r="B5" s="158">
        <v>2475</v>
      </c>
      <c r="C5" s="158">
        <v>1374</v>
      </c>
      <c r="D5" s="218">
        <v>0.55515151515151517</v>
      </c>
      <c r="E5" s="219">
        <v>1.7240623376623376</v>
      </c>
      <c r="F5" s="219">
        <v>4.3936191666666664</v>
      </c>
      <c r="G5" s="158">
        <v>72442</v>
      </c>
      <c r="H5" s="158">
        <v>374683.57159480517</v>
      </c>
      <c r="I5" s="209">
        <v>3.6315536701184051E-2</v>
      </c>
      <c r="J5" s="158">
        <v>1043</v>
      </c>
      <c r="K5" s="158">
        <v>524</v>
      </c>
      <c r="L5" s="218">
        <v>0.50239693192713331</v>
      </c>
      <c r="M5" s="219">
        <v>1.8316816874400768</v>
      </c>
      <c r="N5" s="219">
        <v>4.2398213333333334</v>
      </c>
      <c r="O5" s="158">
        <v>26660</v>
      </c>
      <c r="P5" s="158">
        <v>48832.633787152445</v>
      </c>
      <c r="Q5" s="209">
        <v>6.2666339909049809E-2</v>
      </c>
      <c r="R5" s="158">
        <v>3518</v>
      </c>
      <c r="S5" s="158">
        <v>1898</v>
      </c>
      <c r="T5" s="218">
        <v>0.53951108584422969</v>
      </c>
      <c r="U5" s="219">
        <v>1.7778720125512071</v>
      </c>
      <c r="V5" s="219">
        <v>4.3511586478749562</v>
      </c>
      <c r="W5" s="158">
        <v>99102</v>
      </c>
      <c r="X5" s="158">
        <v>423516.20538195758</v>
      </c>
      <c r="Y5" s="209">
        <v>3.8165981252754617E-2</v>
      </c>
      <c r="Z5" s="166"/>
    </row>
    <row r="6" spans="1:26" ht="15" customHeight="1" x14ac:dyDescent="0.25">
      <c r="A6" s="156" t="s">
        <v>15</v>
      </c>
      <c r="B6" s="157">
        <v>158</v>
      </c>
      <c r="C6" s="157">
        <v>108</v>
      </c>
      <c r="D6" s="216">
        <v>0.68354430379746833</v>
      </c>
      <c r="E6" s="217">
        <v>1.4621410488245932</v>
      </c>
      <c r="F6" s="217">
        <v>4.3132711666666665</v>
      </c>
      <c r="G6" s="157">
        <v>5590</v>
      </c>
      <c r="H6" s="157">
        <v>24520.105388788426</v>
      </c>
      <c r="I6" s="208">
        <v>2.3765674683127549E-3</v>
      </c>
      <c r="J6" s="157">
        <v>76</v>
      </c>
      <c r="K6" s="157">
        <v>39</v>
      </c>
      <c r="L6" s="216">
        <v>0.51315789473684215</v>
      </c>
      <c r="M6" s="217">
        <v>1.8097293233082705</v>
      </c>
      <c r="N6" s="217">
        <v>4.3119654999999995</v>
      </c>
      <c r="O6" s="157">
        <v>2018</v>
      </c>
      <c r="P6" s="157">
        <v>3652.03377443609</v>
      </c>
      <c r="Q6" s="208">
        <v>4.6866116389641397E-3</v>
      </c>
      <c r="R6" s="157">
        <v>234</v>
      </c>
      <c r="S6" s="157">
        <v>147</v>
      </c>
      <c r="T6" s="216">
        <v>0.62820512820512819</v>
      </c>
      <c r="U6" s="217">
        <v>1.635935186066432</v>
      </c>
      <c r="V6" s="217">
        <v>4.3129247653061222</v>
      </c>
      <c r="W6" s="157">
        <v>7608</v>
      </c>
      <c r="X6" s="157">
        <v>28172.139163224518</v>
      </c>
      <c r="Y6" s="208">
        <v>2.5387867606716779E-3</v>
      </c>
      <c r="Z6" s="166"/>
    </row>
    <row r="7" spans="1:26" ht="15" customHeight="1" x14ac:dyDescent="0.25">
      <c r="A7" s="155" t="s">
        <v>321</v>
      </c>
      <c r="B7" s="158">
        <v>158</v>
      </c>
      <c r="C7" s="158">
        <v>108</v>
      </c>
      <c r="D7" s="218">
        <v>0.68354430379746833</v>
      </c>
      <c r="E7" s="219">
        <v>1.4621410488245932</v>
      </c>
      <c r="F7" s="219">
        <v>4.3132711666666665</v>
      </c>
      <c r="G7" s="158">
        <v>5590</v>
      </c>
      <c r="H7" s="158">
        <v>24520.105388788426</v>
      </c>
      <c r="I7" s="209">
        <v>2.3765674683127549E-3</v>
      </c>
      <c r="J7" s="158">
        <v>76</v>
      </c>
      <c r="K7" s="158">
        <v>39</v>
      </c>
      <c r="L7" s="218">
        <v>0.51315789473684215</v>
      </c>
      <c r="M7" s="219">
        <v>1.8097293233082705</v>
      </c>
      <c r="N7" s="219">
        <v>4.3119654999999995</v>
      </c>
      <c r="O7" s="158">
        <v>2018</v>
      </c>
      <c r="P7" s="158">
        <v>3652.03377443609</v>
      </c>
      <c r="Q7" s="209">
        <v>4.6866116389641397E-3</v>
      </c>
      <c r="R7" s="158">
        <v>234</v>
      </c>
      <c r="S7" s="158">
        <v>147</v>
      </c>
      <c r="T7" s="218">
        <v>0.62820512820512819</v>
      </c>
      <c r="U7" s="219">
        <v>1.635935186066432</v>
      </c>
      <c r="V7" s="219">
        <v>4.3129247653061222</v>
      </c>
      <c r="W7" s="158">
        <v>7608</v>
      </c>
      <c r="X7" s="158">
        <v>28172.139163224518</v>
      </c>
      <c r="Y7" s="209">
        <v>2.5387867606716779E-3</v>
      </c>
      <c r="Z7" s="166"/>
    </row>
    <row r="8" spans="1:26" ht="15" customHeight="1" x14ac:dyDescent="0.25">
      <c r="A8" s="156" t="s">
        <v>16</v>
      </c>
      <c r="B8" s="157">
        <v>10</v>
      </c>
      <c r="C8" s="157">
        <v>10</v>
      </c>
      <c r="D8" s="216">
        <v>1</v>
      </c>
      <c r="E8" s="217">
        <v>1</v>
      </c>
      <c r="F8" s="217">
        <v>4.6416666666666666</v>
      </c>
      <c r="G8" s="157">
        <v>557</v>
      </c>
      <c r="H8" s="157">
        <v>1671</v>
      </c>
      <c r="I8" s="208">
        <v>1.6195869375693734E-4</v>
      </c>
      <c r="J8" s="157">
        <v>3</v>
      </c>
      <c r="K8" s="157">
        <v>1</v>
      </c>
      <c r="L8" s="216">
        <v>0.33333333333333331</v>
      </c>
      <c r="M8" s="217">
        <v>2.1765714285714286</v>
      </c>
      <c r="N8" s="217">
        <v>4.416666666666667</v>
      </c>
      <c r="O8" s="157">
        <v>53</v>
      </c>
      <c r="P8" s="157">
        <v>115.35828571428571</v>
      </c>
      <c r="Q8" s="208">
        <v>1.4803792020324407E-4</v>
      </c>
      <c r="R8" s="157">
        <v>13</v>
      </c>
      <c r="S8" s="157">
        <v>11</v>
      </c>
      <c r="T8" s="216">
        <v>0.84615384615384615</v>
      </c>
      <c r="U8" s="217">
        <v>1.5882857142857143</v>
      </c>
      <c r="V8" s="217">
        <v>4.6212121212121211</v>
      </c>
      <c r="W8" s="157">
        <v>610</v>
      </c>
      <c r="X8" s="157">
        <v>1786.3582857142858</v>
      </c>
      <c r="Y8" s="208">
        <v>1.6098112888451659E-4</v>
      </c>
      <c r="Z8" s="166"/>
    </row>
    <row r="9" spans="1:26" ht="15" customHeight="1" x14ac:dyDescent="0.25">
      <c r="A9" s="155" t="s">
        <v>320</v>
      </c>
      <c r="B9" s="158">
        <v>10</v>
      </c>
      <c r="C9" s="158">
        <v>10</v>
      </c>
      <c r="D9" s="218">
        <v>1</v>
      </c>
      <c r="E9" s="219">
        <v>1</v>
      </c>
      <c r="F9" s="219">
        <v>4.6416666666666666</v>
      </c>
      <c r="G9" s="158">
        <v>557</v>
      </c>
      <c r="H9" s="158">
        <v>1671</v>
      </c>
      <c r="I9" s="209">
        <v>1.6195869375693734E-4</v>
      </c>
      <c r="J9" s="158">
        <v>3</v>
      </c>
      <c r="K9" s="158">
        <v>1</v>
      </c>
      <c r="L9" s="218">
        <v>0.33333333333333331</v>
      </c>
      <c r="M9" s="219">
        <v>2.1765714285714286</v>
      </c>
      <c r="N9" s="219">
        <v>4.416666666666667</v>
      </c>
      <c r="O9" s="158">
        <v>53</v>
      </c>
      <c r="P9" s="158">
        <v>115.35828571428571</v>
      </c>
      <c r="Q9" s="209">
        <v>1.4803792020324407E-4</v>
      </c>
      <c r="R9" s="158">
        <v>13</v>
      </c>
      <c r="S9" s="158">
        <v>11</v>
      </c>
      <c r="T9" s="218">
        <v>0.84615384615384615</v>
      </c>
      <c r="U9" s="219">
        <v>1.5882857142857143</v>
      </c>
      <c r="V9" s="219">
        <v>4.6212121212121211</v>
      </c>
      <c r="W9" s="158">
        <v>610</v>
      </c>
      <c r="X9" s="158">
        <v>1786.3582857142858</v>
      </c>
      <c r="Y9" s="209">
        <v>1.6098112888451659E-4</v>
      </c>
      <c r="Z9" s="166"/>
    </row>
    <row r="10" spans="1:26" ht="15" customHeight="1" x14ac:dyDescent="0.25">
      <c r="A10" s="156" t="s">
        <v>488</v>
      </c>
      <c r="B10" s="157">
        <v>320</v>
      </c>
      <c r="C10" s="157">
        <v>208</v>
      </c>
      <c r="D10" s="216">
        <v>0.65</v>
      </c>
      <c r="E10" s="217">
        <v>1.5305714285714285</v>
      </c>
      <c r="F10" s="217">
        <v>4.3561694166666669</v>
      </c>
      <c r="G10" s="157">
        <v>10873</v>
      </c>
      <c r="H10" s="157">
        <v>49925.709428571427</v>
      </c>
      <c r="I10" s="208">
        <v>4.8389603135486764E-3</v>
      </c>
      <c r="J10" s="157">
        <v>84</v>
      </c>
      <c r="K10" s="157">
        <v>47</v>
      </c>
      <c r="L10" s="216">
        <v>0.55952380952380953</v>
      </c>
      <c r="M10" s="217">
        <v>1.7151428571428571</v>
      </c>
      <c r="N10" s="217">
        <v>4.2695031666666665</v>
      </c>
      <c r="O10" s="157">
        <v>2408</v>
      </c>
      <c r="P10" s="157">
        <v>4130.0639999999994</v>
      </c>
      <c r="Q10" s="208">
        <v>5.300062159215805E-3</v>
      </c>
      <c r="R10" s="157">
        <v>404</v>
      </c>
      <c r="S10" s="157">
        <v>255</v>
      </c>
      <c r="T10" s="216">
        <v>0.63118811881188119</v>
      </c>
      <c r="U10" s="217">
        <v>1.6228571428571428</v>
      </c>
      <c r="V10" s="217">
        <v>4.3401956372549026</v>
      </c>
      <c r="W10" s="157">
        <v>13281</v>
      </c>
      <c r="X10" s="157">
        <v>54055.773428571425</v>
      </c>
      <c r="Y10" s="208">
        <v>4.8713404801532046E-3</v>
      </c>
      <c r="Z10" s="166"/>
    </row>
    <row r="11" spans="1:26" ht="15" customHeight="1" x14ac:dyDescent="0.25">
      <c r="A11" s="155" t="s">
        <v>487</v>
      </c>
      <c r="B11" s="158">
        <v>320</v>
      </c>
      <c r="C11" s="158">
        <v>208</v>
      </c>
      <c r="D11" s="218">
        <v>0.65</v>
      </c>
      <c r="E11" s="219">
        <v>1.5305714285714285</v>
      </c>
      <c r="F11" s="219">
        <v>4.3561694166666669</v>
      </c>
      <c r="G11" s="158">
        <v>10873</v>
      </c>
      <c r="H11" s="158">
        <v>49925.709428571427</v>
      </c>
      <c r="I11" s="209">
        <v>4.8389603135486764E-3</v>
      </c>
      <c r="J11" s="158">
        <v>84</v>
      </c>
      <c r="K11" s="158">
        <v>47</v>
      </c>
      <c r="L11" s="218">
        <v>0.55952380952380953</v>
      </c>
      <c r="M11" s="219">
        <v>1.7151428571428571</v>
      </c>
      <c r="N11" s="219">
        <v>4.2695031666666665</v>
      </c>
      <c r="O11" s="158">
        <v>2408</v>
      </c>
      <c r="P11" s="158">
        <v>4130.0639999999994</v>
      </c>
      <c r="Q11" s="209">
        <v>5.300062159215805E-3</v>
      </c>
      <c r="R11" s="158">
        <v>404</v>
      </c>
      <c r="S11" s="158">
        <v>255</v>
      </c>
      <c r="T11" s="218">
        <v>0.63118811881188119</v>
      </c>
      <c r="U11" s="219">
        <v>1.6228571428571428</v>
      </c>
      <c r="V11" s="219">
        <v>4.3401956372549026</v>
      </c>
      <c r="W11" s="158">
        <v>13281</v>
      </c>
      <c r="X11" s="158">
        <v>54055.773428571425</v>
      </c>
      <c r="Y11" s="209">
        <v>4.8713404801532046E-3</v>
      </c>
      <c r="Z11" s="166"/>
    </row>
    <row r="12" spans="1:26" ht="15" customHeight="1" x14ac:dyDescent="0.25">
      <c r="A12" s="156" t="s">
        <v>17</v>
      </c>
      <c r="B12" s="157">
        <v>225</v>
      </c>
      <c r="C12" s="157">
        <v>142</v>
      </c>
      <c r="D12" s="216">
        <v>0.63111111111111107</v>
      </c>
      <c r="E12" s="217">
        <v>1.5691047619047618</v>
      </c>
      <c r="F12" s="217">
        <v>4.3474173333333335</v>
      </c>
      <c r="G12" s="157">
        <v>7408</v>
      </c>
      <c r="H12" s="157">
        <v>34871.784228571429</v>
      </c>
      <c r="I12" s="208">
        <v>3.3798854713543969E-3</v>
      </c>
      <c r="J12" s="157">
        <v>7</v>
      </c>
      <c r="K12" s="157">
        <v>5</v>
      </c>
      <c r="L12" s="216">
        <v>0.7142857142857143</v>
      </c>
      <c r="M12" s="217">
        <v>1.4000000000000001</v>
      </c>
      <c r="N12" s="217">
        <v>4.6833333333333336</v>
      </c>
      <c r="O12" s="157">
        <v>281</v>
      </c>
      <c r="P12" s="157">
        <v>393.40000000000003</v>
      </c>
      <c r="Q12" s="208">
        <v>5.048455552832833E-4</v>
      </c>
      <c r="R12" s="157">
        <v>232</v>
      </c>
      <c r="S12" s="157">
        <v>147</v>
      </c>
      <c r="T12" s="216">
        <v>0.63362068965517238</v>
      </c>
      <c r="U12" s="217">
        <v>1.4845523809523811</v>
      </c>
      <c r="V12" s="217">
        <v>4.3588430476190476</v>
      </c>
      <c r="W12" s="157">
        <v>7689</v>
      </c>
      <c r="X12" s="157">
        <v>35265.18422857143</v>
      </c>
      <c r="Y12" s="208">
        <v>3.1779902233699362E-3</v>
      </c>
      <c r="Z12" s="166"/>
    </row>
    <row r="13" spans="1:26" ht="15" customHeight="1" x14ac:dyDescent="0.25">
      <c r="A13" s="155" t="s">
        <v>319</v>
      </c>
      <c r="B13" s="158">
        <v>225</v>
      </c>
      <c r="C13" s="158">
        <v>142</v>
      </c>
      <c r="D13" s="218">
        <v>0.63111111111111107</v>
      </c>
      <c r="E13" s="219">
        <v>1.5691047619047618</v>
      </c>
      <c r="F13" s="219">
        <v>4.3474173333333335</v>
      </c>
      <c r="G13" s="158">
        <v>7408</v>
      </c>
      <c r="H13" s="158">
        <v>34871.784228571429</v>
      </c>
      <c r="I13" s="209">
        <v>3.3798854713543969E-3</v>
      </c>
      <c r="J13" s="158">
        <v>7</v>
      </c>
      <c r="K13" s="158">
        <v>5</v>
      </c>
      <c r="L13" s="218">
        <v>0.7142857142857143</v>
      </c>
      <c r="M13" s="219">
        <v>1.4000000000000001</v>
      </c>
      <c r="N13" s="219">
        <v>4.6833333333333336</v>
      </c>
      <c r="O13" s="158">
        <v>281</v>
      </c>
      <c r="P13" s="158">
        <v>393.40000000000003</v>
      </c>
      <c r="Q13" s="209">
        <v>5.048455552832833E-4</v>
      </c>
      <c r="R13" s="158">
        <v>232</v>
      </c>
      <c r="S13" s="158">
        <v>147</v>
      </c>
      <c r="T13" s="218">
        <v>0.63362068965517238</v>
      </c>
      <c r="U13" s="219">
        <v>1.4845523809523811</v>
      </c>
      <c r="V13" s="219">
        <v>4.3588430476190476</v>
      </c>
      <c r="W13" s="158">
        <v>7689</v>
      </c>
      <c r="X13" s="158">
        <v>35265.18422857143</v>
      </c>
      <c r="Y13" s="209">
        <v>3.1779902233699362E-3</v>
      </c>
      <c r="Z13" s="166"/>
    </row>
    <row r="14" spans="1:26" ht="15" customHeight="1" x14ac:dyDescent="0.25">
      <c r="A14" s="156" t="s">
        <v>493</v>
      </c>
      <c r="B14" s="157">
        <v>83</v>
      </c>
      <c r="C14" s="157">
        <v>46</v>
      </c>
      <c r="D14" s="216">
        <v>0.55421686746987953</v>
      </c>
      <c r="E14" s="217">
        <v>1.7259690189328742</v>
      </c>
      <c r="F14" s="217">
        <v>4.5942024166666666</v>
      </c>
      <c r="G14" s="157">
        <v>2536</v>
      </c>
      <c r="H14" s="157">
        <v>13131.172296041308</v>
      </c>
      <c r="I14" s="208">
        <v>1.2727154473753046E-3</v>
      </c>
      <c r="J14" s="222"/>
      <c r="K14" s="222"/>
      <c r="L14" s="222"/>
      <c r="M14" s="222"/>
      <c r="N14" s="222"/>
      <c r="O14" s="222"/>
      <c r="P14" s="222"/>
      <c r="Q14" s="222"/>
      <c r="R14" s="157">
        <v>83</v>
      </c>
      <c r="S14" s="157">
        <v>46</v>
      </c>
      <c r="T14" s="216">
        <v>0.55421686746987953</v>
      </c>
      <c r="U14" s="217">
        <v>1.7259690189328742</v>
      </c>
      <c r="V14" s="217">
        <v>4.5942024166666666</v>
      </c>
      <c r="W14" s="157">
        <v>2536</v>
      </c>
      <c r="X14" s="157">
        <v>13131.172296041308</v>
      </c>
      <c r="Y14" s="208">
        <v>1.183340966198489E-3</v>
      </c>
      <c r="Z14" s="166"/>
    </row>
    <row r="15" spans="1:26" ht="15" customHeight="1" x14ac:dyDescent="0.25">
      <c r="A15" s="155" t="s">
        <v>317</v>
      </c>
      <c r="B15" s="158">
        <v>83</v>
      </c>
      <c r="C15" s="158">
        <v>46</v>
      </c>
      <c r="D15" s="218">
        <v>0.55421686746987953</v>
      </c>
      <c r="E15" s="219">
        <v>1.7259690189328742</v>
      </c>
      <c r="F15" s="219">
        <v>4.5942024166666666</v>
      </c>
      <c r="G15" s="158">
        <v>2536</v>
      </c>
      <c r="H15" s="158">
        <v>13131.172296041308</v>
      </c>
      <c r="I15" s="209">
        <v>1.2727154473753046E-3</v>
      </c>
      <c r="J15" s="223"/>
      <c r="K15" s="223"/>
      <c r="L15" s="223"/>
      <c r="M15" s="223"/>
      <c r="N15" s="223"/>
      <c r="O15" s="223"/>
      <c r="P15" s="223"/>
      <c r="Q15" s="223"/>
      <c r="R15" s="158">
        <v>83</v>
      </c>
      <c r="S15" s="158">
        <v>46</v>
      </c>
      <c r="T15" s="218">
        <v>0.55421686746987953</v>
      </c>
      <c r="U15" s="219">
        <v>1.7259690189328742</v>
      </c>
      <c r="V15" s="219">
        <v>4.5942024166666666</v>
      </c>
      <c r="W15" s="158">
        <v>2536</v>
      </c>
      <c r="X15" s="158">
        <v>13131.172296041308</v>
      </c>
      <c r="Y15" s="209">
        <v>1.183340966198489E-3</v>
      </c>
      <c r="Z15" s="166"/>
    </row>
    <row r="16" spans="1:26" ht="15" customHeight="1" x14ac:dyDescent="0.25">
      <c r="A16" s="156" t="s">
        <v>19</v>
      </c>
      <c r="B16" s="157">
        <v>669</v>
      </c>
      <c r="C16" s="157">
        <v>322</v>
      </c>
      <c r="D16" s="216">
        <v>0.48131539611360241</v>
      </c>
      <c r="E16" s="217">
        <v>1.8746880204996799</v>
      </c>
      <c r="F16" s="217">
        <v>4.2093679999999996</v>
      </c>
      <c r="G16" s="157">
        <v>16265</v>
      </c>
      <c r="H16" s="157">
        <v>91475.401960281873</v>
      </c>
      <c r="I16" s="208">
        <v>8.8660901330808121E-3</v>
      </c>
      <c r="J16" s="157">
        <v>326</v>
      </c>
      <c r="K16" s="157">
        <v>128</v>
      </c>
      <c r="L16" s="216">
        <v>0.39263803680981596</v>
      </c>
      <c r="M16" s="217">
        <v>2.055589833479404</v>
      </c>
      <c r="N16" s="217">
        <v>4.1809891666666674</v>
      </c>
      <c r="O16" s="157">
        <v>6422</v>
      </c>
      <c r="P16" s="157">
        <v>13200.997910604732</v>
      </c>
      <c r="Q16" s="208">
        <v>1.6940684088644402E-2</v>
      </c>
      <c r="R16" s="157">
        <v>995</v>
      </c>
      <c r="S16" s="157">
        <v>450</v>
      </c>
      <c r="T16" s="216">
        <v>0.45226130653266333</v>
      </c>
      <c r="U16" s="217">
        <v>1.9651389269895421</v>
      </c>
      <c r="V16" s="217">
        <v>4.2012957985185189</v>
      </c>
      <c r="W16" s="157">
        <v>22687</v>
      </c>
      <c r="X16" s="157">
        <v>104676.39987088661</v>
      </c>
      <c r="Y16" s="208">
        <v>9.4331160515453098E-3</v>
      </c>
      <c r="Z16" s="166"/>
    </row>
    <row r="17" spans="1:26" ht="15" customHeight="1" x14ac:dyDescent="0.25">
      <c r="A17" s="155" t="s">
        <v>316</v>
      </c>
      <c r="B17" s="158">
        <v>669</v>
      </c>
      <c r="C17" s="158">
        <v>322</v>
      </c>
      <c r="D17" s="218">
        <v>0.48131539611360241</v>
      </c>
      <c r="E17" s="219">
        <v>1.8746880204996799</v>
      </c>
      <c r="F17" s="219">
        <v>4.2093679999999996</v>
      </c>
      <c r="G17" s="158">
        <v>16265</v>
      </c>
      <c r="H17" s="158">
        <v>91475.401960281873</v>
      </c>
      <c r="I17" s="209">
        <v>8.8660901330808121E-3</v>
      </c>
      <c r="J17" s="158">
        <v>326</v>
      </c>
      <c r="K17" s="158">
        <v>128</v>
      </c>
      <c r="L17" s="218">
        <v>0.39263803680981596</v>
      </c>
      <c r="M17" s="219">
        <v>2.055589833479404</v>
      </c>
      <c r="N17" s="219">
        <v>4.1809891666666674</v>
      </c>
      <c r="O17" s="158">
        <v>6422</v>
      </c>
      <c r="P17" s="158">
        <v>13200.997910604732</v>
      </c>
      <c r="Q17" s="209">
        <v>1.6940684088644402E-2</v>
      </c>
      <c r="R17" s="158">
        <v>995</v>
      </c>
      <c r="S17" s="158">
        <v>450</v>
      </c>
      <c r="T17" s="218">
        <v>0.45226130653266333</v>
      </c>
      <c r="U17" s="219">
        <v>1.9651389269895421</v>
      </c>
      <c r="V17" s="219">
        <v>4.2012957985185189</v>
      </c>
      <c r="W17" s="158">
        <v>22687</v>
      </c>
      <c r="X17" s="158">
        <v>104676.39987088661</v>
      </c>
      <c r="Y17" s="209">
        <v>9.4331160515453098E-3</v>
      </c>
      <c r="Z17" s="166"/>
    </row>
    <row r="18" spans="1:26" ht="15" customHeight="1" x14ac:dyDescent="0.25">
      <c r="A18" s="156" t="s">
        <v>148</v>
      </c>
      <c r="B18" s="157">
        <v>1531</v>
      </c>
      <c r="C18" s="157">
        <v>817</v>
      </c>
      <c r="D18" s="216">
        <v>0.53363814500326578</v>
      </c>
      <c r="E18" s="217">
        <v>1.7679496127647663</v>
      </c>
      <c r="F18" s="217">
        <v>4.4207460833333334</v>
      </c>
      <c r="G18" s="157">
        <v>43341</v>
      </c>
      <c r="H18" s="157">
        <v>229874.11250051321</v>
      </c>
      <c r="I18" s="208">
        <v>2.2280138234062465E-2</v>
      </c>
      <c r="J18" s="157">
        <v>639</v>
      </c>
      <c r="K18" s="157">
        <v>220</v>
      </c>
      <c r="L18" s="216">
        <v>0.34428794992175271</v>
      </c>
      <c r="M18" s="217">
        <v>2.1542240107310531</v>
      </c>
      <c r="N18" s="217">
        <v>4.3803027500000002</v>
      </c>
      <c r="O18" s="157">
        <v>11564</v>
      </c>
      <c r="P18" s="157">
        <v>24911.446460093899</v>
      </c>
      <c r="Q18" s="208">
        <v>3.1968563856268138E-2</v>
      </c>
      <c r="R18" s="157">
        <v>2170</v>
      </c>
      <c r="S18" s="157">
        <v>1037</v>
      </c>
      <c r="T18" s="216">
        <v>0.47788018433179724</v>
      </c>
      <c r="U18" s="217">
        <v>1.9610868117479097</v>
      </c>
      <c r="V18" s="217">
        <v>4.4121660126165221</v>
      </c>
      <c r="W18" s="157">
        <v>54905</v>
      </c>
      <c r="X18" s="157">
        <v>254785.5589606071</v>
      </c>
      <c r="Y18" s="208">
        <v>2.2960492994579047E-2</v>
      </c>
      <c r="Z18" s="166"/>
    </row>
    <row r="19" spans="1:26" ht="15" customHeight="1" x14ac:dyDescent="0.25">
      <c r="A19" s="155" t="s">
        <v>175</v>
      </c>
      <c r="B19" s="158">
        <v>1531</v>
      </c>
      <c r="C19" s="158">
        <v>817</v>
      </c>
      <c r="D19" s="218">
        <v>0.53363814500326578</v>
      </c>
      <c r="E19" s="219">
        <v>1.7679496127647663</v>
      </c>
      <c r="F19" s="219">
        <v>4.4207460833333334</v>
      </c>
      <c r="G19" s="158">
        <v>43341</v>
      </c>
      <c r="H19" s="158">
        <v>229874.11250051321</v>
      </c>
      <c r="I19" s="209">
        <v>2.2280138234062465E-2</v>
      </c>
      <c r="J19" s="158">
        <v>639</v>
      </c>
      <c r="K19" s="158">
        <v>220</v>
      </c>
      <c r="L19" s="218">
        <v>0.34428794992175271</v>
      </c>
      <c r="M19" s="219">
        <v>2.1542240107310531</v>
      </c>
      <c r="N19" s="219">
        <v>4.3803027500000002</v>
      </c>
      <c r="O19" s="158">
        <v>11564</v>
      </c>
      <c r="P19" s="158">
        <v>24911.446460093899</v>
      </c>
      <c r="Q19" s="209">
        <v>3.1968563856268138E-2</v>
      </c>
      <c r="R19" s="158">
        <v>2170</v>
      </c>
      <c r="S19" s="158">
        <v>1037</v>
      </c>
      <c r="T19" s="218">
        <v>0.47788018433179724</v>
      </c>
      <c r="U19" s="219">
        <v>1.9610868117479097</v>
      </c>
      <c r="V19" s="219">
        <v>4.4121660126165221</v>
      </c>
      <c r="W19" s="158">
        <v>54905</v>
      </c>
      <c r="X19" s="158">
        <v>254785.5589606071</v>
      </c>
      <c r="Y19" s="209">
        <v>2.2960492994579047E-2</v>
      </c>
      <c r="Z19" s="166"/>
    </row>
    <row r="20" spans="1:26" ht="15" customHeight="1" x14ac:dyDescent="0.25">
      <c r="A20" s="156" t="s">
        <v>20</v>
      </c>
      <c r="B20" s="157">
        <v>10</v>
      </c>
      <c r="C20" s="157">
        <v>9</v>
      </c>
      <c r="D20" s="216">
        <v>0.9</v>
      </c>
      <c r="E20" s="217">
        <v>1.1111111111111112</v>
      </c>
      <c r="F20" s="217">
        <v>4.3518515000000004</v>
      </c>
      <c r="G20" s="157">
        <v>470</v>
      </c>
      <c r="H20" s="157">
        <v>1566.6666666666667</v>
      </c>
      <c r="I20" s="208">
        <v>1.5184637156545093E-4</v>
      </c>
      <c r="J20" s="222"/>
      <c r="K20" s="222"/>
      <c r="L20" s="222"/>
      <c r="M20" s="222"/>
      <c r="N20" s="222"/>
      <c r="O20" s="222"/>
      <c r="P20" s="222"/>
      <c r="Q20" s="222"/>
      <c r="R20" s="157">
        <v>10</v>
      </c>
      <c r="S20" s="157">
        <v>9</v>
      </c>
      <c r="T20" s="216">
        <v>0.9</v>
      </c>
      <c r="U20" s="217">
        <v>1.1111111111111112</v>
      </c>
      <c r="V20" s="217">
        <v>4.3518515000000004</v>
      </c>
      <c r="W20" s="157">
        <v>470</v>
      </c>
      <c r="X20" s="157">
        <v>1566.6666666666667</v>
      </c>
      <c r="Y20" s="208">
        <v>1.4118319410089534E-4</v>
      </c>
      <c r="Z20" s="166"/>
    </row>
    <row r="21" spans="1:26" ht="15" customHeight="1" x14ac:dyDescent="0.25">
      <c r="A21" s="155" t="s">
        <v>315</v>
      </c>
      <c r="B21" s="158">
        <v>10</v>
      </c>
      <c r="C21" s="158">
        <v>9</v>
      </c>
      <c r="D21" s="218">
        <v>0.9</v>
      </c>
      <c r="E21" s="219">
        <v>1.1111111111111112</v>
      </c>
      <c r="F21" s="219">
        <v>4.3518515000000004</v>
      </c>
      <c r="G21" s="158">
        <v>470</v>
      </c>
      <c r="H21" s="158">
        <v>1566.6666666666667</v>
      </c>
      <c r="I21" s="209">
        <v>1.5184637156545093E-4</v>
      </c>
      <c r="J21" s="223"/>
      <c r="K21" s="223"/>
      <c r="L21" s="223"/>
      <c r="M21" s="223"/>
      <c r="N21" s="223"/>
      <c r="O21" s="223"/>
      <c r="P21" s="223"/>
      <c r="Q21" s="223"/>
      <c r="R21" s="158">
        <v>10</v>
      </c>
      <c r="S21" s="158">
        <v>9</v>
      </c>
      <c r="T21" s="218">
        <v>0.9</v>
      </c>
      <c r="U21" s="219">
        <v>1.1111111111111112</v>
      </c>
      <c r="V21" s="219">
        <v>4.3518515000000004</v>
      </c>
      <c r="W21" s="158">
        <v>470</v>
      </c>
      <c r="X21" s="158">
        <v>1566.6666666666667</v>
      </c>
      <c r="Y21" s="209">
        <v>1.4118319410089534E-4</v>
      </c>
      <c r="Z21" s="166"/>
    </row>
    <row r="22" spans="1:26" ht="15" customHeight="1" x14ac:dyDescent="0.25">
      <c r="A22" s="156" t="s">
        <v>21</v>
      </c>
      <c r="B22" s="157">
        <v>2846</v>
      </c>
      <c r="C22" s="157">
        <v>2178</v>
      </c>
      <c r="D22" s="216">
        <v>0.76528460997891778</v>
      </c>
      <c r="E22" s="217">
        <v>1.3067033976124887</v>
      </c>
      <c r="F22" s="217">
        <v>4.3401432500000006</v>
      </c>
      <c r="G22" s="157">
        <v>113434</v>
      </c>
      <c r="H22" s="157">
        <v>444673.77961432509</v>
      </c>
      <c r="I22" s="208">
        <v>4.3099212743444838E-2</v>
      </c>
      <c r="J22" s="157">
        <v>445</v>
      </c>
      <c r="K22" s="157">
        <v>267</v>
      </c>
      <c r="L22" s="216">
        <v>0.6</v>
      </c>
      <c r="M22" s="217">
        <v>1.6325714285714286</v>
      </c>
      <c r="N22" s="217">
        <v>4.1198497500000002</v>
      </c>
      <c r="O22" s="157">
        <v>13200</v>
      </c>
      <c r="P22" s="157">
        <v>21549.942857142858</v>
      </c>
      <c r="Q22" s="208">
        <v>2.7654786141426819E-2</v>
      </c>
      <c r="R22" s="157">
        <v>3291</v>
      </c>
      <c r="S22" s="157">
        <v>2445</v>
      </c>
      <c r="T22" s="216">
        <v>0.74293527803099357</v>
      </c>
      <c r="U22" s="217">
        <v>1.4696374130919585</v>
      </c>
      <c r="V22" s="217">
        <v>4.3160866592024547</v>
      </c>
      <c r="W22" s="157">
        <v>126634</v>
      </c>
      <c r="X22" s="157">
        <v>466223.72247146792</v>
      </c>
      <c r="Y22" s="208">
        <v>4.2014651683488009E-2</v>
      </c>
      <c r="Z22" s="166"/>
    </row>
    <row r="23" spans="1:26" ht="15" customHeight="1" x14ac:dyDescent="0.25">
      <c r="A23" s="155" t="s">
        <v>314</v>
      </c>
      <c r="B23" s="158">
        <v>2846</v>
      </c>
      <c r="C23" s="158">
        <v>2178</v>
      </c>
      <c r="D23" s="218">
        <v>0.76528460997891778</v>
      </c>
      <c r="E23" s="219">
        <v>1.3067033976124887</v>
      </c>
      <c r="F23" s="219">
        <v>4.3401432500000006</v>
      </c>
      <c r="G23" s="158">
        <v>113434</v>
      </c>
      <c r="H23" s="158">
        <v>444673.77961432509</v>
      </c>
      <c r="I23" s="209">
        <v>4.3099212743444838E-2</v>
      </c>
      <c r="J23" s="158">
        <v>445</v>
      </c>
      <c r="K23" s="158">
        <v>267</v>
      </c>
      <c r="L23" s="218">
        <v>0.6</v>
      </c>
      <c r="M23" s="219">
        <v>1.6325714285714286</v>
      </c>
      <c r="N23" s="219">
        <v>4.1198497500000002</v>
      </c>
      <c r="O23" s="158">
        <v>13200</v>
      </c>
      <c r="P23" s="158">
        <v>21549.942857142858</v>
      </c>
      <c r="Q23" s="209">
        <v>2.7654786141426819E-2</v>
      </c>
      <c r="R23" s="158">
        <v>3291</v>
      </c>
      <c r="S23" s="158">
        <v>2445</v>
      </c>
      <c r="T23" s="218">
        <v>0.74293527803099357</v>
      </c>
      <c r="U23" s="219">
        <v>1.4696374130919585</v>
      </c>
      <c r="V23" s="219">
        <v>4.3160866592024547</v>
      </c>
      <c r="W23" s="158">
        <v>126634</v>
      </c>
      <c r="X23" s="158">
        <v>466223.72247146792</v>
      </c>
      <c r="Y23" s="209">
        <v>4.2014651683488009E-2</v>
      </c>
      <c r="Z23" s="166"/>
    </row>
    <row r="24" spans="1:26" ht="15" customHeight="1" x14ac:dyDescent="0.25">
      <c r="A24" s="156" t="s">
        <v>22</v>
      </c>
      <c r="B24" s="157">
        <v>1314</v>
      </c>
      <c r="C24" s="157">
        <v>827</v>
      </c>
      <c r="D24" s="216">
        <v>0.62937595129375956</v>
      </c>
      <c r="E24" s="217">
        <v>1.5726444879321591</v>
      </c>
      <c r="F24" s="217">
        <v>4.2294433333333332</v>
      </c>
      <c r="G24" s="157">
        <v>41973</v>
      </c>
      <c r="H24" s="157">
        <v>198025.82127592954</v>
      </c>
      <c r="I24" s="208">
        <v>1.9193299427884069E-2</v>
      </c>
      <c r="J24" s="157">
        <v>216</v>
      </c>
      <c r="K24" s="157">
        <v>106</v>
      </c>
      <c r="L24" s="216">
        <v>0.49074074074074076</v>
      </c>
      <c r="M24" s="217">
        <v>1.8554603174603175</v>
      </c>
      <c r="N24" s="217">
        <v>4.1509428333333327</v>
      </c>
      <c r="O24" s="157">
        <v>5280</v>
      </c>
      <c r="P24" s="157">
        <v>9796.8304761904765</v>
      </c>
      <c r="Q24" s="208">
        <v>1.257215638477014E-2</v>
      </c>
      <c r="R24" s="157">
        <v>1530</v>
      </c>
      <c r="S24" s="157">
        <v>933</v>
      </c>
      <c r="T24" s="216">
        <v>0.6098039215686275</v>
      </c>
      <c r="U24" s="217">
        <v>1.7140524026962383</v>
      </c>
      <c r="V24" s="217">
        <v>4.220524734190783</v>
      </c>
      <c r="W24" s="157">
        <v>47253</v>
      </c>
      <c r="X24" s="157">
        <v>207822.65175212003</v>
      </c>
      <c r="Y24" s="208">
        <v>1.8728339860137663E-2</v>
      </c>
      <c r="Z24" s="166"/>
    </row>
    <row r="25" spans="1:26" ht="15" customHeight="1" x14ac:dyDescent="0.25">
      <c r="A25" s="155" t="s">
        <v>313</v>
      </c>
      <c r="B25" s="158">
        <v>1314</v>
      </c>
      <c r="C25" s="158">
        <v>827</v>
      </c>
      <c r="D25" s="218">
        <v>0.62937595129375956</v>
      </c>
      <c r="E25" s="219">
        <v>1.5726444879321591</v>
      </c>
      <c r="F25" s="219">
        <v>4.2294433333333332</v>
      </c>
      <c r="G25" s="158">
        <v>41973</v>
      </c>
      <c r="H25" s="158">
        <v>198025.82127592954</v>
      </c>
      <c r="I25" s="209">
        <v>1.9193299427884069E-2</v>
      </c>
      <c r="J25" s="158">
        <v>216</v>
      </c>
      <c r="K25" s="158">
        <v>106</v>
      </c>
      <c r="L25" s="218">
        <v>0.49074074074074076</v>
      </c>
      <c r="M25" s="219">
        <v>1.8554603174603175</v>
      </c>
      <c r="N25" s="219">
        <v>4.1509428333333327</v>
      </c>
      <c r="O25" s="158">
        <v>5280</v>
      </c>
      <c r="P25" s="158">
        <v>9796.8304761904765</v>
      </c>
      <c r="Q25" s="209">
        <v>1.257215638477014E-2</v>
      </c>
      <c r="R25" s="158">
        <v>1530</v>
      </c>
      <c r="S25" s="158">
        <v>933</v>
      </c>
      <c r="T25" s="218">
        <v>0.6098039215686275</v>
      </c>
      <c r="U25" s="219">
        <v>1.7140524026962383</v>
      </c>
      <c r="V25" s="219">
        <v>4.220524734190783</v>
      </c>
      <c r="W25" s="158">
        <v>47253</v>
      </c>
      <c r="X25" s="158">
        <v>207822.65175212003</v>
      </c>
      <c r="Y25" s="209">
        <v>1.8728339860137663E-2</v>
      </c>
      <c r="Z25" s="166"/>
    </row>
    <row r="26" spans="1:26" ht="15" customHeight="1" x14ac:dyDescent="0.25">
      <c r="A26" s="156" t="s">
        <v>23</v>
      </c>
      <c r="B26" s="157">
        <v>981</v>
      </c>
      <c r="C26" s="157">
        <v>566</v>
      </c>
      <c r="D26" s="216">
        <v>0.57696228338430178</v>
      </c>
      <c r="E26" s="217">
        <v>1.6795683704674531</v>
      </c>
      <c r="F26" s="217">
        <v>4.3100701666666659</v>
      </c>
      <c r="G26" s="157">
        <v>29274</v>
      </c>
      <c r="H26" s="157">
        <v>147503.05343119267</v>
      </c>
      <c r="I26" s="208">
        <v>1.4296470292564751E-2</v>
      </c>
      <c r="J26" s="157">
        <v>169</v>
      </c>
      <c r="K26" s="157">
        <v>73</v>
      </c>
      <c r="L26" s="216">
        <v>0.43195266272189348</v>
      </c>
      <c r="M26" s="217">
        <v>1.975387996618766</v>
      </c>
      <c r="N26" s="217">
        <v>4.4486296666666663</v>
      </c>
      <c r="O26" s="157">
        <v>3897</v>
      </c>
      <c r="P26" s="157">
        <v>7698.0870228233307</v>
      </c>
      <c r="Q26" s="208">
        <v>9.8788637967876999E-3</v>
      </c>
      <c r="R26" s="157">
        <v>1150</v>
      </c>
      <c r="S26" s="157">
        <v>639</v>
      </c>
      <c r="T26" s="216">
        <v>0.55565217391304345</v>
      </c>
      <c r="U26" s="217">
        <v>1.8274781835431095</v>
      </c>
      <c r="V26" s="217">
        <v>4.3258993427230044</v>
      </c>
      <c r="W26" s="157">
        <v>33171</v>
      </c>
      <c r="X26" s="157">
        <v>155201.14045401601</v>
      </c>
      <c r="Y26" s="208">
        <v>1.3986250683446593E-2</v>
      </c>
      <c r="Z26" s="166"/>
    </row>
    <row r="27" spans="1:26" ht="15" customHeight="1" x14ac:dyDescent="0.25">
      <c r="A27" s="155" t="s">
        <v>311</v>
      </c>
      <c r="B27" s="158">
        <v>981</v>
      </c>
      <c r="C27" s="158">
        <v>566</v>
      </c>
      <c r="D27" s="218">
        <v>0.57696228338430178</v>
      </c>
      <c r="E27" s="219">
        <v>1.6795683704674531</v>
      </c>
      <c r="F27" s="219">
        <v>4.3100701666666659</v>
      </c>
      <c r="G27" s="158">
        <v>29274</v>
      </c>
      <c r="H27" s="158">
        <v>147503.05343119267</v>
      </c>
      <c r="I27" s="209">
        <v>1.4296470292564751E-2</v>
      </c>
      <c r="J27" s="158">
        <v>169</v>
      </c>
      <c r="K27" s="158">
        <v>73</v>
      </c>
      <c r="L27" s="218">
        <v>0.43195266272189348</v>
      </c>
      <c r="M27" s="219">
        <v>1.975387996618766</v>
      </c>
      <c r="N27" s="219">
        <v>4.4486296666666663</v>
      </c>
      <c r="O27" s="158">
        <v>3897</v>
      </c>
      <c r="P27" s="158">
        <v>7698.0870228233307</v>
      </c>
      <c r="Q27" s="209">
        <v>9.8788637967876999E-3</v>
      </c>
      <c r="R27" s="158">
        <v>1150</v>
      </c>
      <c r="S27" s="158">
        <v>639</v>
      </c>
      <c r="T27" s="218">
        <v>0.55565217391304345</v>
      </c>
      <c r="U27" s="219">
        <v>1.8274781835431095</v>
      </c>
      <c r="V27" s="219">
        <v>4.3258993427230044</v>
      </c>
      <c r="W27" s="158">
        <v>33171</v>
      </c>
      <c r="X27" s="158">
        <v>155201.14045401601</v>
      </c>
      <c r="Y27" s="209">
        <v>1.3986250683446593E-2</v>
      </c>
      <c r="Z27" s="166"/>
    </row>
    <row r="28" spans="1:26" ht="15" customHeight="1" x14ac:dyDescent="0.25">
      <c r="A28" s="156" t="s">
        <v>24</v>
      </c>
      <c r="B28" s="157">
        <v>8</v>
      </c>
      <c r="C28" s="157">
        <v>7</v>
      </c>
      <c r="D28" s="216">
        <v>0.875</v>
      </c>
      <c r="E28" s="217">
        <v>1.1428571428571428</v>
      </c>
      <c r="F28" s="217">
        <v>4.2023805833333343</v>
      </c>
      <c r="G28" s="157">
        <v>353</v>
      </c>
      <c r="H28" s="157">
        <v>1210.2857142857142</v>
      </c>
      <c r="I28" s="208">
        <v>1.1730478357773557E-4</v>
      </c>
      <c r="J28" s="222"/>
      <c r="K28" s="222"/>
      <c r="L28" s="222"/>
      <c r="M28" s="222"/>
      <c r="N28" s="222"/>
      <c r="O28" s="222"/>
      <c r="P28" s="222"/>
      <c r="Q28" s="222"/>
      <c r="R28" s="157">
        <v>8</v>
      </c>
      <c r="S28" s="157">
        <v>7</v>
      </c>
      <c r="T28" s="216">
        <v>0.875</v>
      </c>
      <c r="U28" s="217">
        <v>1.1428571428571428</v>
      </c>
      <c r="V28" s="217">
        <v>4.2023805833333343</v>
      </c>
      <c r="W28" s="157">
        <v>353</v>
      </c>
      <c r="X28" s="157">
        <v>1210.2857142857142</v>
      </c>
      <c r="Y28" s="208">
        <v>1.0906723590481324E-4</v>
      </c>
      <c r="Z28" s="166"/>
    </row>
    <row r="29" spans="1:26" ht="15" customHeight="1" x14ac:dyDescent="0.25">
      <c r="A29" s="155" t="s">
        <v>310</v>
      </c>
      <c r="B29" s="158">
        <v>8</v>
      </c>
      <c r="C29" s="158">
        <v>7</v>
      </c>
      <c r="D29" s="218">
        <v>0.875</v>
      </c>
      <c r="E29" s="219">
        <v>1.1428571428571428</v>
      </c>
      <c r="F29" s="219">
        <v>4.2023805833333343</v>
      </c>
      <c r="G29" s="158">
        <v>353</v>
      </c>
      <c r="H29" s="158">
        <v>1210.2857142857142</v>
      </c>
      <c r="I29" s="209">
        <v>1.1730478357773557E-4</v>
      </c>
      <c r="J29" s="223"/>
      <c r="K29" s="223"/>
      <c r="L29" s="223"/>
      <c r="M29" s="223"/>
      <c r="N29" s="223"/>
      <c r="O29" s="223"/>
      <c r="P29" s="223"/>
      <c r="Q29" s="223"/>
      <c r="R29" s="158">
        <v>8</v>
      </c>
      <c r="S29" s="158">
        <v>7</v>
      </c>
      <c r="T29" s="218">
        <v>0.875</v>
      </c>
      <c r="U29" s="219">
        <v>1.1428571428571428</v>
      </c>
      <c r="V29" s="219">
        <v>4.2023805833333343</v>
      </c>
      <c r="W29" s="158">
        <v>353</v>
      </c>
      <c r="X29" s="158">
        <v>1210.2857142857142</v>
      </c>
      <c r="Y29" s="209">
        <v>1.0906723590481324E-4</v>
      </c>
      <c r="Z29" s="166"/>
    </row>
    <row r="30" spans="1:26" ht="15" customHeight="1" x14ac:dyDescent="0.25">
      <c r="A30" s="156" t="s">
        <v>25</v>
      </c>
      <c r="B30" s="157">
        <v>43</v>
      </c>
      <c r="C30" s="157">
        <v>22</v>
      </c>
      <c r="D30" s="216">
        <v>0.51162790697674421</v>
      </c>
      <c r="E30" s="217">
        <v>1.8128504983388705</v>
      </c>
      <c r="F30" s="217">
        <v>4.4090903333333342</v>
      </c>
      <c r="G30" s="157">
        <v>1164</v>
      </c>
      <c r="H30" s="157">
        <v>6330.4739401993356</v>
      </c>
      <c r="I30" s="208">
        <v>6.1356989240994413E-4</v>
      </c>
      <c r="J30" s="222"/>
      <c r="K30" s="222"/>
      <c r="L30" s="222"/>
      <c r="M30" s="222"/>
      <c r="N30" s="222"/>
      <c r="O30" s="222"/>
      <c r="P30" s="222"/>
      <c r="Q30" s="222"/>
      <c r="R30" s="157">
        <v>43</v>
      </c>
      <c r="S30" s="157">
        <v>22</v>
      </c>
      <c r="T30" s="216">
        <v>0.51162790697674421</v>
      </c>
      <c r="U30" s="217">
        <v>1.8128504983388705</v>
      </c>
      <c r="V30" s="217">
        <v>4.4090903333333342</v>
      </c>
      <c r="W30" s="157">
        <v>1164</v>
      </c>
      <c r="X30" s="157">
        <v>6330.4739401993356</v>
      </c>
      <c r="Y30" s="208">
        <v>5.7048289215946119E-4</v>
      </c>
      <c r="Z30" s="166"/>
    </row>
    <row r="31" spans="1:26" ht="15" customHeight="1" x14ac:dyDescent="0.25">
      <c r="A31" s="155" t="s">
        <v>309</v>
      </c>
      <c r="B31" s="158">
        <v>43</v>
      </c>
      <c r="C31" s="158">
        <v>22</v>
      </c>
      <c r="D31" s="218">
        <v>0.51162790697674421</v>
      </c>
      <c r="E31" s="219">
        <v>1.8128504983388705</v>
      </c>
      <c r="F31" s="219">
        <v>4.4090903333333342</v>
      </c>
      <c r="G31" s="158">
        <v>1164</v>
      </c>
      <c r="H31" s="158">
        <v>6330.4739401993356</v>
      </c>
      <c r="I31" s="209">
        <v>6.1356989240994413E-4</v>
      </c>
      <c r="J31" s="223"/>
      <c r="K31" s="223"/>
      <c r="L31" s="223"/>
      <c r="M31" s="223"/>
      <c r="N31" s="223"/>
      <c r="O31" s="223"/>
      <c r="P31" s="223"/>
      <c r="Q31" s="223"/>
      <c r="R31" s="158">
        <v>43</v>
      </c>
      <c r="S31" s="158">
        <v>22</v>
      </c>
      <c r="T31" s="218">
        <v>0.51162790697674421</v>
      </c>
      <c r="U31" s="219">
        <v>1.8128504983388705</v>
      </c>
      <c r="V31" s="219">
        <v>4.4090903333333342</v>
      </c>
      <c r="W31" s="158">
        <v>1164</v>
      </c>
      <c r="X31" s="158">
        <v>6330.4739401993356</v>
      </c>
      <c r="Y31" s="209">
        <v>5.7048289215946119E-4</v>
      </c>
      <c r="Z31" s="166"/>
    </row>
    <row r="32" spans="1:26" ht="15" customHeight="1" x14ac:dyDescent="0.25">
      <c r="A32" s="156" t="s">
        <v>383</v>
      </c>
      <c r="B32" s="157">
        <v>6</v>
      </c>
      <c r="C32" s="157">
        <v>3</v>
      </c>
      <c r="D32" s="216">
        <v>0.5</v>
      </c>
      <c r="E32" s="217">
        <v>1.8365714285714285</v>
      </c>
      <c r="F32" s="217">
        <v>2.7777774166666669</v>
      </c>
      <c r="G32" s="157">
        <v>100</v>
      </c>
      <c r="H32" s="157">
        <v>550.97142857142853</v>
      </c>
      <c r="I32" s="208">
        <v>5.3401922722215596E-5</v>
      </c>
      <c r="J32" s="222"/>
      <c r="K32" s="222"/>
      <c r="L32" s="222"/>
      <c r="M32" s="222"/>
      <c r="N32" s="222"/>
      <c r="O32" s="222"/>
      <c r="P32" s="222"/>
      <c r="Q32" s="222"/>
      <c r="R32" s="157">
        <v>6</v>
      </c>
      <c r="S32" s="157">
        <v>3</v>
      </c>
      <c r="T32" s="216">
        <v>0.5</v>
      </c>
      <c r="U32" s="217">
        <v>1.8365714285714285</v>
      </c>
      <c r="V32" s="217">
        <v>2.7777774166666669</v>
      </c>
      <c r="W32" s="157">
        <v>100</v>
      </c>
      <c r="X32" s="157">
        <v>550.97142857142853</v>
      </c>
      <c r="Y32" s="208">
        <v>4.9651854985562284E-5</v>
      </c>
      <c r="Z32" s="166"/>
    </row>
    <row r="33" spans="1:26" ht="15" customHeight="1" x14ac:dyDescent="0.25">
      <c r="A33" s="155" t="s">
        <v>308</v>
      </c>
      <c r="B33" s="158">
        <v>6</v>
      </c>
      <c r="C33" s="158">
        <v>3</v>
      </c>
      <c r="D33" s="218">
        <v>0.5</v>
      </c>
      <c r="E33" s="219">
        <v>1.8365714285714285</v>
      </c>
      <c r="F33" s="219">
        <v>2.7777774166666669</v>
      </c>
      <c r="G33" s="158">
        <v>100</v>
      </c>
      <c r="H33" s="158">
        <v>550.97142857142853</v>
      </c>
      <c r="I33" s="209">
        <v>5.3401922722215596E-5</v>
      </c>
      <c r="J33" s="223"/>
      <c r="K33" s="223"/>
      <c r="L33" s="223"/>
      <c r="M33" s="223"/>
      <c r="N33" s="223"/>
      <c r="O33" s="223"/>
      <c r="P33" s="223"/>
      <c r="Q33" s="223"/>
      <c r="R33" s="158">
        <v>6</v>
      </c>
      <c r="S33" s="158">
        <v>3</v>
      </c>
      <c r="T33" s="218">
        <v>0.5</v>
      </c>
      <c r="U33" s="219">
        <v>1.8365714285714285</v>
      </c>
      <c r="V33" s="219">
        <v>2.7777774166666669</v>
      </c>
      <c r="W33" s="158">
        <v>100</v>
      </c>
      <c r="X33" s="158">
        <v>550.97142857142853</v>
      </c>
      <c r="Y33" s="209">
        <v>4.9651854985562284E-5</v>
      </c>
      <c r="Z33" s="166"/>
    </row>
    <row r="34" spans="1:26" ht="15" customHeight="1" x14ac:dyDescent="0.25">
      <c r="A34" s="156" t="s">
        <v>128</v>
      </c>
      <c r="B34" s="157">
        <v>42</v>
      </c>
      <c r="C34" s="157">
        <v>32</v>
      </c>
      <c r="D34" s="216">
        <v>0.76190476190476186</v>
      </c>
      <c r="E34" s="217">
        <v>1.3125</v>
      </c>
      <c r="F34" s="217">
        <v>4.416666666666667</v>
      </c>
      <c r="G34" s="157">
        <v>1696</v>
      </c>
      <c r="H34" s="157">
        <v>6678</v>
      </c>
      <c r="I34" s="208">
        <v>6.4725323573239224E-4</v>
      </c>
      <c r="J34" s="222"/>
      <c r="K34" s="222"/>
      <c r="L34" s="222"/>
      <c r="M34" s="222"/>
      <c r="N34" s="222"/>
      <c r="O34" s="222"/>
      <c r="P34" s="222"/>
      <c r="Q34" s="222"/>
      <c r="R34" s="157">
        <v>42</v>
      </c>
      <c r="S34" s="157">
        <v>32</v>
      </c>
      <c r="T34" s="216">
        <v>0.76190476190476186</v>
      </c>
      <c r="U34" s="217">
        <v>1.3125</v>
      </c>
      <c r="V34" s="217">
        <v>4.416666666666667</v>
      </c>
      <c r="W34" s="157">
        <v>1696</v>
      </c>
      <c r="X34" s="157">
        <v>6678</v>
      </c>
      <c r="Y34" s="208">
        <v>6.0180087459943345E-4</v>
      </c>
      <c r="Z34" s="166"/>
    </row>
    <row r="35" spans="1:26" ht="15" customHeight="1" x14ac:dyDescent="0.25">
      <c r="A35" s="155" t="s">
        <v>307</v>
      </c>
      <c r="B35" s="158">
        <v>42</v>
      </c>
      <c r="C35" s="158">
        <v>32</v>
      </c>
      <c r="D35" s="218">
        <v>0.76190476190476186</v>
      </c>
      <c r="E35" s="219">
        <v>1.3125</v>
      </c>
      <c r="F35" s="219">
        <v>4.416666666666667</v>
      </c>
      <c r="G35" s="158">
        <v>1696</v>
      </c>
      <c r="H35" s="158">
        <v>6678</v>
      </c>
      <c r="I35" s="209">
        <v>6.4725323573239224E-4</v>
      </c>
      <c r="J35" s="223"/>
      <c r="K35" s="223"/>
      <c r="L35" s="223"/>
      <c r="M35" s="223"/>
      <c r="N35" s="223"/>
      <c r="O35" s="223"/>
      <c r="P35" s="223"/>
      <c r="Q35" s="223"/>
      <c r="R35" s="158">
        <v>42</v>
      </c>
      <c r="S35" s="158">
        <v>32</v>
      </c>
      <c r="T35" s="218">
        <v>0.76190476190476186</v>
      </c>
      <c r="U35" s="219">
        <v>1.3125</v>
      </c>
      <c r="V35" s="219">
        <v>4.416666666666667</v>
      </c>
      <c r="W35" s="158">
        <v>1696</v>
      </c>
      <c r="X35" s="158">
        <v>6678</v>
      </c>
      <c r="Y35" s="209">
        <v>6.0180087459943345E-4</v>
      </c>
      <c r="Z35" s="166"/>
    </row>
    <row r="36" spans="1:26" ht="15" customHeight="1" x14ac:dyDescent="0.25">
      <c r="A36" s="156" t="s">
        <v>494</v>
      </c>
      <c r="B36" s="157">
        <v>65</v>
      </c>
      <c r="C36" s="157">
        <v>33</v>
      </c>
      <c r="D36" s="216">
        <v>0.50769230769230766</v>
      </c>
      <c r="E36" s="217">
        <v>1.8208791208791211</v>
      </c>
      <c r="F36" s="217">
        <v>4.4545449166666673</v>
      </c>
      <c r="G36" s="157">
        <v>1764</v>
      </c>
      <c r="H36" s="157">
        <v>9636.0923076923082</v>
      </c>
      <c r="I36" s="208">
        <v>9.3396105510180612E-4</v>
      </c>
      <c r="J36" s="157">
        <v>3</v>
      </c>
      <c r="K36" s="157">
        <v>1</v>
      </c>
      <c r="L36" s="216">
        <v>0.33333333333333331</v>
      </c>
      <c r="M36" s="217">
        <v>2.1765714285714286</v>
      </c>
      <c r="N36" s="217">
        <v>5</v>
      </c>
      <c r="O36" s="157">
        <v>60</v>
      </c>
      <c r="P36" s="157">
        <v>130.59428571428572</v>
      </c>
      <c r="Q36" s="208">
        <v>1.6759009834329516E-4</v>
      </c>
      <c r="R36" s="157">
        <v>68</v>
      </c>
      <c r="S36" s="157">
        <v>34</v>
      </c>
      <c r="T36" s="216">
        <v>0.5</v>
      </c>
      <c r="U36" s="217">
        <v>1.9987252747252748</v>
      </c>
      <c r="V36" s="217">
        <v>4.4705877132352949</v>
      </c>
      <c r="W36" s="157">
        <v>1824</v>
      </c>
      <c r="X36" s="157">
        <v>9766.6865934065936</v>
      </c>
      <c r="Y36" s="208">
        <v>8.8014383555715017E-4</v>
      </c>
      <c r="Z36" s="166"/>
    </row>
    <row r="37" spans="1:26" ht="15" customHeight="1" x14ac:dyDescent="0.25">
      <c r="A37" s="155" t="s">
        <v>306</v>
      </c>
      <c r="B37" s="158">
        <v>65</v>
      </c>
      <c r="C37" s="158">
        <v>33</v>
      </c>
      <c r="D37" s="218">
        <v>0.50769230769230766</v>
      </c>
      <c r="E37" s="219">
        <v>1.8208791208791211</v>
      </c>
      <c r="F37" s="219">
        <v>4.4545449166666673</v>
      </c>
      <c r="G37" s="158">
        <v>1764</v>
      </c>
      <c r="H37" s="158">
        <v>9636.0923076923082</v>
      </c>
      <c r="I37" s="209">
        <v>9.3396105510180612E-4</v>
      </c>
      <c r="J37" s="158">
        <v>3</v>
      </c>
      <c r="K37" s="158">
        <v>1</v>
      </c>
      <c r="L37" s="218">
        <v>0.33333333333333331</v>
      </c>
      <c r="M37" s="219">
        <v>2.1765714285714286</v>
      </c>
      <c r="N37" s="219">
        <v>5</v>
      </c>
      <c r="O37" s="158">
        <v>60</v>
      </c>
      <c r="P37" s="158">
        <v>130.59428571428572</v>
      </c>
      <c r="Q37" s="209">
        <v>1.6759009834329516E-4</v>
      </c>
      <c r="R37" s="158">
        <v>68</v>
      </c>
      <c r="S37" s="158">
        <v>34</v>
      </c>
      <c r="T37" s="218">
        <v>0.5</v>
      </c>
      <c r="U37" s="219">
        <v>1.9987252747252748</v>
      </c>
      <c r="V37" s="219">
        <v>4.4705877132352949</v>
      </c>
      <c r="W37" s="158">
        <v>1824</v>
      </c>
      <c r="X37" s="158">
        <v>9766.6865934065936</v>
      </c>
      <c r="Y37" s="209">
        <v>8.8014383555715017E-4</v>
      </c>
      <c r="Z37" s="166"/>
    </row>
    <row r="38" spans="1:26" ht="15" customHeight="1" x14ac:dyDescent="0.25">
      <c r="A38" s="156" t="s">
        <v>27</v>
      </c>
      <c r="B38" s="157">
        <v>57</v>
      </c>
      <c r="C38" s="157">
        <v>19</v>
      </c>
      <c r="D38" s="216">
        <v>0.33333333333333331</v>
      </c>
      <c r="E38" s="217">
        <v>2.1765714285714286</v>
      </c>
      <c r="F38" s="217">
        <v>3.9912277500000002</v>
      </c>
      <c r="G38" s="157">
        <v>910</v>
      </c>
      <c r="H38" s="157">
        <v>5942.04</v>
      </c>
      <c r="I38" s="208">
        <v>5.7592162576389704E-4</v>
      </c>
      <c r="J38" s="157">
        <v>8</v>
      </c>
      <c r="K38" s="157">
        <v>1</v>
      </c>
      <c r="L38" s="216">
        <v>0.125</v>
      </c>
      <c r="M38" s="217">
        <v>2.4485709999999998</v>
      </c>
      <c r="N38" s="217">
        <v>4.083333333333333</v>
      </c>
      <c r="O38" s="157">
        <v>49</v>
      </c>
      <c r="P38" s="157">
        <v>119.97997899999999</v>
      </c>
      <c r="Q38" s="208">
        <v>1.5396888439535246E-4</v>
      </c>
      <c r="R38" s="157">
        <v>65</v>
      </c>
      <c r="S38" s="157">
        <v>20</v>
      </c>
      <c r="T38" s="216">
        <v>0.30769230769230771</v>
      </c>
      <c r="U38" s="217">
        <v>2.3125712142857142</v>
      </c>
      <c r="V38" s="217">
        <v>3.995833029166667</v>
      </c>
      <c r="W38" s="157">
        <v>959</v>
      </c>
      <c r="X38" s="157">
        <v>6062.0199789999997</v>
      </c>
      <c r="Y38" s="208">
        <v>5.4629064468425265E-4</v>
      </c>
      <c r="Z38" s="166"/>
    </row>
    <row r="39" spans="1:26" ht="15" customHeight="1" x14ac:dyDescent="0.25">
      <c r="A39" s="155" t="s">
        <v>305</v>
      </c>
      <c r="B39" s="158">
        <v>57</v>
      </c>
      <c r="C39" s="158">
        <v>19</v>
      </c>
      <c r="D39" s="218">
        <v>0.33333333333333331</v>
      </c>
      <c r="E39" s="219">
        <v>2.1765714285714286</v>
      </c>
      <c r="F39" s="219">
        <v>3.9912277500000002</v>
      </c>
      <c r="G39" s="158">
        <v>910</v>
      </c>
      <c r="H39" s="158">
        <v>5942.04</v>
      </c>
      <c r="I39" s="209">
        <v>5.7592162576389704E-4</v>
      </c>
      <c r="J39" s="158">
        <v>8</v>
      </c>
      <c r="K39" s="158">
        <v>1</v>
      </c>
      <c r="L39" s="218">
        <v>0.125</v>
      </c>
      <c r="M39" s="219">
        <v>2.4485709999999998</v>
      </c>
      <c r="N39" s="219">
        <v>4.083333333333333</v>
      </c>
      <c r="O39" s="158">
        <v>49</v>
      </c>
      <c r="P39" s="158">
        <v>119.97997899999999</v>
      </c>
      <c r="Q39" s="209">
        <v>1.5396888439535246E-4</v>
      </c>
      <c r="R39" s="158">
        <v>65</v>
      </c>
      <c r="S39" s="158">
        <v>20</v>
      </c>
      <c r="T39" s="218">
        <v>0.30769230769230771</v>
      </c>
      <c r="U39" s="219">
        <v>2.3125712142857142</v>
      </c>
      <c r="V39" s="219">
        <v>3.995833029166667</v>
      </c>
      <c r="W39" s="158">
        <v>959</v>
      </c>
      <c r="X39" s="158">
        <v>6062.0199789999997</v>
      </c>
      <c r="Y39" s="209">
        <v>5.4629064468425265E-4</v>
      </c>
      <c r="Z39" s="166"/>
    </row>
    <row r="40" spans="1:26" ht="15" customHeight="1" x14ac:dyDescent="0.25">
      <c r="A40" s="156" t="s">
        <v>143</v>
      </c>
      <c r="B40" s="157">
        <v>31</v>
      </c>
      <c r="C40" s="157">
        <v>21</v>
      </c>
      <c r="D40" s="216">
        <v>0.67741935483870963</v>
      </c>
      <c r="E40" s="217">
        <v>1.4746359447004609</v>
      </c>
      <c r="F40" s="217">
        <v>4.1428568333333331</v>
      </c>
      <c r="G40" s="157">
        <v>1044</v>
      </c>
      <c r="H40" s="157">
        <v>4618.5597788018431</v>
      </c>
      <c r="I40" s="208">
        <v>4.4764566655480309E-4</v>
      </c>
      <c r="J40" s="222"/>
      <c r="K40" s="222"/>
      <c r="L40" s="222"/>
      <c r="M40" s="222"/>
      <c r="N40" s="222"/>
      <c r="O40" s="222"/>
      <c r="P40" s="222"/>
      <c r="Q40" s="222"/>
      <c r="R40" s="157">
        <v>31</v>
      </c>
      <c r="S40" s="157">
        <v>21</v>
      </c>
      <c r="T40" s="216">
        <v>0.67741935483870963</v>
      </c>
      <c r="U40" s="217">
        <v>1.4746359447004609</v>
      </c>
      <c r="V40" s="217">
        <v>4.1428568333333331</v>
      </c>
      <c r="W40" s="157">
        <v>1044</v>
      </c>
      <c r="X40" s="157">
        <v>4618.5597788018431</v>
      </c>
      <c r="Y40" s="208">
        <v>4.1621043939393755E-4</v>
      </c>
      <c r="Z40" s="166"/>
    </row>
    <row r="41" spans="1:26" ht="15" customHeight="1" x14ac:dyDescent="0.25">
      <c r="A41" s="155" t="s">
        <v>304</v>
      </c>
      <c r="B41" s="158">
        <v>31</v>
      </c>
      <c r="C41" s="158">
        <v>21</v>
      </c>
      <c r="D41" s="218">
        <v>0.67741935483870963</v>
      </c>
      <c r="E41" s="219">
        <v>1.4746359447004609</v>
      </c>
      <c r="F41" s="219">
        <v>4.1428568333333331</v>
      </c>
      <c r="G41" s="158">
        <v>1044</v>
      </c>
      <c r="H41" s="158">
        <v>4618.5597788018431</v>
      </c>
      <c r="I41" s="209">
        <v>4.4764566655480309E-4</v>
      </c>
      <c r="J41" s="223"/>
      <c r="K41" s="223"/>
      <c r="L41" s="223"/>
      <c r="M41" s="223"/>
      <c r="N41" s="223"/>
      <c r="O41" s="223"/>
      <c r="P41" s="223"/>
      <c r="Q41" s="223"/>
      <c r="R41" s="158">
        <v>31</v>
      </c>
      <c r="S41" s="158">
        <v>21</v>
      </c>
      <c r="T41" s="218">
        <v>0.67741935483870963</v>
      </c>
      <c r="U41" s="219">
        <v>1.4746359447004609</v>
      </c>
      <c r="V41" s="219">
        <v>4.1428568333333331</v>
      </c>
      <c r="W41" s="158">
        <v>1044</v>
      </c>
      <c r="X41" s="158">
        <v>4618.5597788018431</v>
      </c>
      <c r="Y41" s="209">
        <v>4.1621043939393755E-4</v>
      </c>
      <c r="Z41" s="166"/>
    </row>
    <row r="42" spans="1:26" ht="15" customHeight="1" x14ac:dyDescent="0.25">
      <c r="A42" s="156" t="s">
        <v>28</v>
      </c>
      <c r="B42" s="157">
        <v>2662</v>
      </c>
      <c r="C42" s="157">
        <v>959</v>
      </c>
      <c r="D42" s="216">
        <v>0.36025544703230655</v>
      </c>
      <c r="E42" s="217">
        <v>2.1216503166255234</v>
      </c>
      <c r="F42" s="217">
        <v>4.2743304166666674</v>
      </c>
      <c r="G42" s="157">
        <v>49189</v>
      </c>
      <c r="H42" s="157">
        <v>313085.57227347861</v>
      </c>
      <c r="I42" s="208">
        <v>3.0345260514396045E-2</v>
      </c>
      <c r="J42" s="157">
        <v>715</v>
      </c>
      <c r="K42" s="157">
        <v>176</v>
      </c>
      <c r="L42" s="216">
        <v>0.24615384615384617</v>
      </c>
      <c r="M42" s="217">
        <v>2.3544175824175824</v>
      </c>
      <c r="N42" s="217">
        <v>4.3049238333333335</v>
      </c>
      <c r="O42" s="157">
        <v>9092</v>
      </c>
      <c r="P42" s="157">
        <v>21406.364659340659</v>
      </c>
      <c r="Q42" s="208">
        <v>2.7470533942657055E-2</v>
      </c>
      <c r="R42" s="157">
        <v>3377</v>
      </c>
      <c r="S42" s="157">
        <v>1135</v>
      </c>
      <c r="T42" s="216">
        <v>0.33609712762807226</v>
      </c>
      <c r="U42" s="217">
        <v>2.2380339495215527</v>
      </c>
      <c r="V42" s="217">
        <v>4.27907441784141</v>
      </c>
      <c r="W42" s="157">
        <v>58281</v>
      </c>
      <c r="X42" s="157">
        <v>334491.93693281926</v>
      </c>
      <c r="Y42" s="208">
        <v>3.0143387270534464E-2</v>
      </c>
      <c r="Z42" s="166"/>
    </row>
    <row r="43" spans="1:26" ht="15" customHeight="1" x14ac:dyDescent="0.25">
      <c r="A43" s="155" t="s">
        <v>303</v>
      </c>
      <c r="B43" s="158">
        <v>2662</v>
      </c>
      <c r="C43" s="158">
        <v>959</v>
      </c>
      <c r="D43" s="218">
        <v>0.36025544703230655</v>
      </c>
      <c r="E43" s="219">
        <v>2.1216503166255234</v>
      </c>
      <c r="F43" s="219">
        <v>4.2743304166666674</v>
      </c>
      <c r="G43" s="158">
        <v>49189</v>
      </c>
      <c r="H43" s="158">
        <v>313085.57227347861</v>
      </c>
      <c r="I43" s="209">
        <v>3.0345260514396045E-2</v>
      </c>
      <c r="J43" s="158">
        <v>715</v>
      </c>
      <c r="K43" s="158">
        <v>176</v>
      </c>
      <c r="L43" s="218">
        <v>0.24615384615384617</v>
      </c>
      <c r="M43" s="219">
        <v>2.3544175824175824</v>
      </c>
      <c r="N43" s="219">
        <v>4.3049238333333335</v>
      </c>
      <c r="O43" s="158">
        <v>9092</v>
      </c>
      <c r="P43" s="158">
        <v>21406.364659340659</v>
      </c>
      <c r="Q43" s="209">
        <v>2.7470533942657055E-2</v>
      </c>
      <c r="R43" s="158">
        <v>3377</v>
      </c>
      <c r="S43" s="158">
        <v>1135</v>
      </c>
      <c r="T43" s="218">
        <v>0.33609712762807226</v>
      </c>
      <c r="U43" s="219">
        <v>2.2380339495215527</v>
      </c>
      <c r="V43" s="219">
        <v>4.27907441784141</v>
      </c>
      <c r="W43" s="158">
        <v>58281</v>
      </c>
      <c r="X43" s="158">
        <v>334491.93693281926</v>
      </c>
      <c r="Y43" s="209">
        <v>3.0143387270534464E-2</v>
      </c>
      <c r="Z43" s="166"/>
    </row>
    <row r="44" spans="1:26" ht="15" customHeight="1" x14ac:dyDescent="0.25">
      <c r="A44" s="156" t="s">
        <v>29</v>
      </c>
      <c r="B44" s="157">
        <v>29</v>
      </c>
      <c r="C44" s="157">
        <v>17</v>
      </c>
      <c r="D44" s="216">
        <v>0.58620689655172409</v>
      </c>
      <c r="E44" s="217">
        <v>1.6607093596059113</v>
      </c>
      <c r="F44" s="217">
        <v>4.2499995000000004</v>
      </c>
      <c r="G44" s="157">
        <v>867</v>
      </c>
      <c r="H44" s="157">
        <v>4319.5050443349755</v>
      </c>
      <c r="I44" s="208">
        <v>4.1866031996229462E-4</v>
      </c>
      <c r="J44" s="157">
        <v>11</v>
      </c>
      <c r="K44" s="157">
        <v>5</v>
      </c>
      <c r="L44" s="216">
        <v>0.45454545454545453</v>
      </c>
      <c r="M44" s="217">
        <v>1.9292987012987013</v>
      </c>
      <c r="N44" s="217">
        <v>4.6833333333333336</v>
      </c>
      <c r="O44" s="157">
        <v>281</v>
      </c>
      <c r="P44" s="157">
        <v>542.13293506493505</v>
      </c>
      <c r="Q44" s="208">
        <v>6.9571276726032865E-4</v>
      </c>
      <c r="R44" s="157">
        <v>40</v>
      </c>
      <c r="S44" s="157">
        <v>22</v>
      </c>
      <c r="T44" s="216">
        <v>0.55000000000000004</v>
      </c>
      <c r="U44" s="217">
        <v>1.7950040304523063</v>
      </c>
      <c r="V44" s="217">
        <v>4.3484844621212124</v>
      </c>
      <c r="W44" s="157">
        <v>1148</v>
      </c>
      <c r="X44" s="157">
        <v>4861.6379793999104</v>
      </c>
      <c r="Y44" s="208">
        <v>4.3811590116632054E-4</v>
      </c>
      <c r="Z44" s="166"/>
    </row>
    <row r="45" spans="1:26" ht="15" customHeight="1" x14ac:dyDescent="0.25">
      <c r="A45" s="155" t="s">
        <v>300</v>
      </c>
      <c r="B45" s="158">
        <v>29</v>
      </c>
      <c r="C45" s="158">
        <v>17</v>
      </c>
      <c r="D45" s="218">
        <v>0.58620689655172409</v>
      </c>
      <c r="E45" s="219">
        <v>1.6607093596059113</v>
      </c>
      <c r="F45" s="219">
        <v>4.2499995000000004</v>
      </c>
      <c r="G45" s="158">
        <v>867</v>
      </c>
      <c r="H45" s="158">
        <v>4319.5050443349755</v>
      </c>
      <c r="I45" s="209">
        <v>4.1866031996229462E-4</v>
      </c>
      <c r="J45" s="158">
        <v>11</v>
      </c>
      <c r="K45" s="158">
        <v>5</v>
      </c>
      <c r="L45" s="218">
        <v>0.45454545454545453</v>
      </c>
      <c r="M45" s="219">
        <v>1.9292987012987013</v>
      </c>
      <c r="N45" s="219">
        <v>4.6833333333333336</v>
      </c>
      <c r="O45" s="158">
        <v>281</v>
      </c>
      <c r="P45" s="158">
        <v>542.13293506493505</v>
      </c>
      <c r="Q45" s="209">
        <v>6.9571276726032865E-4</v>
      </c>
      <c r="R45" s="158">
        <v>40</v>
      </c>
      <c r="S45" s="158">
        <v>22</v>
      </c>
      <c r="T45" s="218">
        <v>0.55000000000000004</v>
      </c>
      <c r="U45" s="219">
        <v>1.7950040304523063</v>
      </c>
      <c r="V45" s="219">
        <v>4.3484844621212124</v>
      </c>
      <c r="W45" s="158">
        <v>1148</v>
      </c>
      <c r="X45" s="158">
        <v>4861.6379793999104</v>
      </c>
      <c r="Y45" s="209">
        <v>4.3811590116632054E-4</v>
      </c>
      <c r="Z45" s="166"/>
    </row>
    <row r="46" spans="1:26" ht="15" customHeight="1" x14ac:dyDescent="0.25">
      <c r="A46" s="156" t="s">
        <v>30</v>
      </c>
      <c r="B46" s="157">
        <v>872</v>
      </c>
      <c r="C46" s="157">
        <v>348</v>
      </c>
      <c r="D46" s="216">
        <v>0.39908256880733944</v>
      </c>
      <c r="E46" s="217">
        <v>2.0424429882044559</v>
      </c>
      <c r="F46" s="217">
        <v>4.3213596666666669</v>
      </c>
      <c r="G46" s="157">
        <v>18046</v>
      </c>
      <c r="H46" s="157">
        <v>110573.77849541283</v>
      </c>
      <c r="I46" s="208">
        <v>1.0717166205198079E-2</v>
      </c>
      <c r="J46" s="157">
        <v>31</v>
      </c>
      <c r="K46" s="157">
        <v>11</v>
      </c>
      <c r="L46" s="216">
        <v>0.35483870967741937</v>
      </c>
      <c r="M46" s="217">
        <v>2.132700460829493</v>
      </c>
      <c r="N46" s="217">
        <v>3.9999996666666666</v>
      </c>
      <c r="O46" s="157">
        <v>528</v>
      </c>
      <c r="P46" s="157">
        <v>1126.0658433179724</v>
      </c>
      <c r="Q46" s="208">
        <v>1.4450669444722938E-3</v>
      </c>
      <c r="R46" s="157">
        <v>903</v>
      </c>
      <c r="S46" s="157">
        <v>359</v>
      </c>
      <c r="T46" s="216">
        <v>0.39756367663344405</v>
      </c>
      <c r="U46" s="217">
        <v>2.0875717245169745</v>
      </c>
      <c r="V46" s="217">
        <v>4.3115129814298978</v>
      </c>
      <c r="W46" s="157">
        <v>18574</v>
      </c>
      <c r="X46" s="157">
        <v>111699.84433873081</v>
      </c>
      <c r="Y46" s="208">
        <v>1.006604732190308E-2</v>
      </c>
      <c r="Z46" s="166"/>
    </row>
    <row r="47" spans="1:26" ht="15" customHeight="1" x14ac:dyDescent="0.25">
      <c r="A47" s="155" t="s">
        <v>302</v>
      </c>
      <c r="B47" s="158">
        <v>872</v>
      </c>
      <c r="C47" s="158">
        <v>348</v>
      </c>
      <c r="D47" s="218">
        <v>0.39908256880733944</v>
      </c>
      <c r="E47" s="219">
        <v>2.0424429882044559</v>
      </c>
      <c r="F47" s="219">
        <v>4.3213596666666669</v>
      </c>
      <c r="G47" s="158">
        <v>18046</v>
      </c>
      <c r="H47" s="158">
        <v>110573.77849541283</v>
      </c>
      <c r="I47" s="209">
        <v>1.0717166205198079E-2</v>
      </c>
      <c r="J47" s="158">
        <v>31</v>
      </c>
      <c r="K47" s="158">
        <v>11</v>
      </c>
      <c r="L47" s="218">
        <v>0.35483870967741937</v>
      </c>
      <c r="M47" s="219">
        <v>2.132700460829493</v>
      </c>
      <c r="N47" s="219">
        <v>3.9999996666666666</v>
      </c>
      <c r="O47" s="158">
        <v>528</v>
      </c>
      <c r="P47" s="158">
        <v>1126.0658433179724</v>
      </c>
      <c r="Q47" s="209">
        <v>1.4450669444722938E-3</v>
      </c>
      <c r="R47" s="158">
        <v>903</v>
      </c>
      <c r="S47" s="158">
        <v>359</v>
      </c>
      <c r="T47" s="218">
        <v>0.39756367663344405</v>
      </c>
      <c r="U47" s="219">
        <v>2.0875717245169745</v>
      </c>
      <c r="V47" s="219">
        <v>4.3115129814298978</v>
      </c>
      <c r="W47" s="158">
        <v>18574</v>
      </c>
      <c r="X47" s="158">
        <v>111699.84433873081</v>
      </c>
      <c r="Y47" s="209">
        <v>1.006604732190308E-2</v>
      </c>
      <c r="Z47" s="166"/>
    </row>
    <row r="48" spans="1:26" ht="15" customHeight="1" x14ac:dyDescent="0.25">
      <c r="A48" s="156" t="s">
        <v>31</v>
      </c>
      <c r="B48" s="157">
        <v>79</v>
      </c>
      <c r="C48" s="157">
        <v>48</v>
      </c>
      <c r="D48" s="216">
        <v>0.60759493670886078</v>
      </c>
      <c r="E48" s="217">
        <v>1.6170777576853528</v>
      </c>
      <c r="F48" s="217">
        <v>3.980902583333334</v>
      </c>
      <c r="G48" s="157">
        <v>2293</v>
      </c>
      <c r="H48" s="157">
        <v>11123.877895117541</v>
      </c>
      <c r="I48" s="208">
        <v>1.0781620187940793E-3</v>
      </c>
      <c r="J48" s="157">
        <v>16</v>
      </c>
      <c r="K48" s="157">
        <v>10</v>
      </c>
      <c r="L48" s="216">
        <v>0.625</v>
      </c>
      <c r="M48" s="217">
        <v>1.5815714285714284</v>
      </c>
      <c r="N48" s="217">
        <v>4.05</v>
      </c>
      <c r="O48" s="157">
        <v>486</v>
      </c>
      <c r="P48" s="157">
        <v>768.64371428571417</v>
      </c>
      <c r="Q48" s="208">
        <v>9.8639136439648378E-4</v>
      </c>
      <c r="R48" s="157">
        <v>95</v>
      </c>
      <c r="S48" s="157">
        <v>58</v>
      </c>
      <c r="T48" s="216">
        <v>0.61052631578947369</v>
      </c>
      <c r="U48" s="217">
        <v>1.5993245931283906</v>
      </c>
      <c r="V48" s="217">
        <v>3.9928159310344831</v>
      </c>
      <c r="W48" s="157">
        <v>2779</v>
      </c>
      <c r="X48" s="157">
        <v>11892.521609403255</v>
      </c>
      <c r="Y48" s="208">
        <v>1.0717175659975353E-3</v>
      </c>
      <c r="Z48" s="166"/>
    </row>
    <row r="49" spans="1:26" ht="15" customHeight="1" x14ac:dyDescent="0.25">
      <c r="A49" s="155" t="s">
        <v>301</v>
      </c>
      <c r="B49" s="158">
        <v>79</v>
      </c>
      <c r="C49" s="158">
        <v>48</v>
      </c>
      <c r="D49" s="218">
        <v>0.60759493670886078</v>
      </c>
      <c r="E49" s="219">
        <v>1.6170777576853528</v>
      </c>
      <c r="F49" s="219">
        <v>3.980902583333334</v>
      </c>
      <c r="G49" s="158">
        <v>2293</v>
      </c>
      <c r="H49" s="158">
        <v>11123.877895117541</v>
      </c>
      <c r="I49" s="209">
        <v>1.0781620187940793E-3</v>
      </c>
      <c r="J49" s="158">
        <v>16</v>
      </c>
      <c r="K49" s="158">
        <v>10</v>
      </c>
      <c r="L49" s="218">
        <v>0.625</v>
      </c>
      <c r="M49" s="219">
        <v>1.5815714285714284</v>
      </c>
      <c r="N49" s="219">
        <v>4.05</v>
      </c>
      <c r="O49" s="158">
        <v>486</v>
      </c>
      <c r="P49" s="158">
        <v>768.64371428571417</v>
      </c>
      <c r="Q49" s="209">
        <v>9.8639136439648378E-4</v>
      </c>
      <c r="R49" s="158">
        <v>95</v>
      </c>
      <c r="S49" s="158">
        <v>58</v>
      </c>
      <c r="T49" s="218">
        <v>0.61052631578947369</v>
      </c>
      <c r="U49" s="219">
        <v>1.5993245931283906</v>
      </c>
      <c r="V49" s="219">
        <v>3.9928159310344831</v>
      </c>
      <c r="W49" s="158">
        <v>2779</v>
      </c>
      <c r="X49" s="158">
        <v>11892.521609403255</v>
      </c>
      <c r="Y49" s="209">
        <v>1.0717175659975353E-3</v>
      </c>
      <c r="Z49" s="166"/>
    </row>
    <row r="50" spans="1:26" ht="15" customHeight="1" x14ac:dyDescent="0.25">
      <c r="A50" s="156" t="s">
        <v>32</v>
      </c>
      <c r="B50" s="157">
        <v>1228</v>
      </c>
      <c r="C50" s="157">
        <v>616</v>
      </c>
      <c r="D50" s="216">
        <v>0.50162866449511401</v>
      </c>
      <c r="E50" s="217">
        <v>1.833248953001396</v>
      </c>
      <c r="F50" s="217">
        <v>4.1818176666666664</v>
      </c>
      <c r="G50" s="157">
        <v>30912</v>
      </c>
      <c r="H50" s="157">
        <v>170008.17490553745</v>
      </c>
      <c r="I50" s="208">
        <v>1.6477739039917283E-2</v>
      </c>
      <c r="J50" s="157">
        <v>651</v>
      </c>
      <c r="K50" s="157">
        <v>201</v>
      </c>
      <c r="L50" s="216">
        <v>0.30875576036866359</v>
      </c>
      <c r="M50" s="217">
        <v>2.2267096774193549</v>
      </c>
      <c r="N50" s="217">
        <v>3.9776115000000001</v>
      </c>
      <c r="O50" s="157">
        <v>9594</v>
      </c>
      <c r="P50" s="157">
        <v>21363.05264516129</v>
      </c>
      <c r="Q50" s="208">
        <v>2.7414952148430261E-2</v>
      </c>
      <c r="R50" s="157">
        <v>1879</v>
      </c>
      <c r="S50" s="157">
        <v>817</v>
      </c>
      <c r="T50" s="216">
        <v>0.43480574773815861</v>
      </c>
      <c r="U50" s="217">
        <v>2.0299793152103756</v>
      </c>
      <c r="V50" s="217">
        <v>4.1315784506323956</v>
      </c>
      <c r="W50" s="157">
        <v>40506</v>
      </c>
      <c r="X50" s="157">
        <v>191371.22755069874</v>
      </c>
      <c r="Y50" s="208">
        <v>1.7245787977415047E-2</v>
      </c>
      <c r="Z50" s="166"/>
    </row>
    <row r="51" spans="1:26" ht="15" customHeight="1" x14ac:dyDescent="0.25">
      <c r="A51" s="155" t="s">
        <v>298</v>
      </c>
      <c r="B51" s="158">
        <v>1228</v>
      </c>
      <c r="C51" s="158">
        <v>616</v>
      </c>
      <c r="D51" s="218">
        <v>0.50162866449511401</v>
      </c>
      <c r="E51" s="219">
        <v>1.833248953001396</v>
      </c>
      <c r="F51" s="219">
        <v>4.1818176666666664</v>
      </c>
      <c r="G51" s="158">
        <v>30912</v>
      </c>
      <c r="H51" s="158">
        <v>170008.17490553745</v>
      </c>
      <c r="I51" s="209">
        <v>1.6477739039917283E-2</v>
      </c>
      <c r="J51" s="158">
        <v>651</v>
      </c>
      <c r="K51" s="158">
        <v>201</v>
      </c>
      <c r="L51" s="218">
        <v>0.30875576036866359</v>
      </c>
      <c r="M51" s="219">
        <v>2.2267096774193549</v>
      </c>
      <c r="N51" s="219">
        <v>3.9776115000000001</v>
      </c>
      <c r="O51" s="158">
        <v>9594</v>
      </c>
      <c r="P51" s="158">
        <v>21363.05264516129</v>
      </c>
      <c r="Q51" s="209">
        <v>2.7414952148430261E-2</v>
      </c>
      <c r="R51" s="158">
        <v>1879</v>
      </c>
      <c r="S51" s="158">
        <v>817</v>
      </c>
      <c r="T51" s="218">
        <v>0.43480574773815861</v>
      </c>
      <c r="U51" s="219">
        <v>2.0299793152103756</v>
      </c>
      <c r="V51" s="219">
        <v>4.1315784506323956</v>
      </c>
      <c r="W51" s="158">
        <v>40506</v>
      </c>
      <c r="X51" s="158">
        <v>191371.22755069874</v>
      </c>
      <c r="Y51" s="209">
        <v>1.7245787977415047E-2</v>
      </c>
      <c r="Z51" s="166"/>
    </row>
    <row r="52" spans="1:26" ht="15" customHeight="1" x14ac:dyDescent="0.25">
      <c r="A52" s="156" t="s">
        <v>33</v>
      </c>
      <c r="B52" s="157">
        <v>229</v>
      </c>
      <c r="C52" s="157">
        <v>80</v>
      </c>
      <c r="D52" s="216">
        <v>0.34934497816593885</v>
      </c>
      <c r="E52" s="217">
        <v>2.1439076731129134</v>
      </c>
      <c r="F52" s="217">
        <v>4.4104166666666664</v>
      </c>
      <c r="G52" s="157">
        <v>4234</v>
      </c>
      <c r="H52" s="157">
        <v>27231.915263880226</v>
      </c>
      <c r="I52" s="208">
        <v>2.6394048022966156E-3</v>
      </c>
      <c r="J52" s="157">
        <v>58</v>
      </c>
      <c r="K52" s="157">
        <v>11</v>
      </c>
      <c r="L52" s="216">
        <v>0.18965517241379309</v>
      </c>
      <c r="M52" s="217">
        <v>2.4485709999999998</v>
      </c>
      <c r="N52" s="217">
        <v>4.5151510000000004</v>
      </c>
      <c r="O52" s="157">
        <v>596</v>
      </c>
      <c r="P52" s="157">
        <v>1459.3483159999998</v>
      </c>
      <c r="Q52" s="208">
        <v>1.8727643897883688E-3</v>
      </c>
      <c r="R52" s="157">
        <v>287</v>
      </c>
      <c r="S52" s="157">
        <v>91</v>
      </c>
      <c r="T52" s="216">
        <v>0.31707317073170732</v>
      </c>
      <c r="U52" s="217">
        <v>2.2962393365564564</v>
      </c>
      <c r="V52" s="217">
        <v>4.4230768608058595</v>
      </c>
      <c r="W52" s="157">
        <v>4830</v>
      </c>
      <c r="X52" s="157">
        <v>28691.263579880226</v>
      </c>
      <c r="Y52" s="208">
        <v>2.5855686606371356E-3</v>
      </c>
      <c r="Z52" s="166"/>
    </row>
    <row r="53" spans="1:26" ht="15" customHeight="1" x14ac:dyDescent="0.25">
      <c r="A53" s="155" t="s">
        <v>297</v>
      </c>
      <c r="B53" s="158">
        <v>229</v>
      </c>
      <c r="C53" s="158">
        <v>80</v>
      </c>
      <c r="D53" s="218">
        <v>0.34934497816593885</v>
      </c>
      <c r="E53" s="219">
        <v>2.1439076731129134</v>
      </c>
      <c r="F53" s="219">
        <v>4.4104166666666664</v>
      </c>
      <c r="G53" s="158">
        <v>4234</v>
      </c>
      <c r="H53" s="158">
        <v>27231.915263880226</v>
      </c>
      <c r="I53" s="209">
        <v>2.6394048022966156E-3</v>
      </c>
      <c r="J53" s="158">
        <v>58</v>
      </c>
      <c r="K53" s="158">
        <v>11</v>
      </c>
      <c r="L53" s="218">
        <v>0.18965517241379309</v>
      </c>
      <c r="M53" s="219">
        <v>2.4485709999999998</v>
      </c>
      <c r="N53" s="219">
        <v>4.5151510000000004</v>
      </c>
      <c r="O53" s="158">
        <v>596</v>
      </c>
      <c r="P53" s="158">
        <v>1459.3483159999998</v>
      </c>
      <c r="Q53" s="209">
        <v>1.8727643897883688E-3</v>
      </c>
      <c r="R53" s="158">
        <v>287</v>
      </c>
      <c r="S53" s="158">
        <v>91</v>
      </c>
      <c r="T53" s="218">
        <v>0.31707317073170732</v>
      </c>
      <c r="U53" s="219">
        <v>2.2962393365564564</v>
      </c>
      <c r="V53" s="219">
        <v>4.4230768608058595</v>
      </c>
      <c r="W53" s="158">
        <v>4830</v>
      </c>
      <c r="X53" s="158">
        <v>28691.263579880226</v>
      </c>
      <c r="Y53" s="209">
        <v>2.5855686606371356E-3</v>
      </c>
      <c r="Z53" s="166"/>
    </row>
    <row r="54" spans="1:26" ht="15" customHeight="1" x14ac:dyDescent="0.25">
      <c r="A54" s="156" t="s">
        <v>34</v>
      </c>
      <c r="B54" s="157">
        <v>20</v>
      </c>
      <c r="C54" s="157">
        <v>2</v>
      </c>
      <c r="D54" s="216">
        <v>0.1</v>
      </c>
      <c r="E54" s="217">
        <v>2.4485709999999998</v>
      </c>
      <c r="F54" s="217">
        <v>3.875</v>
      </c>
      <c r="G54" s="157">
        <v>93</v>
      </c>
      <c r="H54" s="157">
        <v>683.15130899999997</v>
      </c>
      <c r="I54" s="208">
        <v>6.621322180968394E-5</v>
      </c>
      <c r="J54" s="222"/>
      <c r="K54" s="222"/>
      <c r="L54" s="222"/>
      <c r="M54" s="222"/>
      <c r="N54" s="222"/>
      <c r="O54" s="222"/>
      <c r="P54" s="222"/>
      <c r="Q54" s="222"/>
      <c r="R54" s="157">
        <v>20</v>
      </c>
      <c r="S54" s="157">
        <v>2</v>
      </c>
      <c r="T54" s="216">
        <v>0.1</v>
      </c>
      <c r="U54" s="217">
        <v>2.4485709999999998</v>
      </c>
      <c r="V54" s="217">
        <v>3.875</v>
      </c>
      <c r="W54" s="157">
        <v>93</v>
      </c>
      <c r="X54" s="157">
        <v>683.15130899999997</v>
      </c>
      <c r="Y54" s="208">
        <v>6.1563500335421945E-5</v>
      </c>
      <c r="Z54" s="166"/>
    </row>
    <row r="55" spans="1:26" ht="15" customHeight="1" x14ac:dyDescent="0.25">
      <c r="A55" s="155" t="s">
        <v>295</v>
      </c>
      <c r="B55" s="158">
        <v>20</v>
      </c>
      <c r="C55" s="158">
        <v>2</v>
      </c>
      <c r="D55" s="218">
        <v>0.1</v>
      </c>
      <c r="E55" s="219">
        <v>2.4485709999999998</v>
      </c>
      <c r="F55" s="219">
        <v>3.875</v>
      </c>
      <c r="G55" s="158">
        <v>93</v>
      </c>
      <c r="H55" s="158">
        <v>683.15130899999997</v>
      </c>
      <c r="I55" s="209">
        <v>6.621322180968394E-5</v>
      </c>
      <c r="J55" s="223"/>
      <c r="K55" s="223"/>
      <c r="L55" s="223"/>
      <c r="M55" s="223"/>
      <c r="N55" s="223"/>
      <c r="O55" s="223"/>
      <c r="P55" s="223"/>
      <c r="Q55" s="223"/>
      <c r="R55" s="158">
        <v>20</v>
      </c>
      <c r="S55" s="158">
        <v>2</v>
      </c>
      <c r="T55" s="218">
        <v>0.1</v>
      </c>
      <c r="U55" s="219">
        <v>2.4485709999999998</v>
      </c>
      <c r="V55" s="219">
        <v>3.875</v>
      </c>
      <c r="W55" s="158">
        <v>93</v>
      </c>
      <c r="X55" s="158">
        <v>683.15130899999997</v>
      </c>
      <c r="Y55" s="209">
        <v>6.1563500335421945E-5</v>
      </c>
      <c r="Z55" s="166"/>
    </row>
    <row r="56" spans="1:26" ht="15" customHeight="1" x14ac:dyDescent="0.25">
      <c r="A56" s="156" t="s">
        <v>35</v>
      </c>
      <c r="B56" s="157">
        <v>590</v>
      </c>
      <c r="C56" s="157">
        <v>557</v>
      </c>
      <c r="D56" s="216">
        <v>0.94406779661016949</v>
      </c>
      <c r="E56" s="217">
        <v>1.0592459605026932</v>
      </c>
      <c r="F56" s="217">
        <v>4.3382700833333336</v>
      </c>
      <c r="G56" s="157">
        <v>28997</v>
      </c>
      <c r="H56" s="157">
        <v>92144.865350089778</v>
      </c>
      <c r="I56" s="208">
        <v>8.9309766777435177E-3</v>
      </c>
      <c r="J56" s="157">
        <v>192</v>
      </c>
      <c r="K56" s="157">
        <v>155</v>
      </c>
      <c r="L56" s="216">
        <v>0.80729166666666663</v>
      </c>
      <c r="M56" s="217">
        <v>1.2387096774193549</v>
      </c>
      <c r="N56" s="217">
        <v>4.4016123333333335</v>
      </c>
      <c r="O56" s="157">
        <v>8187</v>
      </c>
      <c r="P56" s="157">
        <v>10141.316129032259</v>
      </c>
      <c r="Q56" s="208">
        <v>1.3014230738344198E-2</v>
      </c>
      <c r="R56" s="157">
        <v>782</v>
      </c>
      <c r="S56" s="157">
        <v>712</v>
      </c>
      <c r="T56" s="216">
        <v>0.91048593350383633</v>
      </c>
      <c r="U56" s="217">
        <v>1.148977818961024</v>
      </c>
      <c r="V56" s="217">
        <v>4.352059477645132</v>
      </c>
      <c r="W56" s="157">
        <v>37184</v>
      </c>
      <c r="X56" s="157">
        <v>102286.18147912204</v>
      </c>
      <c r="Y56" s="208">
        <v>9.2177169023018885E-3</v>
      </c>
      <c r="Z56" s="166"/>
    </row>
    <row r="57" spans="1:26" ht="15" customHeight="1" x14ac:dyDescent="0.25">
      <c r="A57" s="155" t="s">
        <v>294</v>
      </c>
      <c r="B57" s="158">
        <v>590</v>
      </c>
      <c r="C57" s="158">
        <v>557</v>
      </c>
      <c r="D57" s="218">
        <v>0.94406779661016949</v>
      </c>
      <c r="E57" s="219">
        <v>1.0592459605026932</v>
      </c>
      <c r="F57" s="219">
        <v>4.3382700833333336</v>
      </c>
      <c r="G57" s="158">
        <v>28997</v>
      </c>
      <c r="H57" s="158">
        <v>92144.865350089778</v>
      </c>
      <c r="I57" s="209">
        <v>8.9309766777435177E-3</v>
      </c>
      <c r="J57" s="158">
        <v>192</v>
      </c>
      <c r="K57" s="158">
        <v>155</v>
      </c>
      <c r="L57" s="218">
        <v>0.80729166666666663</v>
      </c>
      <c r="M57" s="219">
        <v>1.2387096774193549</v>
      </c>
      <c r="N57" s="219">
        <v>4.4016123333333335</v>
      </c>
      <c r="O57" s="158">
        <v>8187</v>
      </c>
      <c r="P57" s="158">
        <v>10141.316129032259</v>
      </c>
      <c r="Q57" s="209">
        <v>1.3014230738344198E-2</v>
      </c>
      <c r="R57" s="158">
        <v>782</v>
      </c>
      <c r="S57" s="158">
        <v>712</v>
      </c>
      <c r="T57" s="218">
        <v>0.91048593350383633</v>
      </c>
      <c r="U57" s="219">
        <v>1.148977818961024</v>
      </c>
      <c r="V57" s="219">
        <v>4.352059477645132</v>
      </c>
      <c r="W57" s="158">
        <v>37184</v>
      </c>
      <c r="X57" s="158">
        <v>102286.18147912204</v>
      </c>
      <c r="Y57" s="209">
        <v>9.2177169023018885E-3</v>
      </c>
      <c r="Z57" s="166"/>
    </row>
    <row r="58" spans="1:26" ht="15" customHeight="1" x14ac:dyDescent="0.25">
      <c r="A58" s="156" t="s">
        <v>36</v>
      </c>
      <c r="B58" s="157">
        <v>48</v>
      </c>
      <c r="C58" s="157">
        <v>32</v>
      </c>
      <c r="D58" s="216">
        <v>0.66666666666666663</v>
      </c>
      <c r="E58" s="217">
        <v>1.4965714285714287</v>
      </c>
      <c r="F58" s="217">
        <v>4.375</v>
      </c>
      <c r="G58" s="157">
        <v>1680</v>
      </c>
      <c r="H58" s="157">
        <v>7542.72</v>
      </c>
      <c r="I58" s="208">
        <v>7.310646789792498E-4</v>
      </c>
      <c r="J58" s="157">
        <v>15</v>
      </c>
      <c r="K58" s="157">
        <v>12</v>
      </c>
      <c r="L58" s="216">
        <v>0.8</v>
      </c>
      <c r="M58" s="217">
        <v>1.25</v>
      </c>
      <c r="N58" s="217">
        <v>4.7083330000000005</v>
      </c>
      <c r="O58" s="157">
        <v>678</v>
      </c>
      <c r="P58" s="157">
        <v>847.5</v>
      </c>
      <c r="Q58" s="208">
        <v>1.0875867008199862E-3</v>
      </c>
      <c r="R58" s="157">
        <v>63</v>
      </c>
      <c r="S58" s="157">
        <v>44</v>
      </c>
      <c r="T58" s="216">
        <v>0.69841269841269837</v>
      </c>
      <c r="U58" s="217">
        <v>1.3732857142857142</v>
      </c>
      <c r="V58" s="217">
        <v>4.4659089999999999</v>
      </c>
      <c r="W58" s="157">
        <v>2358</v>
      </c>
      <c r="X58" s="157">
        <v>8390.2200000000012</v>
      </c>
      <c r="Y58" s="208">
        <v>7.5610088860162609E-4</v>
      </c>
      <c r="Z58" s="166"/>
    </row>
    <row r="59" spans="1:26" ht="15" customHeight="1" x14ac:dyDescent="0.25">
      <c r="A59" s="155" t="s">
        <v>293</v>
      </c>
      <c r="B59" s="158">
        <v>48</v>
      </c>
      <c r="C59" s="158">
        <v>32</v>
      </c>
      <c r="D59" s="218">
        <v>0.66666666666666663</v>
      </c>
      <c r="E59" s="219">
        <v>1.4965714285714287</v>
      </c>
      <c r="F59" s="219">
        <v>4.375</v>
      </c>
      <c r="G59" s="158">
        <v>1680</v>
      </c>
      <c r="H59" s="158">
        <v>7542.72</v>
      </c>
      <c r="I59" s="209">
        <v>7.310646789792498E-4</v>
      </c>
      <c r="J59" s="158">
        <v>15</v>
      </c>
      <c r="K59" s="158">
        <v>12</v>
      </c>
      <c r="L59" s="218">
        <v>0.8</v>
      </c>
      <c r="M59" s="219">
        <v>1.25</v>
      </c>
      <c r="N59" s="219">
        <v>4.7083330000000005</v>
      </c>
      <c r="O59" s="158">
        <v>678</v>
      </c>
      <c r="P59" s="158">
        <v>847.5</v>
      </c>
      <c r="Q59" s="209">
        <v>1.0875867008199862E-3</v>
      </c>
      <c r="R59" s="158">
        <v>63</v>
      </c>
      <c r="S59" s="158">
        <v>44</v>
      </c>
      <c r="T59" s="218">
        <v>0.69841269841269837</v>
      </c>
      <c r="U59" s="219">
        <v>1.3732857142857142</v>
      </c>
      <c r="V59" s="219">
        <v>4.4659089999999999</v>
      </c>
      <c r="W59" s="158">
        <v>2358</v>
      </c>
      <c r="X59" s="158">
        <v>8390.2200000000012</v>
      </c>
      <c r="Y59" s="209">
        <v>7.5610088860162609E-4</v>
      </c>
      <c r="Z59" s="166"/>
    </row>
    <row r="60" spans="1:26" ht="15" customHeight="1" x14ac:dyDescent="0.25">
      <c r="A60" s="156" t="s">
        <v>37</v>
      </c>
      <c r="B60" s="157">
        <v>15</v>
      </c>
      <c r="C60" s="157">
        <v>7</v>
      </c>
      <c r="D60" s="216">
        <v>0.46666666666666667</v>
      </c>
      <c r="E60" s="217">
        <v>1.9045714285714286</v>
      </c>
      <c r="F60" s="217">
        <v>4.107142416666667</v>
      </c>
      <c r="G60" s="157">
        <v>345</v>
      </c>
      <c r="H60" s="157">
        <v>1971.2314285714285</v>
      </c>
      <c r="I60" s="208">
        <v>1.9105808932618198E-4</v>
      </c>
      <c r="J60" s="157">
        <v>9</v>
      </c>
      <c r="K60" s="157">
        <v>3</v>
      </c>
      <c r="L60" s="216">
        <v>0.33333333333333331</v>
      </c>
      <c r="M60" s="217">
        <v>2.1765714285714286</v>
      </c>
      <c r="N60" s="217">
        <v>4.4999995833333335</v>
      </c>
      <c r="O60" s="157">
        <v>162</v>
      </c>
      <c r="P60" s="157">
        <v>352.60457142857143</v>
      </c>
      <c r="Q60" s="208">
        <v>4.5249326552689696E-4</v>
      </c>
      <c r="R60" s="157">
        <v>24</v>
      </c>
      <c r="S60" s="157">
        <v>10</v>
      </c>
      <c r="T60" s="216">
        <v>0.41666666666666669</v>
      </c>
      <c r="U60" s="217">
        <v>2.0405714285714285</v>
      </c>
      <c r="V60" s="217">
        <v>4.2249995666666669</v>
      </c>
      <c r="W60" s="157">
        <v>507</v>
      </c>
      <c r="X60" s="157">
        <v>2323.8359999999998</v>
      </c>
      <c r="Y60" s="208">
        <v>2.0941697173190309E-4</v>
      </c>
      <c r="Z60" s="166"/>
    </row>
    <row r="61" spans="1:26" ht="15" customHeight="1" x14ac:dyDescent="0.25">
      <c r="A61" s="155" t="s">
        <v>290</v>
      </c>
      <c r="B61" s="158">
        <v>15</v>
      </c>
      <c r="C61" s="158">
        <v>7</v>
      </c>
      <c r="D61" s="218">
        <v>0.46666666666666667</v>
      </c>
      <c r="E61" s="219">
        <v>1.9045714285714286</v>
      </c>
      <c r="F61" s="219">
        <v>4.107142416666667</v>
      </c>
      <c r="G61" s="158">
        <v>345</v>
      </c>
      <c r="H61" s="158">
        <v>1971.2314285714285</v>
      </c>
      <c r="I61" s="209">
        <v>1.9105808932618198E-4</v>
      </c>
      <c r="J61" s="158">
        <v>9</v>
      </c>
      <c r="K61" s="158">
        <v>3</v>
      </c>
      <c r="L61" s="218">
        <v>0.33333333333333331</v>
      </c>
      <c r="M61" s="219">
        <v>2.1765714285714286</v>
      </c>
      <c r="N61" s="219">
        <v>4.4999995833333335</v>
      </c>
      <c r="O61" s="158">
        <v>162</v>
      </c>
      <c r="P61" s="158">
        <v>352.60457142857143</v>
      </c>
      <c r="Q61" s="209">
        <v>4.5249326552689696E-4</v>
      </c>
      <c r="R61" s="158">
        <v>24</v>
      </c>
      <c r="S61" s="158">
        <v>10</v>
      </c>
      <c r="T61" s="218">
        <v>0.41666666666666669</v>
      </c>
      <c r="U61" s="219">
        <v>2.0405714285714285</v>
      </c>
      <c r="V61" s="219">
        <v>4.2249995666666669</v>
      </c>
      <c r="W61" s="158">
        <v>507</v>
      </c>
      <c r="X61" s="158">
        <v>2323.8359999999998</v>
      </c>
      <c r="Y61" s="209">
        <v>2.0941697173190309E-4</v>
      </c>
      <c r="Z61" s="166"/>
    </row>
    <row r="62" spans="1:26" ht="15" customHeight="1" x14ac:dyDescent="0.25">
      <c r="A62" s="156" t="s">
        <v>38</v>
      </c>
      <c r="B62" s="157">
        <v>975</v>
      </c>
      <c r="C62" s="157">
        <v>864</v>
      </c>
      <c r="D62" s="216">
        <v>0.88615384615384618</v>
      </c>
      <c r="E62" s="217">
        <v>1.1284722222222223</v>
      </c>
      <c r="F62" s="217">
        <v>4.2465273333333329</v>
      </c>
      <c r="G62" s="157">
        <v>44028</v>
      </c>
      <c r="H62" s="157">
        <v>149053.125</v>
      </c>
      <c r="I62" s="208">
        <v>1.4446708213877618E-2</v>
      </c>
      <c r="J62" s="157">
        <v>278</v>
      </c>
      <c r="K62" s="157">
        <v>207</v>
      </c>
      <c r="L62" s="216">
        <v>0.74460431654676262</v>
      </c>
      <c r="M62" s="217">
        <v>1.3429951690821258</v>
      </c>
      <c r="N62" s="217">
        <v>4.2661025833333328</v>
      </c>
      <c r="O62" s="157">
        <v>10597</v>
      </c>
      <c r="P62" s="157">
        <v>14231.719806763287</v>
      </c>
      <c r="Q62" s="208">
        <v>1.8263397276262104E-2</v>
      </c>
      <c r="R62" s="157">
        <v>1253</v>
      </c>
      <c r="S62" s="157">
        <v>1071</v>
      </c>
      <c r="T62" s="216">
        <v>0.85474860335195535</v>
      </c>
      <c r="U62" s="217">
        <v>1.2357336956521741</v>
      </c>
      <c r="V62" s="217">
        <v>4.2503107850140056</v>
      </c>
      <c r="W62" s="157">
        <v>54625</v>
      </c>
      <c r="X62" s="157">
        <v>163284.84480676329</v>
      </c>
      <c r="Y62" s="208">
        <v>1.4714729322183723E-2</v>
      </c>
      <c r="Z62" s="166"/>
    </row>
    <row r="63" spans="1:26" ht="15" customHeight="1" x14ac:dyDescent="0.25">
      <c r="A63" s="155" t="s">
        <v>289</v>
      </c>
      <c r="B63" s="158">
        <v>975</v>
      </c>
      <c r="C63" s="158">
        <v>864</v>
      </c>
      <c r="D63" s="218">
        <v>0.88615384615384618</v>
      </c>
      <c r="E63" s="219">
        <v>1.1284722222222223</v>
      </c>
      <c r="F63" s="219">
        <v>4.2465273333333329</v>
      </c>
      <c r="G63" s="158">
        <v>44028</v>
      </c>
      <c r="H63" s="158">
        <v>149053.125</v>
      </c>
      <c r="I63" s="209">
        <v>1.4446708213877618E-2</v>
      </c>
      <c r="J63" s="158">
        <v>278</v>
      </c>
      <c r="K63" s="158">
        <v>207</v>
      </c>
      <c r="L63" s="218">
        <v>0.74460431654676262</v>
      </c>
      <c r="M63" s="219">
        <v>1.3429951690821258</v>
      </c>
      <c r="N63" s="219">
        <v>4.2661025833333328</v>
      </c>
      <c r="O63" s="158">
        <v>10597</v>
      </c>
      <c r="P63" s="158">
        <v>14231.719806763287</v>
      </c>
      <c r="Q63" s="209">
        <v>1.8263397276262104E-2</v>
      </c>
      <c r="R63" s="158">
        <v>1253</v>
      </c>
      <c r="S63" s="158">
        <v>1071</v>
      </c>
      <c r="T63" s="218">
        <v>0.85474860335195535</v>
      </c>
      <c r="U63" s="219">
        <v>1.2357336956521741</v>
      </c>
      <c r="V63" s="219">
        <v>4.2503107850140056</v>
      </c>
      <c r="W63" s="158">
        <v>54625</v>
      </c>
      <c r="X63" s="158">
        <v>163284.84480676329</v>
      </c>
      <c r="Y63" s="209">
        <v>1.4714729322183723E-2</v>
      </c>
      <c r="Z63" s="166"/>
    </row>
    <row r="64" spans="1:26" ht="15" customHeight="1" x14ac:dyDescent="0.25">
      <c r="A64" s="156" t="s">
        <v>39</v>
      </c>
      <c r="B64" s="157">
        <v>230</v>
      </c>
      <c r="C64" s="157">
        <v>169</v>
      </c>
      <c r="D64" s="216">
        <v>0.73478260869565215</v>
      </c>
      <c r="E64" s="217">
        <v>1.3609467455621302</v>
      </c>
      <c r="F64" s="217">
        <v>4.6666660833333333</v>
      </c>
      <c r="G64" s="157">
        <v>9464</v>
      </c>
      <c r="H64" s="157">
        <v>38640</v>
      </c>
      <c r="I64" s="208">
        <v>3.7451130620993769E-3</v>
      </c>
      <c r="J64" s="157">
        <v>12</v>
      </c>
      <c r="K64" s="157">
        <v>2</v>
      </c>
      <c r="L64" s="216">
        <v>0.16666666666666666</v>
      </c>
      <c r="M64" s="217">
        <v>2.4485709999999998</v>
      </c>
      <c r="N64" s="217">
        <v>4.458333333333333</v>
      </c>
      <c r="O64" s="157">
        <v>107</v>
      </c>
      <c r="P64" s="157">
        <v>261.997097</v>
      </c>
      <c r="Q64" s="208">
        <v>3.3621776796536153E-4</v>
      </c>
      <c r="R64" s="157">
        <v>242</v>
      </c>
      <c r="S64" s="157">
        <v>171</v>
      </c>
      <c r="T64" s="216">
        <v>0.70661157024793386</v>
      </c>
      <c r="U64" s="217">
        <v>1.9047588727810649</v>
      </c>
      <c r="V64" s="217">
        <v>4.6642294429824558</v>
      </c>
      <c r="W64" s="157">
        <v>9571</v>
      </c>
      <c r="X64" s="157">
        <v>38901.997096999999</v>
      </c>
      <c r="Y64" s="208">
        <v>3.5057286428031176E-3</v>
      </c>
      <c r="Z64" s="166"/>
    </row>
    <row r="65" spans="1:26" ht="15" customHeight="1" x14ac:dyDescent="0.25">
      <c r="A65" s="155" t="s">
        <v>288</v>
      </c>
      <c r="B65" s="158">
        <v>230</v>
      </c>
      <c r="C65" s="158">
        <v>169</v>
      </c>
      <c r="D65" s="218">
        <v>0.73478260869565215</v>
      </c>
      <c r="E65" s="219">
        <v>1.3609467455621302</v>
      </c>
      <c r="F65" s="219">
        <v>4.6666660833333333</v>
      </c>
      <c r="G65" s="158">
        <v>9464</v>
      </c>
      <c r="H65" s="158">
        <v>38640</v>
      </c>
      <c r="I65" s="209">
        <v>3.7451130620993769E-3</v>
      </c>
      <c r="J65" s="158">
        <v>12</v>
      </c>
      <c r="K65" s="158">
        <v>2</v>
      </c>
      <c r="L65" s="218">
        <v>0.16666666666666666</v>
      </c>
      <c r="M65" s="219">
        <v>2.4485709999999998</v>
      </c>
      <c r="N65" s="219">
        <v>4.458333333333333</v>
      </c>
      <c r="O65" s="158">
        <v>107</v>
      </c>
      <c r="P65" s="158">
        <v>261.997097</v>
      </c>
      <c r="Q65" s="209">
        <v>3.3621776796536153E-4</v>
      </c>
      <c r="R65" s="158">
        <v>242</v>
      </c>
      <c r="S65" s="158">
        <v>171</v>
      </c>
      <c r="T65" s="218">
        <v>0.70661157024793386</v>
      </c>
      <c r="U65" s="219">
        <v>1.9047588727810649</v>
      </c>
      <c r="V65" s="219">
        <v>4.6642294429824558</v>
      </c>
      <c r="W65" s="158">
        <v>9571</v>
      </c>
      <c r="X65" s="158">
        <v>38901.997096999999</v>
      </c>
      <c r="Y65" s="209">
        <v>3.5057286428031176E-3</v>
      </c>
      <c r="Z65" s="166"/>
    </row>
    <row r="66" spans="1:26" ht="15" customHeight="1" x14ac:dyDescent="0.25">
      <c r="A66" s="156" t="s">
        <v>440</v>
      </c>
      <c r="B66" s="157">
        <v>2611</v>
      </c>
      <c r="C66" s="157">
        <v>1145</v>
      </c>
      <c r="D66" s="216">
        <v>0.43852929911911143</v>
      </c>
      <c r="E66" s="217">
        <v>1.9619716583684412</v>
      </c>
      <c r="F66" s="217">
        <v>4.2862440833333331</v>
      </c>
      <c r="G66" s="157">
        <v>58893</v>
      </c>
      <c r="H66" s="157">
        <v>346639.19062887784</v>
      </c>
      <c r="I66" s="208">
        <v>3.3597385110242399E-2</v>
      </c>
      <c r="J66" s="157">
        <v>505</v>
      </c>
      <c r="K66" s="157">
        <v>176</v>
      </c>
      <c r="L66" s="216">
        <v>0.34851485148514849</v>
      </c>
      <c r="M66" s="217">
        <v>2.1456011315417256</v>
      </c>
      <c r="N66" s="217">
        <v>4.1676132500000005</v>
      </c>
      <c r="O66" s="157">
        <v>8802</v>
      </c>
      <c r="P66" s="157">
        <v>18885.581159830268</v>
      </c>
      <c r="Q66" s="208">
        <v>2.423564236777332E-2</v>
      </c>
      <c r="R66" s="157">
        <v>3116</v>
      </c>
      <c r="S66" s="157">
        <v>1321</v>
      </c>
      <c r="T66" s="216">
        <v>0.42394094993581516</v>
      </c>
      <c r="U66" s="217">
        <v>2.0537863949550834</v>
      </c>
      <c r="V66" s="217">
        <v>4.2704386127302536</v>
      </c>
      <c r="W66" s="157">
        <v>67695</v>
      </c>
      <c r="X66" s="157">
        <v>365524.77178870811</v>
      </c>
      <c r="Y66" s="208">
        <v>3.2939971151572753E-2</v>
      </c>
      <c r="Z66" s="166"/>
    </row>
    <row r="67" spans="1:26" ht="15" customHeight="1" x14ac:dyDescent="0.25">
      <c r="A67" s="155" t="s">
        <v>287</v>
      </c>
      <c r="B67" s="158">
        <v>2611</v>
      </c>
      <c r="C67" s="158">
        <v>1145</v>
      </c>
      <c r="D67" s="218">
        <v>0.43852929911911143</v>
      </c>
      <c r="E67" s="219">
        <v>1.9619716583684412</v>
      </c>
      <c r="F67" s="219">
        <v>4.2862440833333331</v>
      </c>
      <c r="G67" s="158">
        <v>58893</v>
      </c>
      <c r="H67" s="158">
        <v>346639.19062887784</v>
      </c>
      <c r="I67" s="209">
        <v>3.3597385110242399E-2</v>
      </c>
      <c r="J67" s="158">
        <v>505</v>
      </c>
      <c r="K67" s="158">
        <v>176</v>
      </c>
      <c r="L67" s="218">
        <v>0.34851485148514849</v>
      </c>
      <c r="M67" s="219">
        <v>2.1456011315417256</v>
      </c>
      <c r="N67" s="219">
        <v>4.1676132500000005</v>
      </c>
      <c r="O67" s="158">
        <v>8802</v>
      </c>
      <c r="P67" s="158">
        <v>18885.581159830268</v>
      </c>
      <c r="Q67" s="209">
        <v>2.423564236777332E-2</v>
      </c>
      <c r="R67" s="158">
        <v>3116</v>
      </c>
      <c r="S67" s="158">
        <v>1321</v>
      </c>
      <c r="T67" s="218">
        <v>0.42394094993581516</v>
      </c>
      <c r="U67" s="219">
        <v>2.0537863949550834</v>
      </c>
      <c r="V67" s="219">
        <v>4.2704386127302536</v>
      </c>
      <c r="W67" s="158">
        <v>67695</v>
      </c>
      <c r="X67" s="158">
        <v>365524.77178870811</v>
      </c>
      <c r="Y67" s="209">
        <v>3.2939971151572753E-2</v>
      </c>
      <c r="Z67" s="166"/>
    </row>
    <row r="68" spans="1:26" ht="15" customHeight="1" x14ac:dyDescent="0.25">
      <c r="A68" s="156" t="s">
        <v>40</v>
      </c>
      <c r="B68" s="157">
        <v>123</v>
      </c>
      <c r="C68" s="157">
        <v>80</v>
      </c>
      <c r="D68" s="216">
        <v>0.65040650406504064</v>
      </c>
      <c r="E68" s="217">
        <v>1.5297421602787458</v>
      </c>
      <c r="F68" s="217">
        <v>4.53125</v>
      </c>
      <c r="G68" s="157">
        <v>4350</v>
      </c>
      <c r="H68" s="157">
        <v>19963.135191637633</v>
      </c>
      <c r="I68" s="208">
        <v>1.9348912620770664E-3</v>
      </c>
      <c r="J68" s="157">
        <v>8</v>
      </c>
      <c r="K68" s="157">
        <v>6</v>
      </c>
      <c r="L68" s="216">
        <v>0.75</v>
      </c>
      <c r="M68" s="217">
        <v>1.3333333333333333</v>
      </c>
      <c r="N68" s="217">
        <v>4.6249997499999997</v>
      </c>
      <c r="O68" s="157">
        <v>333</v>
      </c>
      <c r="P68" s="157">
        <v>444</v>
      </c>
      <c r="Q68" s="208">
        <v>5.6977993529684233E-4</v>
      </c>
      <c r="R68" s="157">
        <v>131</v>
      </c>
      <c r="S68" s="157">
        <v>86</v>
      </c>
      <c r="T68" s="216">
        <v>0.65648854961832059</v>
      </c>
      <c r="U68" s="217">
        <v>1.4315377468060395</v>
      </c>
      <c r="V68" s="217">
        <v>4.5377906802325576</v>
      </c>
      <c r="W68" s="157">
        <v>4683</v>
      </c>
      <c r="X68" s="157">
        <v>20407.135191637633</v>
      </c>
      <c r="Y68" s="208">
        <v>1.839028422640971E-3</v>
      </c>
      <c r="Z68" s="166"/>
    </row>
    <row r="69" spans="1:26" ht="15" customHeight="1" x14ac:dyDescent="0.25">
      <c r="A69" s="155" t="s">
        <v>292</v>
      </c>
      <c r="B69" s="158">
        <v>123</v>
      </c>
      <c r="C69" s="158">
        <v>80</v>
      </c>
      <c r="D69" s="218">
        <v>0.65040650406504064</v>
      </c>
      <c r="E69" s="219">
        <v>1.5297421602787458</v>
      </c>
      <c r="F69" s="219">
        <v>4.53125</v>
      </c>
      <c r="G69" s="158">
        <v>4350</v>
      </c>
      <c r="H69" s="158">
        <v>19963.135191637633</v>
      </c>
      <c r="I69" s="209">
        <v>1.9348912620770664E-3</v>
      </c>
      <c r="J69" s="158">
        <v>8</v>
      </c>
      <c r="K69" s="158">
        <v>6</v>
      </c>
      <c r="L69" s="218">
        <v>0.75</v>
      </c>
      <c r="M69" s="219">
        <v>1.3333333333333333</v>
      </c>
      <c r="N69" s="219">
        <v>4.6249997499999997</v>
      </c>
      <c r="O69" s="158">
        <v>333</v>
      </c>
      <c r="P69" s="158">
        <v>444</v>
      </c>
      <c r="Q69" s="209">
        <v>5.6977993529684233E-4</v>
      </c>
      <c r="R69" s="158">
        <v>131</v>
      </c>
      <c r="S69" s="158">
        <v>86</v>
      </c>
      <c r="T69" s="218">
        <v>0.65648854961832059</v>
      </c>
      <c r="U69" s="219">
        <v>1.4315377468060395</v>
      </c>
      <c r="V69" s="219">
        <v>4.5377906802325576</v>
      </c>
      <c r="W69" s="158">
        <v>4683</v>
      </c>
      <c r="X69" s="158">
        <v>20407.135191637633</v>
      </c>
      <c r="Y69" s="209">
        <v>1.839028422640971E-3</v>
      </c>
      <c r="Z69" s="166"/>
    </row>
    <row r="70" spans="1:26" ht="15" customHeight="1" x14ac:dyDescent="0.25">
      <c r="A70" s="156" t="s">
        <v>41</v>
      </c>
      <c r="B70" s="157">
        <v>44</v>
      </c>
      <c r="C70" s="157">
        <v>42</v>
      </c>
      <c r="D70" s="216">
        <v>0.95454545454545459</v>
      </c>
      <c r="E70" s="217">
        <v>1.0476190476190477</v>
      </c>
      <c r="F70" s="217">
        <v>4.7103170000000008</v>
      </c>
      <c r="G70" s="157">
        <v>2374</v>
      </c>
      <c r="H70" s="157">
        <v>7461.1428571428578</v>
      </c>
      <c r="I70" s="208">
        <v>7.2315795995018584E-4</v>
      </c>
      <c r="J70" s="157">
        <v>16</v>
      </c>
      <c r="K70" s="157">
        <v>15</v>
      </c>
      <c r="L70" s="216">
        <v>0.9375</v>
      </c>
      <c r="M70" s="217">
        <v>1.0666666666666667</v>
      </c>
      <c r="N70" s="217">
        <v>4.6055553333333341</v>
      </c>
      <c r="O70" s="157">
        <v>829</v>
      </c>
      <c r="P70" s="157">
        <v>884.26666666666665</v>
      </c>
      <c r="Q70" s="208">
        <v>1.1347689281947923E-3</v>
      </c>
      <c r="R70" s="157">
        <v>60</v>
      </c>
      <c r="S70" s="157">
        <v>57</v>
      </c>
      <c r="T70" s="216">
        <v>0.95</v>
      </c>
      <c r="U70" s="217">
        <v>1.0571428571428572</v>
      </c>
      <c r="V70" s="217">
        <v>4.6827481403508777</v>
      </c>
      <c r="W70" s="157">
        <v>3203</v>
      </c>
      <c r="X70" s="157">
        <v>8345.4095238095251</v>
      </c>
      <c r="Y70" s="208">
        <v>7.5206270594774087E-4</v>
      </c>
      <c r="Z70" s="166"/>
    </row>
    <row r="71" spans="1:26" ht="15" customHeight="1" x14ac:dyDescent="0.25">
      <c r="A71" s="155" t="s">
        <v>291</v>
      </c>
      <c r="B71" s="158">
        <v>44</v>
      </c>
      <c r="C71" s="158">
        <v>42</v>
      </c>
      <c r="D71" s="218">
        <v>0.95454545454545459</v>
      </c>
      <c r="E71" s="219">
        <v>1.0476190476190477</v>
      </c>
      <c r="F71" s="219">
        <v>4.7103170000000008</v>
      </c>
      <c r="G71" s="158">
        <v>2374</v>
      </c>
      <c r="H71" s="158">
        <v>7461.1428571428578</v>
      </c>
      <c r="I71" s="209">
        <v>7.2315795995018584E-4</v>
      </c>
      <c r="J71" s="158">
        <v>16</v>
      </c>
      <c r="K71" s="158">
        <v>15</v>
      </c>
      <c r="L71" s="218">
        <v>0.9375</v>
      </c>
      <c r="M71" s="219">
        <v>1.0666666666666667</v>
      </c>
      <c r="N71" s="219">
        <v>4.6055553333333341</v>
      </c>
      <c r="O71" s="158">
        <v>829</v>
      </c>
      <c r="P71" s="158">
        <v>884.26666666666665</v>
      </c>
      <c r="Q71" s="209">
        <v>1.1347689281947923E-3</v>
      </c>
      <c r="R71" s="158">
        <v>60</v>
      </c>
      <c r="S71" s="158">
        <v>57</v>
      </c>
      <c r="T71" s="218">
        <v>0.95</v>
      </c>
      <c r="U71" s="219">
        <v>1.0571428571428572</v>
      </c>
      <c r="V71" s="219">
        <v>4.6827481403508777</v>
      </c>
      <c r="W71" s="158">
        <v>3203</v>
      </c>
      <c r="X71" s="158">
        <v>8345.4095238095251</v>
      </c>
      <c r="Y71" s="209">
        <v>7.5206270594774087E-4</v>
      </c>
      <c r="Z71" s="166"/>
    </row>
    <row r="72" spans="1:26" ht="15" customHeight="1" x14ac:dyDescent="0.25">
      <c r="A72" s="156" t="s">
        <v>42</v>
      </c>
      <c r="B72" s="157">
        <v>158</v>
      </c>
      <c r="C72" s="157">
        <v>59</v>
      </c>
      <c r="D72" s="216">
        <v>0.37341772151898733</v>
      </c>
      <c r="E72" s="217">
        <v>2.0947992766726946</v>
      </c>
      <c r="F72" s="217">
        <v>4.1285306666666663</v>
      </c>
      <c r="G72" s="157">
        <v>2923</v>
      </c>
      <c r="H72" s="157">
        <v>18369.294857142861</v>
      </c>
      <c r="I72" s="208">
        <v>1.7804111312381117E-3</v>
      </c>
      <c r="J72" s="157">
        <v>97</v>
      </c>
      <c r="K72" s="157">
        <v>29</v>
      </c>
      <c r="L72" s="216">
        <v>0.29896907216494845</v>
      </c>
      <c r="M72" s="217">
        <v>2.246674521354934</v>
      </c>
      <c r="N72" s="217">
        <v>4.1551719999999994</v>
      </c>
      <c r="O72" s="157">
        <v>1446</v>
      </c>
      <c r="P72" s="157">
        <v>3248.6913578792346</v>
      </c>
      <c r="Q72" s="208">
        <v>4.1690070984050477E-3</v>
      </c>
      <c r="R72" s="157">
        <v>255</v>
      </c>
      <c r="S72" s="157">
        <v>88</v>
      </c>
      <c r="T72" s="216">
        <v>0.34509803921568627</v>
      </c>
      <c r="U72" s="217">
        <v>2.1707368990138143</v>
      </c>
      <c r="V72" s="217">
        <v>4.1373101969696968</v>
      </c>
      <c r="W72" s="157">
        <v>4369</v>
      </c>
      <c r="X72" s="157">
        <v>21617.986215022094</v>
      </c>
      <c r="Y72" s="208">
        <v>1.9481466024676237E-3</v>
      </c>
      <c r="Z72" s="166"/>
    </row>
    <row r="73" spans="1:26" ht="15" customHeight="1" x14ac:dyDescent="0.25">
      <c r="A73" s="155" t="s">
        <v>286</v>
      </c>
      <c r="B73" s="158">
        <v>158</v>
      </c>
      <c r="C73" s="158">
        <v>59</v>
      </c>
      <c r="D73" s="218">
        <v>0.37341772151898733</v>
      </c>
      <c r="E73" s="219">
        <v>2.0947992766726946</v>
      </c>
      <c r="F73" s="219">
        <v>4.1285306666666663</v>
      </c>
      <c r="G73" s="158">
        <v>2923</v>
      </c>
      <c r="H73" s="158">
        <v>18369.294857142861</v>
      </c>
      <c r="I73" s="209">
        <v>1.7804111312381117E-3</v>
      </c>
      <c r="J73" s="158">
        <v>97</v>
      </c>
      <c r="K73" s="158">
        <v>29</v>
      </c>
      <c r="L73" s="218">
        <v>0.29896907216494845</v>
      </c>
      <c r="M73" s="219">
        <v>2.246674521354934</v>
      </c>
      <c r="N73" s="219">
        <v>4.1551719999999994</v>
      </c>
      <c r="O73" s="158">
        <v>1446</v>
      </c>
      <c r="P73" s="158">
        <v>3248.6913578792346</v>
      </c>
      <c r="Q73" s="209">
        <v>4.1690070984050477E-3</v>
      </c>
      <c r="R73" s="158">
        <v>255</v>
      </c>
      <c r="S73" s="158">
        <v>88</v>
      </c>
      <c r="T73" s="218">
        <v>0.34509803921568627</v>
      </c>
      <c r="U73" s="219">
        <v>2.1707368990138143</v>
      </c>
      <c r="V73" s="219">
        <v>4.1373101969696968</v>
      </c>
      <c r="W73" s="158">
        <v>4369</v>
      </c>
      <c r="X73" s="158">
        <v>21617.986215022094</v>
      </c>
      <c r="Y73" s="209">
        <v>1.9481466024676237E-3</v>
      </c>
      <c r="Z73" s="166"/>
    </row>
    <row r="74" spans="1:26" ht="15" customHeight="1" x14ac:dyDescent="0.25">
      <c r="A74" s="156" t="s">
        <v>43</v>
      </c>
      <c r="B74" s="157">
        <v>1127</v>
      </c>
      <c r="C74" s="157">
        <v>691</v>
      </c>
      <c r="D74" s="216">
        <v>0.61313220940550128</v>
      </c>
      <c r="E74" s="217">
        <v>1.6057817213842058</v>
      </c>
      <c r="F74" s="217">
        <v>4.3856725833333332</v>
      </c>
      <c r="G74" s="157">
        <v>36366</v>
      </c>
      <c r="H74" s="157">
        <v>175187.57423957408</v>
      </c>
      <c r="I74" s="208">
        <v>1.6979743079765353E-2</v>
      </c>
      <c r="J74" s="157">
        <v>125</v>
      </c>
      <c r="K74" s="157">
        <v>54</v>
      </c>
      <c r="L74" s="216">
        <v>0.432</v>
      </c>
      <c r="M74" s="217">
        <v>1.9752914285714285</v>
      </c>
      <c r="N74" s="217">
        <v>4.3765427500000005</v>
      </c>
      <c r="O74" s="157">
        <v>2836</v>
      </c>
      <c r="P74" s="157">
        <v>5601.9264914285714</v>
      </c>
      <c r="Q74" s="208">
        <v>7.1888858419455817E-3</v>
      </c>
      <c r="R74" s="157">
        <v>1252</v>
      </c>
      <c r="S74" s="157">
        <v>745</v>
      </c>
      <c r="T74" s="216">
        <v>0.59504792332268375</v>
      </c>
      <c r="U74" s="217">
        <v>1.7905365749778173</v>
      </c>
      <c r="V74" s="217">
        <v>4.3850108236017897</v>
      </c>
      <c r="W74" s="157">
        <v>39202</v>
      </c>
      <c r="X74" s="157">
        <v>180789.50073100266</v>
      </c>
      <c r="Y74" s="208">
        <v>1.6292195216878153E-2</v>
      </c>
      <c r="Z74" s="166"/>
    </row>
    <row r="75" spans="1:26" ht="15" customHeight="1" x14ac:dyDescent="0.25">
      <c r="A75" s="155" t="s">
        <v>285</v>
      </c>
      <c r="B75" s="158">
        <v>1127</v>
      </c>
      <c r="C75" s="158">
        <v>691</v>
      </c>
      <c r="D75" s="218">
        <v>0.61313220940550128</v>
      </c>
      <c r="E75" s="219">
        <v>1.6057817213842058</v>
      </c>
      <c r="F75" s="219">
        <v>4.3856725833333332</v>
      </c>
      <c r="G75" s="158">
        <v>36366</v>
      </c>
      <c r="H75" s="158">
        <v>175187.57423957408</v>
      </c>
      <c r="I75" s="209">
        <v>1.6979743079765353E-2</v>
      </c>
      <c r="J75" s="158">
        <v>125</v>
      </c>
      <c r="K75" s="158">
        <v>54</v>
      </c>
      <c r="L75" s="218">
        <v>0.432</v>
      </c>
      <c r="M75" s="219">
        <v>1.9752914285714285</v>
      </c>
      <c r="N75" s="219">
        <v>4.3765427500000005</v>
      </c>
      <c r="O75" s="158">
        <v>2836</v>
      </c>
      <c r="P75" s="158">
        <v>5601.9264914285714</v>
      </c>
      <c r="Q75" s="209">
        <v>7.1888858419455817E-3</v>
      </c>
      <c r="R75" s="158">
        <v>1252</v>
      </c>
      <c r="S75" s="158">
        <v>745</v>
      </c>
      <c r="T75" s="218">
        <v>0.59504792332268375</v>
      </c>
      <c r="U75" s="219">
        <v>1.7905365749778173</v>
      </c>
      <c r="V75" s="219">
        <v>4.3850108236017897</v>
      </c>
      <c r="W75" s="158">
        <v>39202</v>
      </c>
      <c r="X75" s="158">
        <v>180789.50073100266</v>
      </c>
      <c r="Y75" s="209">
        <v>1.6292195216878153E-2</v>
      </c>
      <c r="Z75" s="166"/>
    </row>
    <row r="76" spans="1:26" ht="15" customHeight="1" x14ac:dyDescent="0.25">
      <c r="A76" s="156" t="s">
        <v>149</v>
      </c>
      <c r="B76" s="157">
        <v>62</v>
      </c>
      <c r="C76" s="157">
        <v>42</v>
      </c>
      <c r="D76" s="216">
        <v>0.67741935483870963</v>
      </c>
      <c r="E76" s="217">
        <v>1.4746359447004609</v>
      </c>
      <c r="F76" s="217">
        <v>4.5753963333333338</v>
      </c>
      <c r="G76" s="157">
        <v>2306</v>
      </c>
      <c r="H76" s="157">
        <v>10201.531465437789</v>
      </c>
      <c r="I76" s="208">
        <v>9.8876523666223751E-4</v>
      </c>
      <c r="J76" s="157">
        <v>10</v>
      </c>
      <c r="K76" s="157">
        <v>5</v>
      </c>
      <c r="L76" s="216">
        <v>0.5</v>
      </c>
      <c r="M76" s="217">
        <v>1.8365714285714285</v>
      </c>
      <c r="N76" s="217">
        <v>4.3666666666666663</v>
      </c>
      <c r="O76" s="157">
        <v>262</v>
      </c>
      <c r="P76" s="157">
        <v>481.18171428571429</v>
      </c>
      <c r="Q76" s="208">
        <v>6.1749478835977016E-4</v>
      </c>
      <c r="R76" s="157">
        <v>72</v>
      </c>
      <c r="S76" s="157">
        <v>47</v>
      </c>
      <c r="T76" s="216">
        <v>0.65277777777777779</v>
      </c>
      <c r="U76" s="217">
        <v>1.6556036866359447</v>
      </c>
      <c r="V76" s="217">
        <v>4.55319104964539</v>
      </c>
      <c r="W76" s="157">
        <v>2568</v>
      </c>
      <c r="X76" s="157">
        <v>10682.713179723503</v>
      </c>
      <c r="Y76" s="208">
        <v>9.6269334151729538E-4</v>
      </c>
      <c r="Z76" s="166"/>
    </row>
    <row r="77" spans="1:26" ht="15" customHeight="1" x14ac:dyDescent="0.25">
      <c r="A77" s="155" t="s">
        <v>284</v>
      </c>
      <c r="B77" s="158">
        <v>62</v>
      </c>
      <c r="C77" s="158">
        <v>42</v>
      </c>
      <c r="D77" s="218">
        <v>0.67741935483870963</v>
      </c>
      <c r="E77" s="219">
        <v>1.4746359447004609</v>
      </c>
      <c r="F77" s="219">
        <v>4.5753963333333338</v>
      </c>
      <c r="G77" s="158">
        <v>2306</v>
      </c>
      <c r="H77" s="158">
        <v>10201.531465437789</v>
      </c>
      <c r="I77" s="209">
        <v>9.8876523666223751E-4</v>
      </c>
      <c r="J77" s="158">
        <v>10</v>
      </c>
      <c r="K77" s="158">
        <v>5</v>
      </c>
      <c r="L77" s="218">
        <v>0.5</v>
      </c>
      <c r="M77" s="219">
        <v>1.8365714285714285</v>
      </c>
      <c r="N77" s="219">
        <v>4.3666666666666663</v>
      </c>
      <c r="O77" s="158">
        <v>262</v>
      </c>
      <c r="P77" s="158">
        <v>481.18171428571429</v>
      </c>
      <c r="Q77" s="209">
        <v>6.1749478835977016E-4</v>
      </c>
      <c r="R77" s="158">
        <v>72</v>
      </c>
      <c r="S77" s="158">
        <v>47</v>
      </c>
      <c r="T77" s="218">
        <v>0.65277777777777779</v>
      </c>
      <c r="U77" s="219">
        <v>1.6556036866359447</v>
      </c>
      <c r="V77" s="219">
        <v>4.55319104964539</v>
      </c>
      <c r="W77" s="158">
        <v>2568</v>
      </c>
      <c r="X77" s="158">
        <v>10682.713179723503</v>
      </c>
      <c r="Y77" s="209">
        <v>9.6269334151729538E-4</v>
      </c>
      <c r="Z77" s="166"/>
    </row>
    <row r="78" spans="1:26" ht="15" customHeight="1" x14ac:dyDescent="0.25">
      <c r="A78" s="156" t="s">
        <v>539</v>
      </c>
      <c r="B78" s="157">
        <v>37</v>
      </c>
      <c r="C78" s="157">
        <v>18</v>
      </c>
      <c r="D78" s="216">
        <v>0.48648648648648651</v>
      </c>
      <c r="E78" s="217">
        <v>1.8641389961389963</v>
      </c>
      <c r="F78" s="217">
        <v>4.1759254166666668</v>
      </c>
      <c r="G78" s="157">
        <v>902</v>
      </c>
      <c r="H78" s="157">
        <v>5044.3601235521237</v>
      </c>
      <c r="I78" s="208">
        <v>4.8891560529628069E-4</v>
      </c>
      <c r="J78" s="157">
        <v>20</v>
      </c>
      <c r="K78" s="157">
        <v>13</v>
      </c>
      <c r="L78" s="216">
        <v>0.65</v>
      </c>
      <c r="M78" s="217">
        <v>1.5305714285714285</v>
      </c>
      <c r="N78" s="217">
        <v>3.7243585833333337</v>
      </c>
      <c r="O78" s="157">
        <v>581</v>
      </c>
      <c r="P78" s="157">
        <v>889.26199999999994</v>
      </c>
      <c r="Q78" s="208">
        <v>1.1411793802295958E-3</v>
      </c>
      <c r="R78" s="157">
        <v>57</v>
      </c>
      <c r="S78" s="157">
        <v>31</v>
      </c>
      <c r="T78" s="216">
        <v>0.54385964912280704</v>
      </c>
      <c r="U78" s="217">
        <v>1.6973552123552125</v>
      </c>
      <c r="V78" s="217">
        <v>3.9865586801075277</v>
      </c>
      <c r="W78" s="157">
        <v>1483</v>
      </c>
      <c r="X78" s="157">
        <v>5933.6221235521234</v>
      </c>
      <c r="Y78" s="208">
        <v>5.3471982382393161E-4</v>
      </c>
      <c r="Z78" s="166"/>
    </row>
    <row r="79" spans="1:26" ht="15" customHeight="1" x14ac:dyDescent="0.25">
      <c r="A79" s="155" t="s">
        <v>283</v>
      </c>
      <c r="B79" s="158">
        <v>37</v>
      </c>
      <c r="C79" s="158">
        <v>18</v>
      </c>
      <c r="D79" s="218">
        <v>0.48648648648648651</v>
      </c>
      <c r="E79" s="219">
        <v>1.8641389961389963</v>
      </c>
      <c r="F79" s="219">
        <v>4.1759254166666668</v>
      </c>
      <c r="G79" s="158">
        <v>902</v>
      </c>
      <c r="H79" s="158">
        <v>5044.3601235521237</v>
      </c>
      <c r="I79" s="209">
        <v>4.8891560529628069E-4</v>
      </c>
      <c r="J79" s="158">
        <v>20</v>
      </c>
      <c r="K79" s="158">
        <v>13</v>
      </c>
      <c r="L79" s="218">
        <v>0.65</v>
      </c>
      <c r="M79" s="219">
        <v>1.5305714285714285</v>
      </c>
      <c r="N79" s="219">
        <v>3.7243585833333337</v>
      </c>
      <c r="O79" s="158">
        <v>581</v>
      </c>
      <c r="P79" s="158">
        <v>889.26199999999994</v>
      </c>
      <c r="Q79" s="209">
        <v>1.1411793802295958E-3</v>
      </c>
      <c r="R79" s="158">
        <v>57</v>
      </c>
      <c r="S79" s="158">
        <v>31</v>
      </c>
      <c r="T79" s="218">
        <v>0.54385964912280704</v>
      </c>
      <c r="U79" s="219">
        <v>1.6973552123552125</v>
      </c>
      <c r="V79" s="219">
        <v>3.9865586801075277</v>
      </c>
      <c r="W79" s="158">
        <v>1483</v>
      </c>
      <c r="X79" s="158">
        <v>5933.6221235521234</v>
      </c>
      <c r="Y79" s="209">
        <v>5.3471982382393161E-4</v>
      </c>
      <c r="Z79" s="166"/>
    </row>
    <row r="80" spans="1:26" ht="15" customHeight="1" x14ac:dyDescent="0.25">
      <c r="A80" s="156" t="s">
        <v>46</v>
      </c>
      <c r="B80" s="157">
        <v>7</v>
      </c>
      <c r="C80" s="157">
        <v>4</v>
      </c>
      <c r="D80" s="216">
        <v>0.5714285714285714</v>
      </c>
      <c r="E80" s="217">
        <v>1.6908571428571428</v>
      </c>
      <c r="F80" s="217">
        <v>4</v>
      </c>
      <c r="G80" s="157">
        <v>192</v>
      </c>
      <c r="H80" s="157">
        <v>973.93371428571425</v>
      </c>
      <c r="I80" s="208">
        <v>9.4396787655030821E-5</v>
      </c>
      <c r="J80" s="157">
        <v>1</v>
      </c>
      <c r="K80" s="157">
        <v>1</v>
      </c>
      <c r="L80" s="216">
        <v>1</v>
      </c>
      <c r="M80" s="217">
        <v>1</v>
      </c>
      <c r="N80" s="217">
        <v>5</v>
      </c>
      <c r="O80" s="157">
        <v>60</v>
      </c>
      <c r="P80" s="157">
        <v>60</v>
      </c>
      <c r="Q80" s="208">
        <v>7.6997288553627344E-5</v>
      </c>
      <c r="R80" s="157">
        <v>8</v>
      </c>
      <c r="S80" s="157">
        <v>5</v>
      </c>
      <c r="T80" s="216">
        <v>0.625</v>
      </c>
      <c r="U80" s="217">
        <v>1.3454285714285714</v>
      </c>
      <c r="V80" s="217">
        <v>4.2</v>
      </c>
      <c r="W80" s="157">
        <v>252</v>
      </c>
      <c r="X80" s="157">
        <v>1033.9337142857144</v>
      </c>
      <c r="Y80" s="208">
        <v>9.3174934641357241E-5</v>
      </c>
      <c r="Z80" s="166"/>
    </row>
    <row r="81" spans="1:26" ht="15" customHeight="1" x14ac:dyDescent="0.25">
      <c r="A81" s="155" t="s">
        <v>282</v>
      </c>
      <c r="B81" s="158">
        <v>7</v>
      </c>
      <c r="C81" s="158">
        <v>4</v>
      </c>
      <c r="D81" s="218">
        <v>0.5714285714285714</v>
      </c>
      <c r="E81" s="219">
        <v>1.6908571428571428</v>
      </c>
      <c r="F81" s="219">
        <v>4</v>
      </c>
      <c r="G81" s="158">
        <v>192</v>
      </c>
      <c r="H81" s="158">
        <v>973.93371428571425</v>
      </c>
      <c r="I81" s="209">
        <v>9.4396787655030821E-5</v>
      </c>
      <c r="J81" s="158">
        <v>1</v>
      </c>
      <c r="K81" s="158">
        <v>1</v>
      </c>
      <c r="L81" s="218">
        <v>1</v>
      </c>
      <c r="M81" s="219">
        <v>1</v>
      </c>
      <c r="N81" s="219">
        <v>5</v>
      </c>
      <c r="O81" s="158">
        <v>60</v>
      </c>
      <c r="P81" s="158">
        <v>60</v>
      </c>
      <c r="Q81" s="209">
        <v>7.6997288553627344E-5</v>
      </c>
      <c r="R81" s="158">
        <v>8</v>
      </c>
      <c r="S81" s="158">
        <v>5</v>
      </c>
      <c r="T81" s="218">
        <v>0.625</v>
      </c>
      <c r="U81" s="219">
        <v>1.3454285714285714</v>
      </c>
      <c r="V81" s="219">
        <v>4.2</v>
      </c>
      <c r="W81" s="158">
        <v>252</v>
      </c>
      <c r="X81" s="158">
        <v>1033.9337142857144</v>
      </c>
      <c r="Y81" s="209">
        <v>9.3174934641357241E-5</v>
      </c>
      <c r="Z81" s="166"/>
    </row>
    <row r="82" spans="1:26" ht="15" customHeight="1" x14ac:dyDescent="0.25">
      <c r="A82" s="156" t="s">
        <v>495</v>
      </c>
      <c r="B82" s="157">
        <v>7</v>
      </c>
      <c r="C82" s="157">
        <v>5</v>
      </c>
      <c r="D82" s="216">
        <v>0.7142857142857143</v>
      </c>
      <c r="E82" s="217">
        <v>1.4000000000000001</v>
      </c>
      <c r="F82" s="217">
        <v>4.6500000000000004</v>
      </c>
      <c r="G82" s="157">
        <v>279</v>
      </c>
      <c r="H82" s="157">
        <v>1171.8000000000002</v>
      </c>
      <c r="I82" s="208">
        <v>1.1357462438323112E-4</v>
      </c>
      <c r="J82" s="222"/>
      <c r="K82" s="222"/>
      <c r="L82" s="222"/>
      <c r="M82" s="222"/>
      <c r="N82" s="222"/>
      <c r="O82" s="222"/>
      <c r="P82" s="222"/>
      <c r="Q82" s="222"/>
      <c r="R82" s="157">
        <v>7</v>
      </c>
      <c r="S82" s="157">
        <v>5</v>
      </c>
      <c r="T82" s="216">
        <v>0.7142857142857143</v>
      </c>
      <c r="U82" s="217">
        <v>1.4000000000000001</v>
      </c>
      <c r="V82" s="217">
        <v>4.6500000000000004</v>
      </c>
      <c r="W82" s="157">
        <v>279</v>
      </c>
      <c r="X82" s="157">
        <v>1171.8000000000002</v>
      </c>
      <c r="Y82" s="208">
        <v>1.0559902139197607E-4</v>
      </c>
      <c r="Z82" s="166"/>
    </row>
    <row r="83" spans="1:26" ht="15" customHeight="1" x14ac:dyDescent="0.25">
      <c r="A83" s="155" t="s">
        <v>281</v>
      </c>
      <c r="B83" s="158">
        <v>7</v>
      </c>
      <c r="C83" s="158">
        <v>5</v>
      </c>
      <c r="D83" s="218">
        <v>0.7142857142857143</v>
      </c>
      <c r="E83" s="219">
        <v>1.4000000000000001</v>
      </c>
      <c r="F83" s="219">
        <v>4.6500000000000004</v>
      </c>
      <c r="G83" s="158">
        <v>279</v>
      </c>
      <c r="H83" s="158">
        <v>1171.8000000000002</v>
      </c>
      <c r="I83" s="209">
        <v>1.1357462438323112E-4</v>
      </c>
      <c r="J83" s="223"/>
      <c r="K83" s="223"/>
      <c r="L83" s="223"/>
      <c r="M83" s="223"/>
      <c r="N83" s="223"/>
      <c r="O83" s="223"/>
      <c r="P83" s="223"/>
      <c r="Q83" s="223"/>
      <c r="R83" s="158">
        <v>7</v>
      </c>
      <c r="S83" s="158">
        <v>5</v>
      </c>
      <c r="T83" s="218">
        <v>0.7142857142857143</v>
      </c>
      <c r="U83" s="219">
        <v>1.4000000000000001</v>
      </c>
      <c r="V83" s="219">
        <v>4.6500000000000004</v>
      </c>
      <c r="W83" s="158">
        <v>279</v>
      </c>
      <c r="X83" s="158">
        <v>1171.8000000000002</v>
      </c>
      <c r="Y83" s="209">
        <v>1.0559902139197607E-4</v>
      </c>
      <c r="Z83" s="166"/>
    </row>
    <row r="84" spans="1:26" ht="15" customHeight="1" x14ac:dyDescent="0.25">
      <c r="A84" s="156" t="s">
        <v>48</v>
      </c>
      <c r="B84" s="157">
        <v>26</v>
      </c>
      <c r="C84" s="157">
        <v>20</v>
      </c>
      <c r="D84" s="216">
        <v>0.76923076923076927</v>
      </c>
      <c r="E84" s="217">
        <v>1.3</v>
      </c>
      <c r="F84" s="217">
        <v>4.7541666666666664</v>
      </c>
      <c r="G84" s="157">
        <v>1141</v>
      </c>
      <c r="H84" s="157">
        <v>4449.9000000000005</v>
      </c>
      <c r="I84" s="208">
        <v>4.3129861840155326E-4</v>
      </c>
      <c r="J84" s="157">
        <v>3</v>
      </c>
      <c r="K84" s="157">
        <v>2</v>
      </c>
      <c r="L84" s="216">
        <v>0.66666666666666663</v>
      </c>
      <c r="M84" s="217">
        <v>1.4965714285714287</v>
      </c>
      <c r="N84" s="217">
        <v>4.333333333333333</v>
      </c>
      <c r="O84" s="157">
        <v>104</v>
      </c>
      <c r="P84" s="157">
        <v>155.64342857142859</v>
      </c>
      <c r="Q84" s="208">
        <v>1.9973536635316955E-4</v>
      </c>
      <c r="R84" s="157">
        <v>29</v>
      </c>
      <c r="S84" s="157">
        <v>22</v>
      </c>
      <c r="T84" s="216">
        <v>0.75862068965517238</v>
      </c>
      <c r="U84" s="217">
        <v>1.3982857142857144</v>
      </c>
      <c r="V84" s="217">
        <v>4.7159090909090908</v>
      </c>
      <c r="W84" s="157">
        <v>1245</v>
      </c>
      <c r="X84" s="157">
        <v>4605.5434285714291</v>
      </c>
      <c r="Y84" s="208">
        <v>4.1503744584006576E-4</v>
      </c>
      <c r="Z84" s="166"/>
    </row>
    <row r="85" spans="1:26" ht="15" customHeight="1" x14ac:dyDescent="0.25">
      <c r="A85" s="155" t="s">
        <v>279</v>
      </c>
      <c r="B85" s="158">
        <v>26</v>
      </c>
      <c r="C85" s="158">
        <v>20</v>
      </c>
      <c r="D85" s="218">
        <v>0.76923076923076927</v>
      </c>
      <c r="E85" s="219">
        <v>1.3</v>
      </c>
      <c r="F85" s="219">
        <v>4.7541666666666664</v>
      </c>
      <c r="G85" s="158">
        <v>1141</v>
      </c>
      <c r="H85" s="158">
        <v>4449.9000000000005</v>
      </c>
      <c r="I85" s="209">
        <v>4.3129861840155326E-4</v>
      </c>
      <c r="J85" s="158">
        <v>3</v>
      </c>
      <c r="K85" s="158">
        <v>2</v>
      </c>
      <c r="L85" s="218">
        <v>0.66666666666666663</v>
      </c>
      <c r="M85" s="219">
        <v>1.4965714285714287</v>
      </c>
      <c r="N85" s="219">
        <v>4.333333333333333</v>
      </c>
      <c r="O85" s="158">
        <v>104</v>
      </c>
      <c r="P85" s="158">
        <v>155.64342857142859</v>
      </c>
      <c r="Q85" s="209">
        <v>1.9973536635316955E-4</v>
      </c>
      <c r="R85" s="158">
        <v>29</v>
      </c>
      <c r="S85" s="158">
        <v>22</v>
      </c>
      <c r="T85" s="218">
        <v>0.75862068965517238</v>
      </c>
      <c r="U85" s="219">
        <v>1.3982857142857144</v>
      </c>
      <c r="V85" s="219">
        <v>4.7159090909090908</v>
      </c>
      <c r="W85" s="158">
        <v>1245</v>
      </c>
      <c r="X85" s="158">
        <v>4605.5434285714291</v>
      </c>
      <c r="Y85" s="209">
        <v>4.1503744584006576E-4</v>
      </c>
      <c r="Z85" s="166"/>
    </row>
    <row r="86" spans="1:26" ht="15" customHeight="1" x14ac:dyDescent="0.25">
      <c r="A86" s="156" t="s">
        <v>49</v>
      </c>
      <c r="B86" s="157">
        <v>938</v>
      </c>
      <c r="C86" s="157">
        <v>496</v>
      </c>
      <c r="D86" s="216">
        <v>0.52878464818763327</v>
      </c>
      <c r="E86" s="217">
        <v>1.7778507462686568</v>
      </c>
      <c r="F86" s="217">
        <v>4.2788973333333331</v>
      </c>
      <c r="G86" s="157">
        <v>25468</v>
      </c>
      <c r="H86" s="157">
        <v>135834.90841791045</v>
      </c>
      <c r="I86" s="208">
        <v>1.3165556154373422E-2</v>
      </c>
      <c r="J86" s="157">
        <v>203</v>
      </c>
      <c r="K86" s="157">
        <v>97</v>
      </c>
      <c r="L86" s="216">
        <v>0.47783251231527096</v>
      </c>
      <c r="M86" s="217">
        <v>1.8817931034482758</v>
      </c>
      <c r="N86" s="217">
        <v>4.3634015000000002</v>
      </c>
      <c r="O86" s="157">
        <v>5079</v>
      </c>
      <c r="P86" s="157">
        <v>9557.6271724137932</v>
      </c>
      <c r="Q86" s="208">
        <v>1.2265189621372236E-2</v>
      </c>
      <c r="R86" s="157">
        <v>1141</v>
      </c>
      <c r="S86" s="157">
        <v>593</v>
      </c>
      <c r="T86" s="216">
        <v>0.51971954425942157</v>
      </c>
      <c r="U86" s="217">
        <v>1.8298219248584662</v>
      </c>
      <c r="V86" s="217">
        <v>4.2927201059584039</v>
      </c>
      <c r="W86" s="157">
        <v>30547</v>
      </c>
      <c r="X86" s="157">
        <v>145392.53559032426</v>
      </c>
      <c r="Y86" s="208">
        <v>1.3102329301959627E-2</v>
      </c>
      <c r="Z86" s="166"/>
    </row>
    <row r="87" spans="1:26" ht="15" customHeight="1" x14ac:dyDescent="0.25">
      <c r="A87" s="155" t="s">
        <v>278</v>
      </c>
      <c r="B87" s="158">
        <v>938</v>
      </c>
      <c r="C87" s="158">
        <v>496</v>
      </c>
      <c r="D87" s="218">
        <v>0.52878464818763327</v>
      </c>
      <c r="E87" s="219">
        <v>1.7778507462686568</v>
      </c>
      <c r="F87" s="219">
        <v>4.2788973333333331</v>
      </c>
      <c r="G87" s="158">
        <v>25468</v>
      </c>
      <c r="H87" s="158">
        <v>135834.90841791045</v>
      </c>
      <c r="I87" s="209">
        <v>1.3165556154373422E-2</v>
      </c>
      <c r="J87" s="158">
        <v>203</v>
      </c>
      <c r="K87" s="158">
        <v>97</v>
      </c>
      <c r="L87" s="218">
        <v>0.47783251231527096</v>
      </c>
      <c r="M87" s="219">
        <v>1.8817931034482758</v>
      </c>
      <c r="N87" s="219">
        <v>4.3634015000000002</v>
      </c>
      <c r="O87" s="158">
        <v>5079</v>
      </c>
      <c r="P87" s="158">
        <v>9557.6271724137932</v>
      </c>
      <c r="Q87" s="209">
        <v>1.2265189621372236E-2</v>
      </c>
      <c r="R87" s="158">
        <v>1141</v>
      </c>
      <c r="S87" s="158">
        <v>593</v>
      </c>
      <c r="T87" s="218">
        <v>0.51971954425942157</v>
      </c>
      <c r="U87" s="219">
        <v>1.8298219248584662</v>
      </c>
      <c r="V87" s="219">
        <v>4.2927201059584039</v>
      </c>
      <c r="W87" s="158">
        <v>30547</v>
      </c>
      <c r="X87" s="158">
        <v>145392.53559032426</v>
      </c>
      <c r="Y87" s="209">
        <v>1.3102329301959627E-2</v>
      </c>
      <c r="Z87" s="166"/>
    </row>
    <row r="88" spans="1:26" ht="15" customHeight="1" x14ac:dyDescent="0.25">
      <c r="A88" s="156" t="s">
        <v>434</v>
      </c>
      <c r="B88" s="157">
        <v>20</v>
      </c>
      <c r="C88" s="157">
        <v>9</v>
      </c>
      <c r="D88" s="216">
        <v>0.45</v>
      </c>
      <c r="E88" s="217">
        <v>1.9385714285714284</v>
      </c>
      <c r="F88" s="217">
        <v>4.1851847500000003</v>
      </c>
      <c r="G88" s="157">
        <v>452</v>
      </c>
      <c r="H88" s="157">
        <v>2628.7028571428568</v>
      </c>
      <c r="I88" s="208">
        <v>2.5478233454098514E-4</v>
      </c>
      <c r="J88" s="222"/>
      <c r="K88" s="222"/>
      <c r="L88" s="222"/>
      <c r="M88" s="222"/>
      <c r="N88" s="222"/>
      <c r="O88" s="222"/>
      <c r="P88" s="222"/>
      <c r="Q88" s="222"/>
      <c r="R88" s="157">
        <v>20</v>
      </c>
      <c r="S88" s="157">
        <v>9</v>
      </c>
      <c r="T88" s="216">
        <v>0.45</v>
      </c>
      <c r="U88" s="217">
        <v>1.9385714285714284</v>
      </c>
      <c r="V88" s="217">
        <v>4.1851847500000003</v>
      </c>
      <c r="W88" s="157">
        <v>452</v>
      </c>
      <c r="X88" s="157">
        <v>2628.7028571428568</v>
      </c>
      <c r="Y88" s="208">
        <v>2.3689063768951793E-4</v>
      </c>
      <c r="Z88" s="166"/>
    </row>
    <row r="89" spans="1:26" ht="15" customHeight="1" x14ac:dyDescent="0.25">
      <c r="A89" s="155" t="s">
        <v>268</v>
      </c>
      <c r="B89" s="158">
        <v>20</v>
      </c>
      <c r="C89" s="158">
        <v>9</v>
      </c>
      <c r="D89" s="218">
        <v>0.45</v>
      </c>
      <c r="E89" s="219">
        <v>1.9385714285714284</v>
      </c>
      <c r="F89" s="219">
        <v>4.1851847500000003</v>
      </c>
      <c r="G89" s="158">
        <v>452</v>
      </c>
      <c r="H89" s="158">
        <v>2628.7028571428568</v>
      </c>
      <c r="I89" s="209">
        <v>2.5478233454098514E-4</v>
      </c>
      <c r="J89" s="223"/>
      <c r="K89" s="223"/>
      <c r="L89" s="223"/>
      <c r="M89" s="223"/>
      <c r="N89" s="223"/>
      <c r="O89" s="223"/>
      <c r="P89" s="223"/>
      <c r="Q89" s="223"/>
      <c r="R89" s="158">
        <v>20</v>
      </c>
      <c r="S89" s="158">
        <v>9</v>
      </c>
      <c r="T89" s="218">
        <v>0.45</v>
      </c>
      <c r="U89" s="219">
        <v>1.9385714285714284</v>
      </c>
      <c r="V89" s="219">
        <v>4.1851847500000003</v>
      </c>
      <c r="W89" s="158">
        <v>452</v>
      </c>
      <c r="X89" s="158">
        <v>2628.7028571428568</v>
      </c>
      <c r="Y89" s="209">
        <v>2.3689063768951793E-4</v>
      </c>
      <c r="Z89" s="166"/>
    </row>
    <row r="90" spans="1:26" ht="15" customHeight="1" x14ac:dyDescent="0.25">
      <c r="A90" s="156" t="s">
        <v>51</v>
      </c>
      <c r="B90" s="157">
        <v>1091</v>
      </c>
      <c r="C90" s="157">
        <v>573</v>
      </c>
      <c r="D90" s="216">
        <v>0.52520623281393219</v>
      </c>
      <c r="E90" s="217">
        <v>1.785150713631007</v>
      </c>
      <c r="F90" s="217">
        <v>4.2689059166666663</v>
      </c>
      <c r="G90" s="157">
        <v>29353</v>
      </c>
      <c r="H90" s="157">
        <v>157198.58669163284</v>
      </c>
      <c r="I90" s="208">
        <v>1.5236192555962614E-2</v>
      </c>
      <c r="J90" s="157">
        <v>171</v>
      </c>
      <c r="K90" s="157">
        <v>77</v>
      </c>
      <c r="L90" s="216">
        <v>0.45029239766081869</v>
      </c>
      <c r="M90" s="217">
        <v>1.9379749373433584</v>
      </c>
      <c r="N90" s="217">
        <v>4.2878784166666666</v>
      </c>
      <c r="O90" s="157">
        <v>3962</v>
      </c>
      <c r="P90" s="157">
        <v>7678.2567017543861</v>
      </c>
      <c r="Q90" s="208">
        <v>9.853415780896756E-3</v>
      </c>
      <c r="R90" s="157">
        <v>1262</v>
      </c>
      <c r="S90" s="157">
        <v>650</v>
      </c>
      <c r="T90" s="216">
        <v>0.51505546751188591</v>
      </c>
      <c r="U90" s="217">
        <v>1.8615628254871828</v>
      </c>
      <c r="V90" s="217">
        <v>4.2711534282051273</v>
      </c>
      <c r="W90" s="157">
        <v>33315</v>
      </c>
      <c r="X90" s="157">
        <v>164876.84339338721</v>
      </c>
      <c r="Y90" s="208">
        <v>1.4858195351203092E-2</v>
      </c>
      <c r="Z90" s="166"/>
    </row>
    <row r="91" spans="1:26" ht="15" customHeight="1" x14ac:dyDescent="0.25">
      <c r="A91" s="155" t="s">
        <v>267</v>
      </c>
      <c r="B91" s="158">
        <v>1091</v>
      </c>
      <c r="C91" s="158">
        <v>573</v>
      </c>
      <c r="D91" s="218">
        <v>0.52520623281393219</v>
      </c>
      <c r="E91" s="219">
        <v>1.785150713631007</v>
      </c>
      <c r="F91" s="219">
        <v>4.2689059166666663</v>
      </c>
      <c r="G91" s="158">
        <v>29353</v>
      </c>
      <c r="H91" s="158">
        <v>157198.58669163284</v>
      </c>
      <c r="I91" s="209">
        <v>1.5236192555962614E-2</v>
      </c>
      <c r="J91" s="158">
        <v>171</v>
      </c>
      <c r="K91" s="158">
        <v>77</v>
      </c>
      <c r="L91" s="218">
        <v>0.45029239766081869</v>
      </c>
      <c r="M91" s="219">
        <v>1.9379749373433584</v>
      </c>
      <c r="N91" s="219">
        <v>4.2878784166666666</v>
      </c>
      <c r="O91" s="158">
        <v>3962</v>
      </c>
      <c r="P91" s="158">
        <v>7678.2567017543861</v>
      </c>
      <c r="Q91" s="209">
        <v>9.853415780896756E-3</v>
      </c>
      <c r="R91" s="158">
        <v>1262</v>
      </c>
      <c r="S91" s="158">
        <v>650</v>
      </c>
      <c r="T91" s="218">
        <v>0.51505546751188591</v>
      </c>
      <c r="U91" s="219">
        <v>1.8615628254871828</v>
      </c>
      <c r="V91" s="219">
        <v>4.2711534282051273</v>
      </c>
      <c r="W91" s="158">
        <v>33315</v>
      </c>
      <c r="X91" s="158">
        <v>164876.84339338721</v>
      </c>
      <c r="Y91" s="209">
        <v>1.4858195351203092E-2</v>
      </c>
      <c r="Z91" s="166"/>
    </row>
    <row r="92" spans="1:26" ht="15" customHeight="1" x14ac:dyDescent="0.25">
      <c r="A92" s="156" t="s">
        <v>52</v>
      </c>
      <c r="B92" s="157">
        <v>2560</v>
      </c>
      <c r="C92" s="157">
        <v>1403</v>
      </c>
      <c r="D92" s="216">
        <v>0.54804687500000004</v>
      </c>
      <c r="E92" s="217">
        <v>1.7385558035714286</v>
      </c>
      <c r="F92" s="217">
        <v>4.3869679999999995</v>
      </c>
      <c r="G92" s="157">
        <v>73859</v>
      </c>
      <c r="H92" s="157">
        <v>385223.97928794642</v>
      </c>
      <c r="I92" s="208">
        <v>3.7337146911624944E-2</v>
      </c>
      <c r="J92" s="157">
        <v>835</v>
      </c>
      <c r="K92" s="157">
        <v>236</v>
      </c>
      <c r="L92" s="216">
        <v>0.28263473053892213</v>
      </c>
      <c r="M92" s="217">
        <v>2.2799965782720273</v>
      </c>
      <c r="N92" s="217">
        <v>4.3944204999999998</v>
      </c>
      <c r="O92" s="157">
        <v>12445</v>
      </c>
      <c r="P92" s="157">
        <v>28374.55741659538</v>
      </c>
      <c r="Q92" s="208">
        <v>3.6412733083117689E-2</v>
      </c>
      <c r="R92" s="157">
        <v>3395</v>
      </c>
      <c r="S92" s="157">
        <v>1639</v>
      </c>
      <c r="T92" s="216">
        <v>0.48276877761413844</v>
      </c>
      <c r="U92" s="217">
        <v>2.009276190921728</v>
      </c>
      <c r="V92" s="217">
        <v>4.3880410872483218</v>
      </c>
      <c r="W92" s="157">
        <v>86304</v>
      </c>
      <c r="X92" s="157">
        <v>413598.53670454182</v>
      </c>
      <c r="Y92" s="208">
        <v>3.7272231374938479E-2</v>
      </c>
      <c r="Z92" s="166"/>
    </row>
    <row r="93" spans="1:26" ht="15" customHeight="1" x14ac:dyDescent="0.25">
      <c r="A93" s="155" t="s">
        <v>261</v>
      </c>
      <c r="B93" s="158">
        <v>2560</v>
      </c>
      <c r="C93" s="158">
        <v>1403</v>
      </c>
      <c r="D93" s="218">
        <v>0.54804687500000004</v>
      </c>
      <c r="E93" s="219">
        <v>1.7385558035714286</v>
      </c>
      <c r="F93" s="219">
        <v>4.3869679999999995</v>
      </c>
      <c r="G93" s="158">
        <v>73859</v>
      </c>
      <c r="H93" s="158">
        <v>385223.97928794642</v>
      </c>
      <c r="I93" s="209">
        <v>3.7337146911624944E-2</v>
      </c>
      <c r="J93" s="158">
        <v>835</v>
      </c>
      <c r="K93" s="158">
        <v>236</v>
      </c>
      <c r="L93" s="218">
        <v>0.28263473053892213</v>
      </c>
      <c r="M93" s="219">
        <v>2.2799965782720273</v>
      </c>
      <c r="N93" s="219">
        <v>4.3944204999999998</v>
      </c>
      <c r="O93" s="158">
        <v>12445</v>
      </c>
      <c r="P93" s="158">
        <v>28374.55741659538</v>
      </c>
      <c r="Q93" s="209">
        <v>3.6412733083117689E-2</v>
      </c>
      <c r="R93" s="158">
        <v>3395</v>
      </c>
      <c r="S93" s="158">
        <v>1639</v>
      </c>
      <c r="T93" s="218">
        <v>0.48276877761413844</v>
      </c>
      <c r="U93" s="219">
        <v>2.009276190921728</v>
      </c>
      <c r="V93" s="219">
        <v>4.3880410872483218</v>
      </c>
      <c r="W93" s="158">
        <v>86304</v>
      </c>
      <c r="X93" s="158">
        <v>413598.53670454182</v>
      </c>
      <c r="Y93" s="209">
        <v>3.7272231374938479E-2</v>
      </c>
      <c r="Z93" s="166"/>
    </row>
    <row r="94" spans="1:26" ht="15" customHeight="1" x14ac:dyDescent="0.25">
      <c r="A94" s="156" t="s">
        <v>53</v>
      </c>
      <c r="B94" s="157">
        <v>201</v>
      </c>
      <c r="C94" s="157">
        <v>99</v>
      </c>
      <c r="D94" s="216">
        <v>0.4925373134328358</v>
      </c>
      <c r="E94" s="217">
        <v>1.8517953091684434</v>
      </c>
      <c r="F94" s="217">
        <v>4.4621206666666664</v>
      </c>
      <c r="G94" s="157">
        <v>5301</v>
      </c>
      <c r="H94" s="157">
        <v>29449.100801705754</v>
      </c>
      <c r="I94" s="208">
        <v>2.8543015548537641E-3</v>
      </c>
      <c r="J94" s="157">
        <v>29</v>
      </c>
      <c r="K94" s="157">
        <v>14</v>
      </c>
      <c r="L94" s="216">
        <v>0.48275862068965519</v>
      </c>
      <c r="M94" s="217">
        <v>1.8717438423645321</v>
      </c>
      <c r="N94" s="217">
        <v>4.4642851666666674</v>
      </c>
      <c r="O94" s="157">
        <v>750</v>
      </c>
      <c r="P94" s="157">
        <v>1403.807881773399</v>
      </c>
      <c r="Q94" s="208">
        <v>1.801490009112713E-3</v>
      </c>
      <c r="R94" s="157">
        <v>230</v>
      </c>
      <c r="S94" s="157">
        <v>113</v>
      </c>
      <c r="T94" s="216">
        <v>0.49130434782608695</v>
      </c>
      <c r="U94" s="217">
        <v>1.8617695757664876</v>
      </c>
      <c r="V94" s="217">
        <v>4.4623888348082597</v>
      </c>
      <c r="W94" s="157">
        <v>6051</v>
      </c>
      <c r="X94" s="157">
        <v>30852.908683479152</v>
      </c>
      <c r="Y94" s="208">
        <v>2.7803694863213851E-3</v>
      </c>
      <c r="Z94" s="166"/>
    </row>
    <row r="95" spans="1:26" ht="15" customHeight="1" x14ac:dyDescent="0.25">
      <c r="A95" s="155" t="s">
        <v>277</v>
      </c>
      <c r="B95" s="158">
        <v>201</v>
      </c>
      <c r="C95" s="158">
        <v>99</v>
      </c>
      <c r="D95" s="218">
        <v>0.4925373134328358</v>
      </c>
      <c r="E95" s="219">
        <v>1.8517953091684434</v>
      </c>
      <c r="F95" s="219">
        <v>4.4621206666666664</v>
      </c>
      <c r="G95" s="158">
        <v>5301</v>
      </c>
      <c r="H95" s="158">
        <v>29449.100801705754</v>
      </c>
      <c r="I95" s="209">
        <v>2.8543015548537641E-3</v>
      </c>
      <c r="J95" s="158">
        <v>29</v>
      </c>
      <c r="K95" s="158">
        <v>14</v>
      </c>
      <c r="L95" s="218">
        <v>0.48275862068965519</v>
      </c>
      <c r="M95" s="219">
        <v>1.8717438423645321</v>
      </c>
      <c r="N95" s="219">
        <v>4.4642851666666674</v>
      </c>
      <c r="O95" s="158">
        <v>750</v>
      </c>
      <c r="P95" s="158">
        <v>1403.807881773399</v>
      </c>
      <c r="Q95" s="209">
        <v>1.801490009112713E-3</v>
      </c>
      <c r="R95" s="158">
        <v>230</v>
      </c>
      <c r="S95" s="158">
        <v>113</v>
      </c>
      <c r="T95" s="218">
        <v>0.49130434782608695</v>
      </c>
      <c r="U95" s="219">
        <v>1.8617695757664876</v>
      </c>
      <c r="V95" s="219">
        <v>4.4623888348082597</v>
      </c>
      <c r="W95" s="158">
        <v>6051</v>
      </c>
      <c r="X95" s="158">
        <v>30852.908683479152</v>
      </c>
      <c r="Y95" s="209">
        <v>2.7803694863213851E-3</v>
      </c>
      <c r="Z95" s="166"/>
    </row>
    <row r="96" spans="1:26" ht="15" customHeight="1" x14ac:dyDescent="0.25">
      <c r="A96" s="156" t="s">
        <v>54</v>
      </c>
      <c r="B96" s="157">
        <v>150</v>
      </c>
      <c r="C96" s="157">
        <v>76</v>
      </c>
      <c r="D96" s="216">
        <v>0.50666666666666671</v>
      </c>
      <c r="E96" s="217">
        <v>1.8229714285714287</v>
      </c>
      <c r="F96" s="217">
        <v>4.3399116666666666</v>
      </c>
      <c r="G96" s="157">
        <v>3958</v>
      </c>
      <c r="H96" s="157">
        <v>21645.962742857144</v>
      </c>
      <c r="I96" s="208">
        <v>2.0979963201343361E-3</v>
      </c>
      <c r="J96" s="157">
        <v>34</v>
      </c>
      <c r="K96" s="157">
        <v>16</v>
      </c>
      <c r="L96" s="216">
        <v>0.47058823529411764</v>
      </c>
      <c r="M96" s="217">
        <v>1.8965714285714286</v>
      </c>
      <c r="N96" s="217">
        <v>4.380208333333333</v>
      </c>
      <c r="O96" s="157">
        <v>841</v>
      </c>
      <c r="P96" s="157">
        <v>1595.0165714285715</v>
      </c>
      <c r="Q96" s="208">
        <v>2.0468658533017181E-3</v>
      </c>
      <c r="R96" s="157">
        <v>184</v>
      </c>
      <c r="S96" s="157">
        <v>92</v>
      </c>
      <c r="T96" s="216">
        <v>0.5</v>
      </c>
      <c r="U96" s="217">
        <v>1.8597714285714286</v>
      </c>
      <c r="V96" s="217">
        <v>4.3469197826086949</v>
      </c>
      <c r="W96" s="157">
        <v>4799</v>
      </c>
      <c r="X96" s="157">
        <v>23240.979314285716</v>
      </c>
      <c r="Y96" s="208">
        <v>2.0944057618874638E-3</v>
      </c>
      <c r="Z96" s="166"/>
    </row>
    <row r="97" spans="1:26" ht="15" customHeight="1" x14ac:dyDescent="0.25">
      <c r="A97" s="155" t="s">
        <v>276</v>
      </c>
      <c r="B97" s="158">
        <v>150</v>
      </c>
      <c r="C97" s="158">
        <v>76</v>
      </c>
      <c r="D97" s="218">
        <v>0.50666666666666671</v>
      </c>
      <c r="E97" s="219">
        <v>1.8229714285714287</v>
      </c>
      <c r="F97" s="219">
        <v>4.3399116666666666</v>
      </c>
      <c r="G97" s="158">
        <v>3958</v>
      </c>
      <c r="H97" s="158">
        <v>21645.962742857144</v>
      </c>
      <c r="I97" s="209">
        <v>2.0979963201343361E-3</v>
      </c>
      <c r="J97" s="158">
        <v>34</v>
      </c>
      <c r="K97" s="158">
        <v>16</v>
      </c>
      <c r="L97" s="218">
        <v>0.47058823529411764</v>
      </c>
      <c r="M97" s="219">
        <v>1.8965714285714286</v>
      </c>
      <c r="N97" s="219">
        <v>4.380208333333333</v>
      </c>
      <c r="O97" s="158">
        <v>841</v>
      </c>
      <c r="P97" s="158">
        <v>1595.0165714285715</v>
      </c>
      <c r="Q97" s="209">
        <v>2.0468658533017181E-3</v>
      </c>
      <c r="R97" s="158">
        <v>184</v>
      </c>
      <c r="S97" s="158">
        <v>92</v>
      </c>
      <c r="T97" s="218">
        <v>0.5</v>
      </c>
      <c r="U97" s="219">
        <v>1.8597714285714286</v>
      </c>
      <c r="V97" s="219">
        <v>4.3469197826086949</v>
      </c>
      <c r="W97" s="158">
        <v>4799</v>
      </c>
      <c r="X97" s="158">
        <v>23240.979314285716</v>
      </c>
      <c r="Y97" s="209">
        <v>2.0944057618874638E-3</v>
      </c>
      <c r="Z97" s="166"/>
    </row>
    <row r="98" spans="1:26" ht="15" customHeight="1" x14ac:dyDescent="0.25">
      <c r="A98" s="156" t="s">
        <v>55</v>
      </c>
      <c r="B98" s="157">
        <v>758</v>
      </c>
      <c r="C98" s="157">
        <v>380</v>
      </c>
      <c r="D98" s="216">
        <v>0.50131926121372028</v>
      </c>
      <c r="E98" s="217">
        <v>1.8338801356954391</v>
      </c>
      <c r="F98" s="217">
        <v>4.4302625833333336</v>
      </c>
      <c r="G98" s="157">
        <v>20202</v>
      </c>
      <c r="H98" s="157">
        <v>111144.13950395778</v>
      </c>
      <c r="I98" s="208">
        <v>1.0772447428366139E-2</v>
      </c>
      <c r="J98" s="157">
        <v>90</v>
      </c>
      <c r="K98" s="157">
        <v>41</v>
      </c>
      <c r="L98" s="216">
        <v>0.45555555555555555</v>
      </c>
      <c r="M98" s="217">
        <v>1.9272380952380952</v>
      </c>
      <c r="N98" s="217">
        <v>4.2926824166666666</v>
      </c>
      <c r="O98" s="157">
        <v>2112</v>
      </c>
      <c r="P98" s="157">
        <v>4070.3268571428571</v>
      </c>
      <c r="Q98" s="208">
        <v>5.2234021921167941E-3</v>
      </c>
      <c r="R98" s="157">
        <v>848</v>
      </c>
      <c r="S98" s="157">
        <v>421</v>
      </c>
      <c r="T98" s="216">
        <v>0.49646226415094341</v>
      </c>
      <c r="U98" s="217">
        <v>1.8805591154667671</v>
      </c>
      <c r="V98" s="217">
        <v>4.4168640397862236</v>
      </c>
      <c r="W98" s="157">
        <v>22314</v>
      </c>
      <c r="X98" s="157">
        <v>115214.46636110064</v>
      </c>
      <c r="Y98" s="208">
        <v>1.0382774277121498E-2</v>
      </c>
      <c r="Z98" s="166"/>
    </row>
    <row r="99" spans="1:26" ht="15" customHeight="1" x14ac:dyDescent="0.25">
      <c r="A99" s="155" t="s">
        <v>275</v>
      </c>
      <c r="B99" s="158">
        <v>758</v>
      </c>
      <c r="C99" s="158">
        <v>380</v>
      </c>
      <c r="D99" s="218">
        <v>0.50131926121372028</v>
      </c>
      <c r="E99" s="219">
        <v>1.8338801356954391</v>
      </c>
      <c r="F99" s="219">
        <v>4.4302625833333336</v>
      </c>
      <c r="G99" s="158">
        <v>20202</v>
      </c>
      <c r="H99" s="158">
        <v>111144.13950395778</v>
      </c>
      <c r="I99" s="209">
        <v>1.0772447428366139E-2</v>
      </c>
      <c r="J99" s="158">
        <v>90</v>
      </c>
      <c r="K99" s="158">
        <v>41</v>
      </c>
      <c r="L99" s="218">
        <v>0.45555555555555555</v>
      </c>
      <c r="M99" s="219">
        <v>1.9272380952380952</v>
      </c>
      <c r="N99" s="219">
        <v>4.2926824166666666</v>
      </c>
      <c r="O99" s="158">
        <v>2112</v>
      </c>
      <c r="P99" s="158">
        <v>4070.3268571428571</v>
      </c>
      <c r="Q99" s="209">
        <v>5.2234021921167941E-3</v>
      </c>
      <c r="R99" s="158">
        <v>848</v>
      </c>
      <c r="S99" s="158">
        <v>421</v>
      </c>
      <c r="T99" s="218">
        <v>0.49646226415094341</v>
      </c>
      <c r="U99" s="219">
        <v>1.8805591154667671</v>
      </c>
      <c r="V99" s="219">
        <v>4.4168640397862236</v>
      </c>
      <c r="W99" s="158">
        <v>22314</v>
      </c>
      <c r="X99" s="158">
        <v>115214.46636110064</v>
      </c>
      <c r="Y99" s="209">
        <v>1.0382774277121498E-2</v>
      </c>
      <c r="Z99" s="166"/>
    </row>
    <row r="100" spans="1:26" ht="15" customHeight="1" x14ac:dyDescent="0.25">
      <c r="A100" s="156" t="s">
        <v>56</v>
      </c>
      <c r="B100" s="157">
        <v>37</v>
      </c>
      <c r="C100" s="157">
        <v>24</v>
      </c>
      <c r="D100" s="216">
        <v>0.64864864864864868</v>
      </c>
      <c r="E100" s="217">
        <v>1.5333281853281853</v>
      </c>
      <c r="F100" s="217">
        <v>4.5520830000000005</v>
      </c>
      <c r="G100" s="157">
        <v>1311</v>
      </c>
      <c r="H100" s="157">
        <v>6030.5797528957528</v>
      </c>
      <c r="I100" s="208">
        <v>5.8450318334891081E-4</v>
      </c>
      <c r="J100" s="222"/>
      <c r="K100" s="222"/>
      <c r="L100" s="222"/>
      <c r="M100" s="222"/>
      <c r="N100" s="222"/>
      <c r="O100" s="222"/>
      <c r="P100" s="222"/>
      <c r="Q100" s="222"/>
      <c r="R100" s="157">
        <v>37</v>
      </c>
      <c r="S100" s="157">
        <v>24</v>
      </c>
      <c r="T100" s="216">
        <v>0.64864864864864868</v>
      </c>
      <c r="U100" s="217">
        <v>1.5333281853281853</v>
      </c>
      <c r="V100" s="217">
        <v>4.5520830000000005</v>
      </c>
      <c r="W100" s="157">
        <v>1311</v>
      </c>
      <c r="X100" s="157">
        <v>6030.5797528957528</v>
      </c>
      <c r="Y100" s="208">
        <v>5.4345734795362372E-4</v>
      </c>
      <c r="Z100" s="166"/>
    </row>
    <row r="101" spans="1:26" ht="15" customHeight="1" x14ac:dyDescent="0.25">
      <c r="A101" s="155" t="s">
        <v>274</v>
      </c>
      <c r="B101" s="158">
        <v>37</v>
      </c>
      <c r="C101" s="158">
        <v>24</v>
      </c>
      <c r="D101" s="218">
        <v>0.64864864864864868</v>
      </c>
      <c r="E101" s="219">
        <v>1.5333281853281853</v>
      </c>
      <c r="F101" s="219">
        <v>4.5520830000000005</v>
      </c>
      <c r="G101" s="158">
        <v>1311</v>
      </c>
      <c r="H101" s="158">
        <v>6030.5797528957528</v>
      </c>
      <c r="I101" s="209">
        <v>5.8450318334891081E-4</v>
      </c>
      <c r="J101" s="223"/>
      <c r="K101" s="223"/>
      <c r="L101" s="223"/>
      <c r="M101" s="223"/>
      <c r="N101" s="223"/>
      <c r="O101" s="223"/>
      <c r="P101" s="223"/>
      <c r="Q101" s="223"/>
      <c r="R101" s="158">
        <v>37</v>
      </c>
      <c r="S101" s="158">
        <v>24</v>
      </c>
      <c r="T101" s="218">
        <v>0.64864864864864868</v>
      </c>
      <c r="U101" s="219">
        <v>1.5333281853281853</v>
      </c>
      <c r="V101" s="219">
        <v>4.5520830000000005</v>
      </c>
      <c r="W101" s="158">
        <v>1311</v>
      </c>
      <c r="X101" s="158">
        <v>6030.5797528957528</v>
      </c>
      <c r="Y101" s="209">
        <v>5.4345734795362372E-4</v>
      </c>
      <c r="Z101" s="166"/>
    </row>
    <row r="102" spans="1:26" ht="15" customHeight="1" x14ac:dyDescent="0.25">
      <c r="A102" s="156" t="s">
        <v>491</v>
      </c>
      <c r="B102" s="157">
        <v>98</v>
      </c>
      <c r="C102" s="157">
        <v>47</v>
      </c>
      <c r="D102" s="216">
        <v>0.47959183673469385</v>
      </c>
      <c r="E102" s="217">
        <v>1.8782040816326531</v>
      </c>
      <c r="F102" s="217">
        <v>4.0957442500000001</v>
      </c>
      <c r="G102" s="157">
        <v>2310</v>
      </c>
      <c r="H102" s="157">
        <v>13015.954285714286</v>
      </c>
      <c r="I102" s="208">
        <v>1.261548147285635E-3</v>
      </c>
      <c r="J102" s="222"/>
      <c r="K102" s="222"/>
      <c r="L102" s="222"/>
      <c r="M102" s="222"/>
      <c r="N102" s="222"/>
      <c r="O102" s="222"/>
      <c r="P102" s="222"/>
      <c r="Q102" s="222"/>
      <c r="R102" s="157">
        <v>98</v>
      </c>
      <c r="S102" s="157">
        <v>47</v>
      </c>
      <c r="T102" s="216">
        <v>0.47959183673469385</v>
      </c>
      <c r="U102" s="217">
        <v>1.8782040816326531</v>
      </c>
      <c r="V102" s="217">
        <v>4.0957442500000001</v>
      </c>
      <c r="W102" s="157">
        <v>2310</v>
      </c>
      <c r="X102" s="157">
        <v>13015.954285714286</v>
      </c>
      <c r="Y102" s="208">
        <v>1.1729578725500301E-3</v>
      </c>
      <c r="Z102" s="166"/>
    </row>
    <row r="103" spans="1:26" ht="15" customHeight="1" x14ac:dyDescent="0.25">
      <c r="A103" s="155" t="s">
        <v>489</v>
      </c>
      <c r="B103" s="158">
        <v>98</v>
      </c>
      <c r="C103" s="158">
        <v>47</v>
      </c>
      <c r="D103" s="218">
        <v>0.47959183673469385</v>
      </c>
      <c r="E103" s="219">
        <v>1.8782040816326531</v>
      </c>
      <c r="F103" s="219">
        <v>4.0957442500000001</v>
      </c>
      <c r="G103" s="158">
        <v>2310</v>
      </c>
      <c r="H103" s="158">
        <v>13015.954285714286</v>
      </c>
      <c r="I103" s="209">
        <v>1.261548147285635E-3</v>
      </c>
      <c r="J103" s="223"/>
      <c r="K103" s="223"/>
      <c r="L103" s="223"/>
      <c r="M103" s="223"/>
      <c r="N103" s="223"/>
      <c r="O103" s="223"/>
      <c r="P103" s="223"/>
      <c r="Q103" s="223"/>
      <c r="R103" s="158">
        <v>98</v>
      </c>
      <c r="S103" s="158">
        <v>47</v>
      </c>
      <c r="T103" s="218">
        <v>0.47959183673469385</v>
      </c>
      <c r="U103" s="219">
        <v>1.8782040816326531</v>
      </c>
      <c r="V103" s="219">
        <v>4.0957442500000001</v>
      </c>
      <c r="W103" s="158">
        <v>2310</v>
      </c>
      <c r="X103" s="158">
        <v>13015.954285714286</v>
      </c>
      <c r="Y103" s="209">
        <v>1.1729578725500301E-3</v>
      </c>
      <c r="Z103" s="166"/>
    </row>
    <row r="104" spans="1:26" ht="15" customHeight="1" x14ac:dyDescent="0.25">
      <c r="A104" s="156" t="s">
        <v>129</v>
      </c>
      <c r="B104" s="157">
        <v>15</v>
      </c>
      <c r="C104" s="157">
        <v>12</v>
      </c>
      <c r="D104" s="216">
        <v>0.8</v>
      </c>
      <c r="E104" s="217">
        <v>1.25</v>
      </c>
      <c r="F104" s="217">
        <v>4.5347218333333341</v>
      </c>
      <c r="G104" s="157">
        <v>653</v>
      </c>
      <c r="H104" s="157">
        <v>2448.75</v>
      </c>
      <c r="I104" s="208">
        <v>2.3734072491759443E-4</v>
      </c>
      <c r="J104" s="222"/>
      <c r="K104" s="222"/>
      <c r="L104" s="222"/>
      <c r="M104" s="222"/>
      <c r="N104" s="222"/>
      <c r="O104" s="222"/>
      <c r="P104" s="222"/>
      <c r="Q104" s="222"/>
      <c r="R104" s="157">
        <v>15</v>
      </c>
      <c r="S104" s="157">
        <v>12</v>
      </c>
      <c r="T104" s="216">
        <v>0.8</v>
      </c>
      <c r="U104" s="217">
        <v>1.25</v>
      </c>
      <c r="V104" s="217">
        <v>4.5347218333333341</v>
      </c>
      <c r="W104" s="157">
        <v>653</v>
      </c>
      <c r="X104" s="157">
        <v>2448.75</v>
      </c>
      <c r="Y104" s="208">
        <v>2.2067383822631966E-4</v>
      </c>
      <c r="Z104" s="166"/>
    </row>
    <row r="105" spans="1:26" ht="15" customHeight="1" x14ac:dyDescent="0.25">
      <c r="A105" s="155" t="s">
        <v>273</v>
      </c>
      <c r="B105" s="158">
        <v>15</v>
      </c>
      <c r="C105" s="158">
        <v>12</v>
      </c>
      <c r="D105" s="218">
        <v>0.8</v>
      </c>
      <c r="E105" s="219">
        <v>1.25</v>
      </c>
      <c r="F105" s="219">
        <v>4.5347218333333341</v>
      </c>
      <c r="G105" s="158">
        <v>653</v>
      </c>
      <c r="H105" s="158">
        <v>2448.75</v>
      </c>
      <c r="I105" s="209">
        <v>2.3734072491759443E-4</v>
      </c>
      <c r="J105" s="223"/>
      <c r="K105" s="223"/>
      <c r="L105" s="223"/>
      <c r="M105" s="223"/>
      <c r="N105" s="223"/>
      <c r="O105" s="223"/>
      <c r="P105" s="223"/>
      <c r="Q105" s="223"/>
      <c r="R105" s="158">
        <v>15</v>
      </c>
      <c r="S105" s="158">
        <v>12</v>
      </c>
      <c r="T105" s="218">
        <v>0.8</v>
      </c>
      <c r="U105" s="219">
        <v>1.25</v>
      </c>
      <c r="V105" s="219">
        <v>4.5347218333333341</v>
      </c>
      <c r="W105" s="158">
        <v>653</v>
      </c>
      <c r="X105" s="158">
        <v>2448.75</v>
      </c>
      <c r="Y105" s="209">
        <v>2.2067383822631966E-4</v>
      </c>
      <c r="Z105" s="166"/>
    </row>
    <row r="106" spans="1:26" ht="15" customHeight="1" x14ac:dyDescent="0.25">
      <c r="A106" s="156" t="s">
        <v>57</v>
      </c>
      <c r="B106" s="157">
        <v>57</v>
      </c>
      <c r="C106" s="157">
        <v>45</v>
      </c>
      <c r="D106" s="216">
        <v>0.78947368421052633</v>
      </c>
      <c r="E106" s="217">
        <v>1.2666666666666666</v>
      </c>
      <c r="F106" s="217">
        <v>4.5518514999999997</v>
      </c>
      <c r="G106" s="157">
        <v>2458</v>
      </c>
      <c r="H106" s="157">
        <v>9340.4</v>
      </c>
      <c r="I106" s="208">
        <v>9.0530160572549218E-4</v>
      </c>
      <c r="J106" s="222"/>
      <c r="K106" s="222"/>
      <c r="L106" s="222"/>
      <c r="M106" s="222"/>
      <c r="N106" s="222"/>
      <c r="O106" s="222"/>
      <c r="P106" s="222"/>
      <c r="Q106" s="222"/>
      <c r="R106" s="157">
        <v>57</v>
      </c>
      <c r="S106" s="157">
        <v>45</v>
      </c>
      <c r="T106" s="216">
        <v>0.78947368421052633</v>
      </c>
      <c r="U106" s="217">
        <v>1.2666666666666666</v>
      </c>
      <c r="V106" s="217">
        <v>4.5518514999999997</v>
      </c>
      <c r="W106" s="157">
        <v>2458</v>
      </c>
      <c r="X106" s="157">
        <v>9340.4</v>
      </c>
      <c r="Y106" s="208">
        <v>8.417281954340443E-4</v>
      </c>
      <c r="Z106" s="166"/>
    </row>
    <row r="107" spans="1:26" ht="15" customHeight="1" x14ac:dyDescent="0.25">
      <c r="A107" s="155" t="s">
        <v>272</v>
      </c>
      <c r="B107" s="158">
        <v>57</v>
      </c>
      <c r="C107" s="158">
        <v>45</v>
      </c>
      <c r="D107" s="218">
        <v>0.78947368421052633</v>
      </c>
      <c r="E107" s="219">
        <v>1.2666666666666666</v>
      </c>
      <c r="F107" s="219">
        <v>4.5518514999999997</v>
      </c>
      <c r="G107" s="158">
        <v>2458</v>
      </c>
      <c r="H107" s="158">
        <v>9340.4</v>
      </c>
      <c r="I107" s="209">
        <v>9.0530160572549218E-4</v>
      </c>
      <c r="J107" s="223"/>
      <c r="K107" s="223"/>
      <c r="L107" s="223"/>
      <c r="M107" s="223"/>
      <c r="N107" s="223"/>
      <c r="O107" s="223"/>
      <c r="P107" s="223"/>
      <c r="Q107" s="223"/>
      <c r="R107" s="158">
        <v>57</v>
      </c>
      <c r="S107" s="158">
        <v>45</v>
      </c>
      <c r="T107" s="218">
        <v>0.78947368421052633</v>
      </c>
      <c r="U107" s="219">
        <v>1.2666666666666666</v>
      </c>
      <c r="V107" s="219">
        <v>4.5518514999999997</v>
      </c>
      <c r="W107" s="158">
        <v>2458</v>
      </c>
      <c r="X107" s="158">
        <v>9340.4</v>
      </c>
      <c r="Y107" s="209">
        <v>8.417281954340443E-4</v>
      </c>
      <c r="Z107" s="166"/>
    </row>
    <row r="108" spans="1:26" ht="15" customHeight="1" x14ac:dyDescent="0.25">
      <c r="A108" s="156" t="s">
        <v>58</v>
      </c>
      <c r="B108" s="157">
        <v>1030</v>
      </c>
      <c r="C108" s="157">
        <v>521</v>
      </c>
      <c r="D108" s="216">
        <v>0.50582524271844664</v>
      </c>
      <c r="E108" s="217">
        <v>1.8246879334257975</v>
      </c>
      <c r="F108" s="217">
        <v>4.1874595000000001</v>
      </c>
      <c r="G108" s="157">
        <v>26180</v>
      </c>
      <c r="H108" s="157">
        <v>143310.99029126213</v>
      </c>
      <c r="I108" s="208">
        <v>1.3890162051816842E-2</v>
      </c>
      <c r="J108" s="157">
        <v>454</v>
      </c>
      <c r="K108" s="157">
        <v>197</v>
      </c>
      <c r="L108" s="216">
        <v>0.43392070484581496</v>
      </c>
      <c r="M108" s="217">
        <v>1.9713731906859662</v>
      </c>
      <c r="N108" s="217">
        <v>3.9420468333333338</v>
      </c>
      <c r="O108" s="157">
        <v>9319</v>
      </c>
      <c r="P108" s="157">
        <v>18371.22676400252</v>
      </c>
      <c r="Q108" s="208">
        <v>2.3575577470533723E-2</v>
      </c>
      <c r="R108" s="157">
        <v>1484</v>
      </c>
      <c r="S108" s="157">
        <v>718</v>
      </c>
      <c r="T108" s="216">
        <v>0.48382749326145552</v>
      </c>
      <c r="U108" s="217">
        <v>1.8980305620558817</v>
      </c>
      <c r="V108" s="217">
        <v>4.1201248268337984</v>
      </c>
      <c r="W108" s="157">
        <v>35499</v>
      </c>
      <c r="X108" s="157">
        <v>161682.21705526466</v>
      </c>
      <c r="Y108" s="208">
        <v>1.4570305425431822E-2</v>
      </c>
      <c r="Z108" s="166"/>
    </row>
    <row r="109" spans="1:26" ht="15" customHeight="1" x14ac:dyDescent="0.25">
      <c r="A109" s="155" t="s">
        <v>271</v>
      </c>
      <c r="B109" s="158">
        <v>1030</v>
      </c>
      <c r="C109" s="158">
        <v>521</v>
      </c>
      <c r="D109" s="218">
        <v>0.50582524271844664</v>
      </c>
      <c r="E109" s="219">
        <v>1.8246879334257975</v>
      </c>
      <c r="F109" s="219">
        <v>4.1874595000000001</v>
      </c>
      <c r="G109" s="158">
        <v>26180</v>
      </c>
      <c r="H109" s="158">
        <v>143310.99029126213</v>
      </c>
      <c r="I109" s="209">
        <v>1.3890162051816842E-2</v>
      </c>
      <c r="J109" s="158">
        <v>454</v>
      </c>
      <c r="K109" s="158">
        <v>197</v>
      </c>
      <c r="L109" s="218">
        <v>0.43392070484581496</v>
      </c>
      <c r="M109" s="219">
        <v>1.9713731906859662</v>
      </c>
      <c r="N109" s="219">
        <v>3.9420468333333338</v>
      </c>
      <c r="O109" s="158">
        <v>9319</v>
      </c>
      <c r="P109" s="158">
        <v>18371.22676400252</v>
      </c>
      <c r="Q109" s="209">
        <v>2.3575577470533723E-2</v>
      </c>
      <c r="R109" s="158">
        <v>1484</v>
      </c>
      <c r="S109" s="158">
        <v>718</v>
      </c>
      <c r="T109" s="218">
        <v>0.48382749326145552</v>
      </c>
      <c r="U109" s="219">
        <v>1.8980305620558817</v>
      </c>
      <c r="V109" s="219">
        <v>4.1201248268337984</v>
      </c>
      <c r="W109" s="158">
        <v>35499</v>
      </c>
      <c r="X109" s="158">
        <v>161682.21705526466</v>
      </c>
      <c r="Y109" s="209">
        <v>1.4570305425431822E-2</v>
      </c>
      <c r="Z109" s="166"/>
    </row>
    <row r="110" spans="1:26" ht="15" customHeight="1" x14ac:dyDescent="0.25">
      <c r="A110" s="156" t="s">
        <v>59</v>
      </c>
      <c r="B110" s="157">
        <v>2333</v>
      </c>
      <c r="C110" s="157">
        <v>1455</v>
      </c>
      <c r="D110" s="216">
        <v>0.62366052293184737</v>
      </c>
      <c r="E110" s="217">
        <v>1.5843039617904597</v>
      </c>
      <c r="F110" s="217">
        <v>4.3201025833333331</v>
      </c>
      <c r="G110" s="157">
        <v>75429</v>
      </c>
      <c r="H110" s="157">
        <v>358507.39060167776</v>
      </c>
      <c r="I110" s="208">
        <v>3.4747689218465494E-2</v>
      </c>
      <c r="J110" s="157">
        <v>525</v>
      </c>
      <c r="K110" s="157">
        <v>221</v>
      </c>
      <c r="L110" s="216">
        <v>0.42095238095238097</v>
      </c>
      <c r="M110" s="217">
        <v>1.9978285714285715</v>
      </c>
      <c r="N110" s="217">
        <v>4.0701351666666667</v>
      </c>
      <c r="O110" s="157">
        <v>10794</v>
      </c>
      <c r="P110" s="157">
        <v>21564.561600000001</v>
      </c>
      <c r="Q110" s="208">
        <v>2.7673546200794531E-2</v>
      </c>
      <c r="R110" s="157">
        <v>2858</v>
      </c>
      <c r="S110" s="157">
        <v>1676</v>
      </c>
      <c r="T110" s="216">
        <v>0.58642407277816655</v>
      </c>
      <c r="U110" s="217">
        <v>1.7910662666095156</v>
      </c>
      <c r="V110" s="217">
        <v>4.2871414860282435</v>
      </c>
      <c r="W110" s="157">
        <v>86223</v>
      </c>
      <c r="X110" s="157">
        <v>380071.95220167778</v>
      </c>
      <c r="Y110" s="208">
        <v>3.4250918425529159E-2</v>
      </c>
      <c r="Z110" s="166"/>
    </row>
    <row r="111" spans="1:26" ht="15" customHeight="1" x14ac:dyDescent="0.25">
      <c r="A111" s="155" t="s">
        <v>270</v>
      </c>
      <c r="B111" s="158">
        <v>2333</v>
      </c>
      <c r="C111" s="158">
        <v>1455</v>
      </c>
      <c r="D111" s="218">
        <v>0.62366052293184737</v>
      </c>
      <c r="E111" s="219">
        <v>1.5843039617904597</v>
      </c>
      <c r="F111" s="219">
        <v>4.3201025833333331</v>
      </c>
      <c r="G111" s="158">
        <v>75429</v>
      </c>
      <c r="H111" s="158">
        <v>358507.39060167776</v>
      </c>
      <c r="I111" s="209">
        <v>3.4747689218465494E-2</v>
      </c>
      <c r="J111" s="158">
        <v>525</v>
      </c>
      <c r="K111" s="158">
        <v>221</v>
      </c>
      <c r="L111" s="218">
        <v>0.42095238095238097</v>
      </c>
      <c r="M111" s="219">
        <v>1.9978285714285715</v>
      </c>
      <c r="N111" s="219">
        <v>4.0701351666666667</v>
      </c>
      <c r="O111" s="158">
        <v>10794</v>
      </c>
      <c r="P111" s="158">
        <v>21564.561600000001</v>
      </c>
      <c r="Q111" s="209">
        <v>2.7673546200794531E-2</v>
      </c>
      <c r="R111" s="158">
        <v>2858</v>
      </c>
      <c r="S111" s="158">
        <v>1676</v>
      </c>
      <c r="T111" s="218">
        <v>0.58642407277816655</v>
      </c>
      <c r="U111" s="219">
        <v>1.7910662666095156</v>
      </c>
      <c r="V111" s="219">
        <v>4.2871414860282435</v>
      </c>
      <c r="W111" s="158">
        <v>86223</v>
      </c>
      <c r="X111" s="158">
        <v>380071.95220167778</v>
      </c>
      <c r="Y111" s="209">
        <v>3.4250918425529159E-2</v>
      </c>
      <c r="Z111" s="166"/>
    </row>
    <row r="112" spans="1:26" ht="15" customHeight="1" x14ac:dyDescent="0.25">
      <c r="A112" s="156" t="s">
        <v>469</v>
      </c>
      <c r="B112" s="157">
        <v>312</v>
      </c>
      <c r="C112" s="157">
        <v>218</v>
      </c>
      <c r="D112" s="216">
        <v>0.69871794871794868</v>
      </c>
      <c r="E112" s="217">
        <v>1.4311868131868131</v>
      </c>
      <c r="F112" s="217">
        <v>4.2435010000000002</v>
      </c>
      <c r="G112" s="157">
        <v>11101</v>
      </c>
      <c r="H112" s="157">
        <v>47662.814439560432</v>
      </c>
      <c r="I112" s="208">
        <v>4.6196332539859362E-3</v>
      </c>
      <c r="J112" s="157">
        <v>70</v>
      </c>
      <c r="K112" s="157">
        <v>42</v>
      </c>
      <c r="L112" s="216">
        <v>0.6</v>
      </c>
      <c r="M112" s="217">
        <v>1.6325714285714286</v>
      </c>
      <c r="N112" s="217">
        <v>4.5456344166666671</v>
      </c>
      <c r="O112" s="157">
        <v>2291</v>
      </c>
      <c r="P112" s="157">
        <v>3740.2211428571427</v>
      </c>
      <c r="Q112" s="208">
        <v>4.7997814431824876E-3</v>
      </c>
      <c r="R112" s="157">
        <v>382</v>
      </c>
      <c r="S112" s="157">
        <v>260</v>
      </c>
      <c r="T112" s="216">
        <v>0.68062827225130895</v>
      </c>
      <c r="U112" s="217">
        <v>1.5318791208791209</v>
      </c>
      <c r="V112" s="217">
        <v>4.2923071673076922</v>
      </c>
      <c r="W112" s="157">
        <v>13392</v>
      </c>
      <c r="X112" s="157">
        <v>51403.035582417579</v>
      </c>
      <c r="Y112" s="208">
        <v>4.6322838829836325E-3</v>
      </c>
      <c r="Z112" s="166"/>
    </row>
    <row r="113" spans="1:26" ht="15" customHeight="1" x14ac:dyDescent="0.25">
      <c r="A113" s="155" t="s">
        <v>230</v>
      </c>
      <c r="B113" s="158">
        <v>312</v>
      </c>
      <c r="C113" s="158">
        <v>218</v>
      </c>
      <c r="D113" s="218">
        <v>0.69871794871794868</v>
      </c>
      <c r="E113" s="219">
        <v>1.4311868131868131</v>
      </c>
      <c r="F113" s="219">
        <v>4.2435010000000002</v>
      </c>
      <c r="G113" s="158">
        <v>11101</v>
      </c>
      <c r="H113" s="158">
        <v>47662.814439560432</v>
      </c>
      <c r="I113" s="209">
        <v>4.6196332539859362E-3</v>
      </c>
      <c r="J113" s="158">
        <v>70</v>
      </c>
      <c r="K113" s="158">
        <v>42</v>
      </c>
      <c r="L113" s="218">
        <v>0.6</v>
      </c>
      <c r="M113" s="219">
        <v>1.6325714285714286</v>
      </c>
      <c r="N113" s="219">
        <v>4.5456344166666671</v>
      </c>
      <c r="O113" s="158">
        <v>2291</v>
      </c>
      <c r="P113" s="158">
        <v>3740.2211428571427</v>
      </c>
      <c r="Q113" s="209">
        <v>4.7997814431824876E-3</v>
      </c>
      <c r="R113" s="158">
        <v>382</v>
      </c>
      <c r="S113" s="158">
        <v>260</v>
      </c>
      <c r="T113" s="218">
        <v>0.68062827225130895</v>
      </c>
      <c r="U113" s="219">
        <v>1.5318791208791209</v>
      </c>
      <c r="V113" s="219">
        <v>4.2923071673076922</v>
      </c>
      <c r="W113" s="158">
        <v>13392</v>
      </c>
      <c r="X113" s="158">
        <v>51403.035582417579</v>
      </c>
      <c r="Y113" s="209">
        <v>4.6322838829836325E-3</v>
      </c>
      <c r="Z113" s="166"/>
    </row>
    <row r="114" spans="1:26" ht="15" customHeight="1" x14ac:dyDescent="0.25">
      <c r="A114" s="156" t="s">
        <v>438</v>
      </c>
      <c r="B114" s="157">
        <v>2620</v>
      </c>
      <c r="C114" s="157">
        <v>1514</v>
      </c>
      <c r="D114" s="216">
        <v>0.5778625954198473</v>
      </c>
      <c r="E114" s="217">
        <v>1.67773173391494</v>
      </c>
      <c r="F114" s="217">
        <v>4.3000875833333341</v>
      </c>
      <c r="G114" s="157">
        <v>78124</v>
      </c>
      <c r="H114" s="157">
        <v>393213.3419411123</v>
      </c>
      <c r="I114" s="208">
        <v>3.8111501632903944E-2</v>
      </c>
      <c r="J114" s="157">
        <v>362</v>
      </c>
      <c r="K114" s="157">
        <v>171</v>
      </c>
      <c r="L114" s="216">
        <v>0.47237569060773482</v>
      </c>
      <c r="M114" s="217">
        <v>1.8929250197316496</v>
      </c>
      <c r="N114" s="217">
        <v>4.2938591666666666</v>
      </c>
      <c r="O114" s="157">
        <v>8811</v>
      </c>
      <c r="P114" s="157">
        <v>16678.562348855565</v>
      </c>
      <c r="Q114" s="208">
        <v>2.1403401297241609E-2</v>
      </c>
      <c r="R114" s="157">
        <v>2982</v>
      </c>
      <c r="S114" s="157">
        <v>1685</v>
      </c>
      <c r="T114" s="216">
        <v>0.56505700871898057</v>
      </c>
      <c r="U114" s="217">
        <v>1.7853283768232948</v>
      </c>
      <c r="V114" s="217">
        <v>4.2994555006923845</v>
      </c>
      <c r="W114" s="157">
        <v>86935</v>
      </c>
      <c r="X114" s="157">
        <v>409891.90428996785</v>
      </c>
      <c r="Y114" s="208">
        <v>3.6938201032184773E-2</v>
      </c>
      <c r="Z114" s="166"/>
    </row>
    <row r="115" spans="1:26" ht="15" customHeight="1" x14ac:dyDescent="0.25">
      <c r="A115" s="155" t="s">
        <v>244</v>
      </c>
      <c r="B115" s="158">
        <v>2620</v>
      </c>
      <c r="C115" s="158">
        <v>1514</v>
      </c>
      <c r="D115" s="218">
        <v>0.5778625954198473</v>
      </c>
      <c r="E115" s="219">
        <v>1.67773173391494</v>
      </c>
      <c r="F115" s="219">
        <v>4.3000875833333341</v>
      </c>
      <c r="G115" s="158">
        <v>78124</v>
      </c>
      <c r="H115" s="158">
        <v>393213.3419411123</v>
      </c>
      <c r="I115" s="209">
        <v>3.8111501632903944E-2</v>
      </c>
      <c r="J115" s="158">
        <v>362</v>
      </c>
      <c r="K115" s="158">
        <v>171</v>
      </c>
      <c r="L115" s="218">
        <v>0.47237569060773482</v>
      </c>
      <c r="M115" s="219">
        <v>1.8929250197316496</v>
      </c>
      <c r="N115" s="219">
        <v>4.2938591666666666</v>
      </c>
      <c r="O115" s="158">
        <v>8811</v>
      </c>
      <c r="P115" s="158">
        <v>16678.562348855565</v>
      </c>
      <c r="Q115" s="209">
        <v>2.1403401297241609E-2</v>
      </c>
      <c r="R115" s="158">
        <v>2982</v>
      </c>
      <c r="S115" s="158">
        <v>1685</v>
      </c>
      <c r="T115" s="218">
        <v>0.56505700871898057</v>
      </c>
      <c r="U115" s="219">
        <v>1.7853283768232948</v>
      </c>
      <c r="V115" s="219">
        <v>4.2994555006923845</v>
      </c>
      <c r="W115" s="158">
        <v>86935</v>
      </c>
      <c r="X115" s="158">
        <v>409891.90428996785</v>
      </c>
      <c r="Y115" s="209">
        <v>3.6938201032184773E-2</v>
      </c>
      <c r="Z115" s="166"/>
    </row>
    <row r="116" spans="1:26" ht="15" customHeight="1" x14ac:dyDescent="0.25">
      <c r="A116" s="156" t="s">
        <v>60</v>
      </c>
      <c r="B116" s="157">
        <v>806</v>
      </c>
      <c r="C116" s="157">
        <v>517</v>
      </c>
      <c r="D116" s="216">
        <v>0.64143920595533499</v>
      </c>
      <c r="E116" s="217">
        <v>1.5480354484225454</v>
      </c>
      <c r="F116" s="217">
        <v>4.3202767499999997</v>
      </c>
      <c r="G116" s="157">
        <v>26803</v>
      </c>
      <c r="H116" s="157">
        <v>124475.98237220845</v>
      </c>
      <c r="I116" s="208">
        <v>1.2064612512935032E-2</v>
      </c>
      <c r="J116" s="157">
        <v>172</v>
      </c>
      <c r="K116" s="157">
        <v>66</v>
      </c>
      <c r="L116" s="216">
        <v>0.38372093023255816</v>
      </c>
      <c r="M116" s="217">
        <v>2.0737807308970098</v>
      </c>
      <c r="N116" s="217">
        <v>4.324494416666667</v>
      </c>
      <c r="O116" s="157">
        <v>3425</v>
      </c>
      <c r="P116" s="157">
        <v>7102.6990033222582</v>
      </c>
      <c r="Q116" s="208">
        <v>9.1148094111394209E-3</v>
      </c>
      <c r="R116" s="157">
        <v>978</v>
      </c>
      <c r="S116" s="157">
        <v>583</v>
      </c>
      <c r="T116" s="216">
        <v>0.5961145194274029</v>
      </c>
      <c r="U116" s="217">
        <v>1.8109080896597776</v>
      </c>
      <c r="V116" s="217">
        <v>4.3207542216981132</v>
      </c>
      <c r="W116" s="157">
        <v>30228</v>
      </c>
      <c r="X116" s="157">
        <v>131578.68137553072</v>
      </c>
      <c r="Y116" s="208">
        <v>1.1857467135434946E-2</v>
      </c>
      <c r="Z116" s="166"/>
    </row>
    <row r="117" spans="1:26" ht="15" customHeight="1" x14ac:dyDescent="0.25">
      <c r="A117" s="155" t="s">
        <v>269</v>
      </c>
      <c r="B117" s="158">
        <v>806</v>
      </c>
      <c r="C117" s="158">
        <v>517</v>
      </c>
      <c r="D117" s="218">
        <v>0.64143920595533499</v>
      </c>
      <c r="E117" s="219">
        <v>1.5480354484225454</v>
      </c>
      <c r="F117" s="219">
        <v>4.3202767499999997</v>
      </c>
      <c r="G117" s="158">
        <v>26803</v>
      </c>
      <c r="H117" s="158">
        <v>124475.98237220845</v>
      </c>
      <c r="I117" s="209">
        <v>1.2064612512935032E-2</v>
      </c>
      <c r="J117" s="158">
        <v>172</v>
      </c>
      <c r="K117" s="158">
        <v>66</v>
      </c>
      <c r="L117" s="218">
        <v>0.38372093023255816</v>
      </c>
      <c r="M117" s="219">
        <v>2.0737807308970098</v>
      </c>
      <c r="N117" s="219">
        <v>4.324494416666667</v>
      </c>
      <c r="O117" s="158">
        <v>3425</v>
      </c>
      <c r="P117" s="158">
        <v>7102.6990033222582</v>
      </c>
      <c r="Q117" s="209">
        <v>9.1148094111394209E-3</v>
      </c>
      <c r="R117" s="158">
        <v>978</v>
      </c>
      <c r="S117" s="158">
        <v>583</v>
      </c>
      <c r="T117" s="218">
        <v>0.5961145194274029</v>
      </c>
      <c r="U117" s="219">
        <v>1.8109080896597776</v>
      </c>
      <c r="V117" s="219">
        <v>4.3207542216981132</v>
      </c>
      <c r="W117" s="158">
        <v>30228</v>
      </c>
      <c r="X117" s="158">
        <v>131578.68137553072</v>
      </c>
      <c r="Y117" s="209">
        <v>1.1857467135434946E-2</v>
      </c>
      <c r="Z117" s="166"/>
    </row>
    <row r="118" spans="1:26" ht="15" customHeight="1" x14ac:dyDescent="0.25">
      <c r="A118" s="156" t="s">
        <v>473</v>
      </c>
      <c r="B118" s="157">
        <v>812</v>
      </c>
      <c r="C118" s="157">
        <v>411</v>
      </c>
      <c r="D118" s="216">
        <v>0.50615763546798032</v>
      </c>
      <c r="E118" s="217">
        <v>1.8240098522167489</v>
      </c>
      <c r="F118" s="217">
        <v>4.0750197500000001</v>
      </c>
      <c r="G118" s="157">
        <v>20098</v>
      </c>
      <c r="H118" s="157">
        <v>109976.85002955666</v>
      </c>
      <c r="I118" s="208">
        <v>1.0659309978629319E-2</v>
      </c>
      <c r="J118" s="157">
        <v>201</v>
      </c>
      <c r="K118" s="157">
        <v>84</v>
      </c>
      <c r="L118" s="216">
        <v>0.41791044776119401</v>
      </c>
      <c r="M118" s="217">
        <v>2.0040341151385928</v>
      </c>
      <c r="N118" s="217">
        <v>3.9474202500000004</v>
      </c>
      <c r="O118" s="157">
        <v>3979</v>
      </c>
      <c r="P118" s="157">
        <v>7974.0517441364609</v>
      </c>
      <c r="Q118" s="208">
        <v>1.0233006051413841E-2</v>
      </c>
      <c r="R118" s="157">
        <v>1013</v>
      </c>
      <c r="S118" s="157">
        <v>495</v>
      </c>
      <c r="T118" s="216">
        <v>0.48864758144126358</v>
      </c>
      <c r="U118" s="217">
        <v>1.9140219836776708</v>
      </c>
      <c r="V118" s="217">
        <v>4.0533665015151517</v>
      </c>
      <c r="W118" s="157">
        <v>24077</v>
      </c>
      <c r="X118" s="157">
        <v>117950.90177369313</v>
      </c>
      <c r="Y118" s="208">
        <v>1.0629373442228271E-2</v>
      </c>
      <c r="Z118" s="166"/>
    </row>
    <row r="119" spans="1:26" ht="15" customHeight="1" x14ac:dyDescent="0.25">
      <c r="A119" s="155" t="s">
        <v>472</v>
      </c>
      <c r="B119" s="158">
        <v>812</v>
      </c>
      <c r="C119" s="158">
        <v>411</v>
      </c>
      <c r="D119" s="218">
        <v>0.50615763546798032</v>
      </c>
      <c r="E119" s="219">
        <v>1.8240098522167489</v>
      </c>
      <c r="F119" s="219">
        <v>4.0750197500000001</v>
      </c>
      <c r="G119" s="158">
        <v>20098</v>
      </c>
      <c r="H119" s="158">
        <v>109976.85002955666</v>
      </c>
      <c r="I119" s="209">
        <v>1.0659309978629319E-2</v>
      </c>
      <c r="J119" s="158">
        <v>201</v>
      </c>
      <c r="K119" s="158">
        <v>84</v>
      </c>
      <c r="L119" s="218">
        <v>0.41791044776119401</v>
      </c>
      <c r="M119" s="219">
        <v>2.0040341151385928</v>
      </c>
      <c r="N119" s="219">
        <v>3.9474202500000004</v>
      </c>
      <c r="O119" s="158">
        <v>3979</v>
      </c>
      <c r="P119" s="158">
        <v>7974.0517441364609</v>
      </c>
      <c r="Q119" s="209">
        <v>1.0233006051413841E-2</v>
      </c>
      <c r="R119" s="158">
        <v>1013</v>
      </c>
      <c r="S119" s="158">
        <v>495</v>
      </c>
      <c r="T119" s="218">
        <v>0.48864758144126358</v>
      </c>
      <c r="U119" s="219">
        <v>1.9140219836776708</v>
      </c>
      <c r="V119" s="219">
        <v>4.0533665015151517</v>
      </c>
      <c r="W119" s="158">
        <v>24077</v>
      </c>
      <c r="X119" s="158">
        <v>117950.90177369313</v>
      </c>
      <c r="Y119" s="209">
        <v>1.0629373442228271E-2</v>
      </c>
      <c r="Z119" s="166"/>
    </row>
    <row r="120" spans="1:26" ht="15" customHeight="1" x14ac:dyDescent="0.25">
      <c r="A120" s="156" t="s">
        <v>61</v>
      </c>
      <c r="B120" s="157">
        <v>29</v>
      </c>
      <c r="C120" s="157">
        <v>19</v>
      </c>
      <c r="D120" s="216">
        <v>0.65517241379310343</v>
      </c>
      <c r="E120" s="217">
        <v>1.5200197044334975</v>
      </c>
      <c r="F120" s="217">
        <v>4.7368415833333337</v>
      </c>
      <c r="G120" s="157">
        <v>1080</v>
      </c>
      <c r="H120" s="157">
        <v>4924.8638423645316</v>
      </c>
      <c r="I120" s="208">
        <v>4.7733364143634401E-4</v>
      </c>
      <c r="J120" s="157">
        <v>53</v>
      </c>
      <c r="K120" s="157">
        <v>33</v>
      </c>
      <c r="L120" s="216">
        <v>0.62264150943396224</v>
      </c>
      <c r="M120" s="217">
        <v>1.5863827493261455</v>
      </c>
      <c r="N120" s="217">
        <v>4.4040399166666662</v>
      </c>
      <c r="O120" s="157">
        <v>1744</v>
      </c>
      <c r="P120" s="157">
        <v>2766.6515148247977</v>
      </c>
      <c r="Q120" s="208">
        <v>3.5504110835715857E-3</v>
      </c>
      <c r="R120" s="157">
        <v>82</v>
      </c>
      <c r="S120" s="157">
        <v>52</v>
      </c>
      <c r="T120" s="216">
        <v>0.63414634146341464</v>
      </c>
      <c r="U120" s="217">
        <v>1.5532012268798217</v>
      </c>
      <c r="V120" s="217">
        <v>4.5256405256410259</v>
      </c>
      <c r="W120" s="157">
        <v>2824</v>
      </c>
      <c r="X120" s="157">
        <v>7691.5153571893297</v>
      </c>
      <c r="Y120" s="208">
        <v>6.9313576953451814E-4</v>
      </c>
      <c r="Z120" s="166"/>
    </row>
    <row r="121" spans="1:26" ht="15" customHeight="1" x14ac:dyDescent="0.25">
      <c r="A121" s="155" t="s">
        <v>265</v>
      </c>
      <c r="B121" s="158">
        <v>29</v>
      </c>
      <c r="C121" s="158">
        <v>19</v>
      </c>
      <c r="D121" s="218">
        <v>0.65517241379310343</v>
      </c>
      <c r="E121" s="219">
        <v>1.5200197044334975</v>
      </c>
      <c r="F121" s="219">
        <v>4.7368415833333337</v>
      </c>
      <c r="G121" s="158">
        <v>1080</v>
      </c>
      <c r="H121" s="158">
        <v>4924.8638423645316</v>
      </c>
      <c r="I121" s="209">
        <v>4.7733364143634401E-4</v>
      </c>
      <c r="J121" s="158">
        <v>53</v>
      </c>
      <c r="K121" s="158">
        <v>33</v>
      </c>
      <c r="L121" s="218">
        <v>0.62264150943396224</v>
      </c>
      <c r="M121" s="219">
        <v>1.5863827493261455</v>
      </c>
      <c r="N121" s="219">
        <v>4.4040399166666662</v>
      </c>
      <c r="O121" s="158">
        <v>1744</v>
      </c>
      <c r="P121" s="158">
        <v>2766.6515148247977</v>
      </c>
      <c r="Q121" s="209">
        <v>3.5504110835715857E-3</v>
      </c>
      <c r="R121" s="158">
        <v>82</v>
      </c>
      <c r="S121" s="158">
        <v>52</v>
      </c>
      <c r="T121" s="218">
        <v>0.63414634146341464</v>
      </c>
      <c r="U121" s="219">
        <v>1.5532012268798217</v>
      </c>
      <c r="V121" s="219">
        <v>4.5256405256410259</v>
      </c>
      <c r="W121" s="158">
        <v>2824</v>
      </c>
      <c r="X121" s="158">
        <v>7691.5153571893297</v>
      </c>
      <c r="Y121" s="209">
        <v>6.9313576953451814E-4</v>
      </c>
      <c r="Z121" s="166"/>
    </row>
    <row r="122" spans="1:26" ht="15" customHeight="1" x14ac:dyDescent="0.25">
      <c r="A122" s="156" t="s">
        <v>496</v>
      </c>
      <c r="B122" s="157">
        <v>15</v>
      </c>
      <c r="C122" s="157">
        <v>10</v>
      </c>
      <c r="D122" s="216">
        <v>0.66666666666666663</v>
      </c>
      <c r="E122" s="217">
        <v>1.4965714285714287</v>
      </c>
      <c r="F122" s="217">
        <v>4.1833333333333336</v>
      </c>
      <c r="G122" s="157">
        <v>502</v>
      </c>
      <c r="H122" s="157">
        <v>2253.8365714285715</v>
      </c>
      <c r="I122" s="208">
        <v>2.1844908859975203E-4</v>
      </c>
      <c r="J122" s="157">
        <v>4</v>
      </c>
      <c r="K122" s="157">
        <v>4</v>
      </c>
      <c r="L122" s="216">
        <v>1</v>
      </c>
      <c r="M122" s="217">
        <v>1</v>
      </c>
      <c r="N122" s="217">
        <v>4.291666666666667</v>
      </c>
      <c r="O122" s="157">
        <v>206</v>
      </c>
      <c r="P122" s="157">
        <v>206</v>
      </c>
      <c r="Q122" s="208">
        <v>2.6435735736745388E-4</v>
      </c>
      <c r="R122" s="157">
        <v>19</v>
      </c>
      <c r="S122" s="157">
        <v>14</v>
      </c>
      <c r="T122" s="216">
        <v>0.73684210526315785</v>
      </c>
      <c r="U122" s="217">
        <v>1.2482857142857142</v>
      </c>
      <c r="V122" s="217">
        <v>4.2142857142857144</v>
      </c>
      <c r="W122" s="157">
        <v>708</v>
      </c>
      <c r="X122" s="157">
        <v>2459.8365714285715</v>
      </c>
      <c r="Y122" s="208">
        <v>2.216729260343495E-4</v>
      </c>
      <c r="Z122" s="166"/>
    </row>
    <row r="123" spans="1:26" ht="15" customHeight="1" x14ac:dyDescent="0.25">
      <c r="A123" s="155" t="s">
        <v>264</v>
      </c>
      <c r="B123" s="158">
        <v>15</v>
      </c>
      <c r="C123" s="158">
        <v>10</v>
      </c>
      <c r="D123" s="218">
        <v>0.66666666666666663</v>
      </c>
      <c r="E123" s="219">
        <v>1.4965714285714287</v>
      </c>
      <c r="F123" s="219">
        <v>4.1833333333333336</v>
      </c>
      <c r="G123" s="158">
        <v>502</v>
      </c>
      <c r="H123" s="158">
        <v>2253.8365714285715</v>
      </c>
      <c r="I123" s="209">
        <v>2.1844908859975203E-4</v>
      </c>
      <c r="J123" s="158">
        <v>4</v>
      </c>
      <c r="K123" s="158">
        <v>4</v>
      </c>
      <c r="L123" s="218">
        <v>1</v>
      </c>
      <c r="M123" s="219">
        <v>1</v>
      </c>
      <c r="N123" s="219">
        <v>4.291666666666667</v>
      </c>
      <c r="O123" s="158">
        <v>206</v>
      </c>
      <c r="P123" s="158">
        <v>206</v>
      </c>
      <c r="Q123" s="209">
        <v>2.6435735736745388E-4</v>
      </c>
      <c r="R123" s="158">
        <v>19</v>
      </c>
      <c r="S123" s="158">
        <v>14</v>
      </c>
      <c r="T123" s="218">
        <v>0.73684210526315785</v>
      </c>
      <c r="U123" s="219">
        <v>1.2482857142857142</v>
      </c>
      <c r="V123" s="219">
        <v>4.2142857142857144</v>
      </c>
      <c r="W123" s="158">
        <v>708</v>
      </c>
      <c r="X123" s="158">
        <v>2459.8365714285715</v>
      </c>
      <c r="Y123" s="209">
        <v>2.216729260343495E-4</v>
      </c>
      <c r="Z123" s="166"/>
    </row>
    <row r="124" spans="1:26" ht="15" customHeight="1" x14ac:dyDescent="0.25">
      <c r="A124" s="156" t="s">
        <v>359</v>
      </c>
      <c r="B124" s="157">
        <v>31</v>
      </c>
      <c r="C124" s="157">
        <v>24</v>
      </c>
      <c r="D124" s="216">
        <v>0.77419354838709675</v>
      </c>
      <c r="E124" s="217">
        <v>1.2916666666666667</v>
      </c>
      <c r="F124" s="217">
        <v>4.7118053333333334</v>
      </c>
      <c r="G124" s="157">
        <v>1357</v>
      </c>
      <c r="H124" s="157">
        <v>5258.375</v>
      </c>
      <c r="I124" s="208">
        <v>5.0965861537051785E-4</v>
      </c>
      <c r="J124" s="157">
        <v>2</v>
      </c>
      <c r="K124" s="157">
        <v>1</v>
      </c>
      <c r="L124" s="216">
        <v>0.5</v>
      </c>
      <c r="M124" s="217">
        <v>1.8365714285714285</v>
      </c>
      <c r="N124" s="217">
        <v>3.9166666666666665</v>
      </c>
      <c r="O124" s="157">
        <v>47</v>
      </c>
      <c r="P124" s="157">
        <v>86.318857142857141</v>
      </c>
      <c r="Q124" s="208">
        <v>1.1077196585079846E-4</v>
      </c>
      <c r="R124" s="157">
        <v>33</v>
      </c>
      <c r="S124" s="157">
        <v>25</v>
      </c>
      <c r="T124" s="216">
        <v>0.75757575757575757</v>
      </c>
      <c r="U124" s="217">
        <v>1.5641190476190476</v>
      </c>
      <c r="V124" s="217">
        <v>4.6799997866666674</v>
      </c>
      <c r="W124" s="157">
        <v>1404</v>
      </c>
      <c r="X124" s="157">
        <v>5344.6938571428573</v>
      </c>
      <c r="Y124" s="208">
        <v>4.8164741504863595E-4</v>
      </c>
      <c r="Z124" s="166"/>
    </row>
    <row r="125" spans="1:26" ht="15" customHeight="1" x14ac:dyDescent="0.25">
      <c r="A125" s="155" t="s">
        <v>263</v>
      </c>
      <c r="B125" s="158">
        <v>31</v>
      </c>
      <c r="C125" s="158">
        <v>24</v>
      </c>
      <c r="D125" s="218">
        <v>0.77419354838709675</v>
      </c>
      <c r="E125" s="219">
        <v>1.2916666666666667</v>
      </c>
      <c r="F125" s="219">
        <v>4.7118053333333334</v>
      </c>
      <c r="G125" s="158">
        <v>1357</v>
      </c>
      <c r="H125" s="158">
        <v>5258.375</v>
      </c>
      <c r="I125" s="209">
        <v>5.0965861537051785E-4</v>
      </c>
      <c r="J125" s="158">
        <v>2</v>
      </c>
      <c r="K125" s="158">
        <v>1</v>
      </c>
      <c r="L125" s="218">
        <v>0.5</v>
      </c>
      <c r="M125" s="219">
        <v>1.8365714285714285</v>
      </c>
      <c r="N125" s="219">
        <v>3.9166666666666665</v>
      </c>
      <c r="O125" s="158">
        <v>47</v>
      </c>
      <c r="P125" s="158">
        <v>86.318857142857141</v>
      </c>
      <c r="Q125" s="209">
        <v>1.1077196585079846E-4</v>
      </c>
      <c r="R125" s="158">
        <v>33</v>
      </c>
      <c r="S125" s="158">
        <v>25</v>
      </c>
      <c r="T125" s="218">
        <v>0.75757575757575757</v>
      </c>
      <c r="U125" s="219">
        <v>1.5641190476190476</v>
      </c>
      <c r="V125" s="219">
        <v>4.6799997866666674</v>
      </c>
      <c r="W125" s="158">
        <v>1404</v>
      </c>
      <c r="X125" s="158">
        <v>5344.6938571428573</v>
      </c>
      <c r="Y125" s="209">
        <v>4.8164741504863595E-4</v>
      </c>
      <c r="Z125" s="166"/>
    </row>
    <row r="126" spans="1:26" ht="15" customHeight="1" x14ac:dyDescent="0.25">
      <c r="A126" s="156" t="s">
        <v>64</v>
      </c>
      <c r="B126" s="157">
        <v>85</v>
      </c>
      <c r="C126" s="157">
        <v>72</v>
      </c>
      <c r="D126" s="216">
        <v>0.84705882352941175</v>
      </c>
      <c r="E126" s="217">
        <v>1.1805555555555556</v>
      </c>
      <c r="F126" s="217">
        <v>4.2870366666666673</v>
      </c>
      <c r="G126" s="157">
        <v>3704</v>
      </c>
      <c r="H126" s="157">
        <v>13118.333333333334</v>
      </c>
      <c r="I126" s="208">
        <v>1.2714710538209194E-3</v>
      </c>
      <c r="J126" s="222"/>
      <c r="K126" s="222"/>
      <c r="L126" s="222"/>
      <c r="M126" s="222"/>
      <c r="N126" s="222"/>
      <c r="O126" s="222"/>
      <c r="P126" s="222"/>
      <c r="Q126" s="222"/>
      <c r="R126" s="157">
        <v>85</v>
      </c>
      <c r="S126" s="157">
        <v>72</v>
      </c>
      <c r="T126" s="216">
        <v>0.84705882352941175</v>
      </c>
      <c r="U126" s="217">
        <v>1.1805555555555556</v>
      </c>
      <c r="V126" s="217">
        <v>4.2870366666666673</v>
      </c>
      <c r="W126" s="157">
        <v>3704</v>
      </c>
      <c r="X126" s="157">
        <v>13118.333333333334</v>
      </c>
      <c r="Y126" s="208">
        <v>1.1821839582639865E-3</v>
      </c>
      <c r="Z126" s="166"/>
    </row>
    <row r="127" spans="1:26" ht="15" customHeight="1" x14ac:dyDescent="0.25">
      <c r="A127" s="155" t="s">
        <v>262</v>
      </c>
      <c r="B127" s="158">
        <v>85</v>
      </c>
      <c r="C127" s="158">
        <v>72</v>
      </c>
      <c r="D127" s="218">
        <v>0.84705882352941175</v>
      </c>
      <c r="E127" s="219">
        <v>1.1805555555555556</v>
      </c>
      <c r="F127" s="219">
        <v>4.2870366666666673</v>
      </c>
      <c r="G127" s="158">
        <v>3704</v>
      </c>
      <c r="H127" s="158">
        <v>13118.333333333334</v>
      </c>
      <c r="I127" s="209">
        <v>1.2714710538209194E-3</v>
      </c>
      <c r="J127" s="223"/>
      <c r="K127" s="223"/>
      <c r="L127" s="223"/>
      <c r="M127" s="223"/>
      <c r="N127" s="223"/>
      <c r="O127" s="223"/>
      <c r="P127" s="223"/>
      <c r="Q127" s="223"/>
      <c r="R127" s="158">
        <v>85</v>
      </c>
      <c r="S127" s="158">
        <v>72</v>
      </c>
      <c r="T127" s="218">
        <v>0.84705882352941175</v>
      </c>
      <c r="U127" s="219">
        <v>1.1805555555555556</v>
      </c>
      <c r="V127" s="219">
        <v>4.2870366666666673</v>
      </c>
      <c r="W127" s="158">
        <v>3704</v>
      </c>
      <c r="X127" s="158">
        <v>13118.333333333334</v>
      </c>
      <c r="Y127" s="209">
        <v>1.1821839582639865E-3</v>
      </c>
      <c r="Z127" s="166"/>
    </row>
    <row r="128" spans="1:26" ht="15" customHeight="1" x14ac:dyDescent="0.25">
      <c r="A128" s="156" t="s">
        <v>144</v>
      </c>
      <c r="B128" s="157">
        <v>16</v>
      </c>
      <c r="C128" s="157">
        <v>13</v>
      </c>
      <c r="D128" s="216">
        <v>0.8125</v>
      </c>
      <c r="E128" s="217">
        <v>1.2307692307692308</v>
      </c>
      <c r="F128" s="217">
        <v>4.3653841666666668</v>
      </c>
      <c r="G128" s="157">
        <v>681</v>
      </c>
      <c r="H128" s="157">
        <v>2514.4615384615386</v>
      </c>
      <c r="I128" s="208">
        <v>2.4370969854655287E-4</v>
      </c>
      <c r="J128" s="222"/>
      <c r="K128" s="222"/>
      <c r="L128" s="222"/>
      <c r="M128" s="222"/>
      <c r="N128" s="222"/>
      <c r="O128" s="222"/>
      <c r="P128" s="222"/>
      <c r="Q128" s="222"/>
      <c r="R128" s="157">
        <v>16</v>
      </c>
      <c r="S128" s="157">
        <v>13</v>
      </c>
      <c r="T128" s="216">
        <v>0.8125</v>
      </c>
      <c r="U128" s="217">
        <v>1.2307692307692308</v>
      </c>
      <c r="V128" s="217">
        <v>4.3653841666666668</v>
      </c>
      <c r="W128" s="157">
        <v>681</v>
      </c>
      <c r="X128" s="157">
        <v>2514.4615384615386</v>
      </c>
      <c r="Y128" s="208">
        <v>2.2659556049607529E-4</v>
      </c>
      <c r="Z128" s="166"/>
    </row>
    <row r="129" spans="1:26" ht="15" customHeight="1" x14ac:dyDescent="0.25">
      <c r="A129" s="155" t="s">
        <v>260</v>
      </c>
      <c r="B129" s="158">
        <v>16</v>
      </c>
      <c r="C129" s="158">
        <v>13</v>
      </c>
      <c r="D129" s="218">
        <v>0.8125</v>
      </c>
      <c r="E129" s="219">
        <v>1.2307692307692308</v>
      </c>
      <c r="F129" s="219">
        <v>4.3653841666666668</v>
      </c>
      <c r="G129" s="158">
        <v>681</v>
      </c>
      <c r="H129" s="158">
        <v>2514.4615384615386</v>
      </c>
      <c r="I129" s="209">
        <v>2.4370969854655287E-4</v>
      </c>
      <c r="J129" s="223"/>
      <c r="K129" s="223"/>
      <c r="L129" s="223"/>
      <c r="M129" s="223"/>
      <c r="N129" s="223"/>
      <c r="O129" s="223"/>
      <c r="P129" s="223"/>
      <c r="Q129" s="223"/>
      <c r="R129" s="158">
        <v>16</v>
      </c>
      <c r="S129" s="158">
        <v>13</v>
      </c>
      <c r="T129" s="218">
        <v>0.8125</v>
      </c>
      <c r="U129" s="219">
        <v>1.2307692307692308</v>
      </c>
      <c r="V129" s="219">
        <v>4.3653841666666668</v>
      </c>
      <c r="W129" s="158">
        <v>681</v>
      </c>
      <c r="X129" s="158">
        <v>2514.4615384615386</v>
      </c>
      <c r="Y129" s="209">
        <v>2.2659556049607529E-4</v>
      </c>
      <c r="Z129" s="166"/>
    </row>
    <row r="130" spans="1:26" ht="15" customHeight="1" x14ac:dyDescent="0.25">
      <c r="A130" s="156" t="s">
        <v>65</v>
      </c>
      <c r="B130" s="157">
        <v>23</v>
      </c>
      <c r="C130" s="157">
        <v>9</v>
      </c>
      <c r="D130" s="216">
        <v>0.39130434782608697</v>
      </c>
      <c r="E130" s="217">
        <v>2.0583105590062112</v>
      </c>
      <c r="F130" s="217">
        <v>4.6481475833333334</v>
      </c>
      <c r="G130" s="157">
        <v>502</v>
      </c>
      <c r="H130" s="157">
        <v>3099.8157018633542</v>
      </c>
      <c r="I130" s="208">
        <v>3.0044410649972036E-4</v>
      </c>
      <c r="J130" s="222"/>
      <c r="K130" s="222"/>
      <c r="L130" s="222"/>
      <c r="M130" s="222"/>
      <c r="N130" s="222"/>
      <c r="O130" s="222"/>
      <c r="P130" s="222"/>
      <c r="Q130" s="222"/>
      <c r="R130" s="157">
        <v>23</v>
      </c>
      <c r="S130" s="157">
        <v>9</v>
      </c>
      <c r="T130" s="216">
        <v>0.39130434782608697</v>
      </c>
      <c r="U130" s="217">
        <v>2.0583105590062112</v>
      </c>
      <c r="V130" s="217">
        <v>4.6481475833333334</v>
      </c>
      <c r="W130" s="157">
        <v>502</v>
      </c>
      <c r="X130" s="157">
        <v>3099.8157018633542</v>
      </c>
      <c r="Y130" s="208">
        <v>2.7934588207224068E-4</v>
      </c>
      <c r="Z130" s="166"/>
    </row>
    <row r="131" spans="1:26" ht="15" customHeight="1" x14ac:dyDescent="0.25">
      <c r="A131" s="155" t="s">
        <v>299</v>
      </c>
      <c r="B131" s="158">
        <v>23</v>
      </c>
      <c r="C131" s="158">
        <v>9</v>
      </c>
      <c r="D131" s="218">
        <v>0.39130434782608697</v>
      </c>
      <c r="E131" s="219">
        <v>2.0583105590062112</v>
      </c>
      <c r="F131" s="219">
        <v>4.6481475833333334</v>
      </c>
      <c r="G131" s="158">
        <v>502</v>
      </c>
      <c r="H131" s="158">
        <v>3099.8157018633542</v>
      </c>
      <c r="I131" s="209">
        <v>3.0044410649972036E-4</v>
      </c>
      <c r="J131" s="223"/>
      <c r="K131" s="223"/>
      <c r="L131" s="223"/>
      <c r="M131" s="223"/>
      <c r="N131" s="223"/>
      <c r="O131" s="223"/>
      <c r="P131" s="223"/>
      <c r="Q131" s="223"/>
      <c r="R131" s="158">
        <v>23</v>
      </c>
      <c r="S131" s="158">
        <v>9</v>
      </c>
      <c r="T131" s="218">
        <v>0.39130434782608697</v>
      </c>
      <c r="U131" s="219">
        <v>2.0583105590062112</v>
      </c>
      <c r="V131" s="219">
        <v>4.6481475833333334</v>
      </c>
      <c r="W131" s="158">
        <v>502</v>
      </c>
      <c r="X131" s="158">
        <v>3099.8157018633542</v>
      </c>
      <c r="Y131" s="209">
        <v>2.7934588207224068E-4</v>
      </c>
      <c r="Z131" s="166"/>
    </row>
    <row r="132" spans="1:26" ht="15" customHeight="1" x14ac:dyDescent="0.25">
      <c r="A132" s="156" t="s">
        <v>66</v>
      </c>
      <c r="B132" s="157">
        <v>15</v>
      </c>
      <c r="C132" s="157">
        <v>14</v>
      </c>
      <c r="D132" s="216">
        <v>0.93333333333333335</v>
      </c>
      <c r="E132" s="217">
        <v>1.0714285714285714</v>
      </c>
      <c r="F132" s="217">
        <v>4.738094750000001</v>
      </c>
      <c r="G132" s="157">
        <v>796</v>
      </c>
      <c r="H132" s="157">
        <v>2558.5714285714284</v>
      </c>
      <c r="I132" s="208">
        <v>2.4798497094868319E-4</v>
      </c>
      <c r="J132" s="222"/>
      <c r="K132" s="222"/>
      <c r="L132" s="222"/>
      <c r="M132" s="222"/>
      <c r="N132" s="222"/>
      <c r="O132" s="222"/>
      <c r="P132" s="222"/>
      <c r="Q132" s="222"/>
      <c r="R132" s="157">
        <v>15</v>
      </c>
      <c r="S132" s="157">
        <v>14</v>
      </c>
      <c r="T132" s="216">
        <v>0.93333333333333335</v>
      </c>
      <c r="U132" s="217">
        <v>1.0714285714285714</v>
      </c>
      <c r="V132" s="217">
        <v>4.738094750000001</v>
      </c>
      <c r="W132" s="157">
        <v>796</v>
      </c>
      <c r="X132" s="157">
        <v>2558.5714285714284</v>
      </c>
      <c r="Y132" s="208">
        <v>2.3057060848149258E-4</v>
      </c>
      <c r="Z132" s="166"/>
    </row>
    <row r="133" spans="1:26" ht="15" customHeight="1" x14ac:dyDescent="0.25">
      <c r="A133" s="155" t="s">
        <v>259</v>
      </c>
      <c r="B133" s="158">
        <v>15</v>
      </c>
      <c r="C133" s="158">
        <v>14</v>
      </c>
      <c r="D133" s="218">
        <v>0.93333333333333335</v>
      </c>
      <c r="E133" s="219">
        <v>1.0714285714285714</v>
      </c>
      <c r="F133" s="219">
        <v>4.738094750000001</v>
      </c>
      <c r="G133" s="158">
        <v>796</v>
      </c>
      <c r="H133" s="158">
        <v>2558.5714285714284</v>
      </c>
      <c r="I133" s="209">
        <v>2.4798497094868319E-4</v>
      </c>
      <c r="J133" s="223"/>
      <c r="K133" s="223"/>
      <c r="L133" s="223"/>
      <c r="M133" s="223"/>
      <c r="N133" s="223"/>
      <c r="O133" s="223"/>
      <c r="P133" s="223"/>
      <c r="Q133" s="223"/>
      <c r="R133" s="158">
        <v>15</v>
      </c>
      <c r="S133" s="158">
        <v>14</v>
      </c>
      <c r="T133" s="218">
        <v>0.93333333333333335</v>
      </c>
      <c r="U133" s="219">
        <v>1.0714285714285714</v>
      </c>
      <c r="V133" s="219">
        <v>4.738094750000001</v>
      </c>
      <c r="W133" s="158">
        <v>796</v>
      </c>
      <c r="X133" s="158">
        <v>2558.5714285714284</v>
      </c>
      <c r="Y133" s="209">
        <v>2.3057060848149258E-4</v>
      </c>
      <c r="Z133" s="166"/>
    </row>
    <row r="134" spans="1:26" ht="15" customHeight="1" x14ac:dyDescent="0.25">
      <c r="A134" s="156" t="s">
        <v>67</v>
      </c>
      <c r="B134" s="157">
        <v>17</v>
      </c>
      <c r="C134" s="157">
        <v>12</v>
      </c>
      <c r="D134" s="216">
        <v>0.70588235294117652</v>
      </c>
      <c r="E134" s="217">
        <v>1.4166666666666667</v>
      </c>
      <c r="F134" s="217">
        <v>4.3819440833333339</v>
      </c>
      <c r="G134" s="157">
        <v>631</v>
      </c>
      <c r="H134" s="157">
        <v>2681.75</v>
      </c>
      <c r="I134" s="208">
        <v>2.599238342206264E-4</v>
      </c>
      <c r="J134" s="157">
        <v>6</v>
      </c>
      <c r="K134" s="157">
        <v>3</v>
      </c>
      <c r="L134" s="216">
        <v>0.5</v>
      </c>
      <c r="M134" s="217">
        <v>1.8365714285714285</v>
      </c>
      <c r="N134" s="217">
        <v>4.5833330833333328</v>
      </c>
      <c r="O134" s="157">
        <v>165</v>
      </c>
      <c r="P134" s="157">
        <v>303.03428571428572</v>
      </c>
      <c r="Q134" s="208">
        <v>3.8888030564642015E-4</v>
      </c>
      <c r="R134" s="157">
        <v>23</v>
      </c>
      <c r="S134" s="157">
        <v>15</v>
      </c>
      <c r="T134" s="216">
        <v>0.65217391304347827</v>
      </c>
      <c r="U134" s="217">
        <v>1.6266190476190476</v>
      </c>
      <c r="V134" s="217">
        <v>4.422221883333334</v>
      </c>
      <c r="W134" s="157">
        <v>796</v>
      </c>
      <c r="X134" s="157">
        <v>2984.7842857142859</v>
      </c>
      <c r="Y134" s="208">
        <v>2.6897960371870358E-4</v>
      </c>
      <c r="Z134" s="166"/>
    </row>
    <row r="135" spans="1:26" ht="15" customHeight="1" x14ac:dyDescent="0.25">
      <c r="A135" s="155" t="s">
        <v>258</v>
      </c>
      <c r="B135" s="158">
        <v>17</v>
      </c>
      <c r="C135" s="158">
        <v>12</v>
      </c>
      <c r="D135" s="218">
        <v>0.70588235294117652</v>
      </c>
      <c r="E135" s="219">
        <v>1.4166666666666667</v>
      </c>
      <c r="F135" s="219">
        <v>4.3819440833333339</v>
      </c>
      <c r="G135" s="158">
        <v>631</v>
      </c>
      <c r="H135" s="158">
        <v>2681.75</v>
      </c>
      <c r="I135" s="209">
        <v>2.599238342206264E-4</v>
      </c>
      <c r="J135" s="158">
        <v>6</v>
      </c>
      <c r="K135" s="158">
        <v>3</v>
      </c>
      <c r="L135" s="218">
        <v>0.5</v>
      </c>
      <c r="M135" s="219">
        <v>1.8365714285714285</v>
      </c>
      <c r="N135" s="219">
        <v>4.5833330833333328</v>
      </c>
      <c r="O135" s="158">
        <v>165</v>
      </c>
      <c r="P135" s="158">
        <v>303.03428571428572</v>
      </c>
      <c r="Q135" s="209">
        <v>3.8888030564642015E-4</v>
      </c>
      <c r="R135" s="158">
        <v>23</v>
      </c>
      <c r="S135" s="158">
        <v>15</v>
      </c>
      <c r="T135" s="218">
        <v>0.65217391304347827</v>
      </c>
      <c r="U135" s="219">
        <v>1.6266190476190476</v>
      </c>
      <c r="V135" s="219">
        <v>4.422221883333334</v>
      </c>
      <c r="W135" s="158">
        <v>796</v>
      </c>
      <c r="X135" s="158">
        <v>2984.7842857142859</v>
      </c>
      <c r="Y135" s="209">
        <v>2.6897960371870358E-4</v>
      </c>
    </row>
    <row r="136" spans="1:26" ht="15" customHeight="1" x14ac:dyDescent="0.25">
      <c r="A136" s="156" t="s">
        <v>468</v>
      </c>
      <c r="B136" s="157">
        <v>159</v>
      </c>
      <c r="C136" s="157">
        <v>96</v>
      </c>
      <c r="D136" s="216">
        <v>0.60377358490566035</v>
      </c>
      <c r="E136" s="217">
        <v>1.6248733153638815</v>
      </c>
      <c r="F136" s="217">
        <v>4.3663190000000007</v>
      </c>
      <c r="G136" s="157">
        <v>5030</v>
      </c>
      <c r="H136" s="157">
        <v>24519.338328840971</v>
      </c>
      <c r="I136" s="208">
        <v>2.3764931223958651E-3</v>
      </c>
      <c r="J136" s="157">
        <v>41</v>
      </c>
      <c r="K136" s="157">
        <v>26</v>
      </c>
      <c r="L136" s="216">
        <v>0.63414634146341464</v>
      </c>
      <c r="M136" s="217">
        <v>1.5629128919860626</v>
      </c>
      <c r="N136" s="217">
        <v>4.2339738333333337</v>
      </c>
      <c r="O136" s="157">
        <v>1321</v>
      </c>
      <c r="P136" s="157">
        <v>2064.6079303135889</v>
      </c>
      <c r="Q136" s="208">
        <v>2.6494868760077121E-3</v>
      </c>
      <c r="R136" s="157">
        <v>200</v>
      </c>
      <c r="S136" s="157">
        <v>122</v>
      </c>
      <c r="T136" s="216">
        <v>0.61</v>
      </c>
      <c r="U136" s="217">
        <v>1.5938931036749722</v>
      </c>
      <c r="V136" s="217">
        <v>4.3381142923497267</v>
      </c>
      <c r="W136" s="157">
        <v>6351</v>
      </c>
      <c r="X136" s="157">
        <v>26583.94625915456</v>
      </c>
      <c r="Y136" s="208">
        <v>2.3956636880897802E-3</v>
      </c>
    </row>
    <row r="137" spans="1:26" ht="15" customHeight="1" x14ac:dyDescent="0.25">
      <c r="A137" s="155" t="s">
        <v>296</v>
      </c>
      <c r="B137" s="158">
        <v>159</v>
      </c>
      <c r="C137" s="158">
        <v>96</v>
      </c>
      <c r="D137" s="218">
        <v>0.60377358490566035</v>
      </c>
      <c r="E137" s="219">
        <v>1.6248733153638815</v>
      </c>
      <c r="F137" s="219">
        <v>4.3663190000000007</v>
      </c>
      <c r="G137" s="158">
        <v>5030</v>
      </c>
      <c r="H137" s="158">
        <v>24519.338328840971</v>
      </c>
      <c r="I137" s="209">
        <v>2.3764931223958651E-3</v>
      </c>
      <c r="J137" s="158">
        <v>41</v>
      </c>
      <c r="K137" s="158">
        <v>26</v>
      </c>
      <c r="L137" s="218">
        <v>0.63414634146341464</v>
      </c>
      <c r="M137" s="219">
        <v>1.5629128919860626</v>
      </c>
      <c r="N137" s="219">
        <v>4.2339738333333337</v>
      </c>
      <c r="O137" s="158">
        <v>1321</v>
      </c>
      <c r="P137" s="158">
        <v>2064.6079303135889</v>
      </c>
      <c r="Q137" s="209">
        <v>2.6494868760077121E-3</v>
      </c>
      <c r="R137" s="158">
        <v>200</v>
      </c>
      <c r="S137" s="158">
        <v>122</v>
      </c>
      <c r="T137" s="218">
        <v>0.61</v>
      </c>
      <c r="U137" s="219">
        <v>1.5938931036749722</v>
      </c>
      <c r="V137" s="219">
        <v>4.3381142923497267</v>
      </c>
      <c r="W137" s="158">
        <v>6351</v>
      </c>
      <c r="X137" s="158">
        <v>26583.94625915456</v>
      </c>
      <c r="Y137" s="209">
        <v>2.3956636880897802E-3</v>
      </c>
    </row>
    <row r="138" spans="1:26" ht="15" customHeight="1" x14ac:dyDescent="0.25">
      <c r="A138" s="156" t="s">
        <v>68</v>
      </c>
      <c r="B138" s="157">
        <v>490</v>
      </c>
      <c r="C138" s="157">
        <v>272</v>
      </c>
      <c r="D138" s="216">
        <v>0.55510204081632653</v>
      </c>
      <c r="E138" s="217">
        <v>1.7241632653061225</v>
      </c>
      <c r="F138" s="217">
        <v>4.3333328333333343</v>
      </c>
      <c r="G138" s="157">
        <v>14144</v>
      </c>
      <c r="H138" s="157">
        <v>73159.695673469396</v>
      </c>
      <c r="I138" s="208">
        <v>7.090872978414221E-3</v>
      </c>
      <c r="J138" s="157">
        <v>242</v>
      </c>
      <c r="K138" s="157">
        <v>92</v>
      </c>
      <c r="L138" s="216">
        <v>0.38016528925619836</v>
      </c>
      <c r="M138" s="217">
        <v>2.0810342384887841</v>
      </c>
      <c r="N138" s="217">
        <v>4.2690212499999998</v>
      </c>
      <c r="O138" s="157">
        <v>4713</v>
      </c>
      <c r="P138" s="157">
        <v>9807.9143659976398</v>
      </c>
      <c r="Q138" s="208">
        <v>1.258638020913312E-2</v>
      </c>
      <c r="R138" s="157">
        <v>732</v>
      </c>
      <c r="S138" s="157">
        <v>364</v>
      </c>
      <c r="T138" s="216">
        <v>0.49726775956284153</v>
      </c>
      <c r="U138" s="217">
        <v>1.9025987518974534</v>
      </c>
      <c r="V138" s="217">
        <v>4.317078257326008</v>
      </c>
      <c r="W138" s="157">
        <v>18857</v>
      </c>
      <c r="X138" s="157">
        <v>82967.610039467036</v>
      </c>
      <c r="Y138" s="208">
        <v>7.4767865057166812E-3</v>
      </c>
    </row>
    <row r="139" spans="1:26" ht="15" customHeight="1" x14ac:dyDescent="0.25">
      <c r="A139" s="155" t="s">
        <v>257</v>
      </c>
      <c r="B139" s="158">
        <v>490</v>
      </c>
      <c r="C139" s="158">
        <v>272</v>
      </c>
      <c r="D139" s="218">
        <v>0.55510204081632653</v>
      </c>
      <c r="E139" s="219">
        <v>1.7241632653061225</v>
      </c>
      <c r="F139" s="219">
        <v>4.3333328333333343</v>
      </c>
      <c r="G139" s="158">
        <v>14144</v>
      </c>
      <c r="H139" s="158">
        <v>73159.695673469396</v>
      </c>
      <c r="I139" s="209">
        <v>7.090872978414221E-3</v>
      </c>
      <c r="J139" s="158">
        <v>242</v>
      </c>
      <c r="K139" s="158">
        <v>92</v>
      </c>
      <c r="L139" s="218">
        <v>0.38016528925619836</v>
      </c>
      <c r="M139" s="219">
        <v>2.0810342384887841</v>
      </c>
      <c r="N139" s="219">
        <v>4.2690212499999998</v>
      </c>
      <c r="O139" s="158">
        <v>4713</v>
      </c>
      <c r="P139" s="158">
        <v>9807.9143659976398</v>
      </c>
      <c r="Q139" s="209">
        <v>1.258638020913312E-2</v>
      </c>
      <c r="R139" s="158">
        <v>732</v>
      </c>
      <c r="S139" s="158">
        <v>364</v>
      </c>
      <c r="T139" s="218">
        <v>0.49726775956284153</v>
      </c>
      <c r="U139" s="219">
        <v>1.9025987518974534</v>
      </c>
      <c r="V139" s="219">
        <v>4.317078257326008</v>
      </c>
      <c r="W139" s="158">
        <v>18857</v>
      </c>
      <c r="X139" s="158">
        <v>82967.610039467036</v>
      </c>
      <c r="Y139" s="209">
        <v>7.4767865057166812E-3</v>
      </c>
    </row>
    <row r="140" spans="1:26" ht="15" customHeight="1" x14ac:dyDescent="0.25">
      <c r="A140" s="156" t="s">
        <v>69</v>
      </c>
      <c r="B140" s="157">
        <v>681</v>
      </c>
      <c r="C140" s="157">
        <v>346</v>
      </c>
      <c r="D140" s="216">
        <v>0.50807635829662257</v>
      </c>
      <c r="E140" s="217">
        <v>1.8200956576463183</v>
      </c>
      <c r="F140" s="217">
        <v>4.2634870000000005</v>
      </c>
      <c r="G140" s="157">
        <v>17702</v>
      </c>
      <c r="H140" s="157">
        <v>96657.999994965387</v>
      </c>
      <c r="I140" s="208">
        <v>9.3684042012822551E-3</v>
      </c>
      <c r="J140" s="157">
        <v>109</v>
      </c>
      <c r="K140" s="157">
        <v>37</v>
      </c>
      <c r="L140" s="216">
        <v>0.33944954128440369</v>
      </c>
      <c r="M140" s="217">
        <v>2.1640943643512451</v>
      </c>
      <c r="N140" s="217">
        <v>3.9954949166666665</v>
      </c>
      <c r="O140" s="157">
        <v>1774</v>
      </c>
      <c r="P140" s="157">
        <v>3839.1034023591087</v>
      </c>
      <c r="Q140" s="208">
        <v>4.9266758743109467E-3</v>
      </c>
      <c r="R140" s="157">
        <v>790</v>
      </c>
      <c r="S140" s="157">
        <v>383</v>
      </c>
      <c r="T140" s="216">
        <v>0.48481012658227846</v>
      </c>
      <c r="U140" s="217">
        <v>1.9920950109987818</v>
      </c>
      <c r="V140" s="217">
        <v>4.237597425369886</v>
      </c>
      <c r="W140" s="157">
        <v>19476</v>
      </c>
      <c r="X140" s="157">
        <v>100497.10339732449</v>
      </c>
      <c r="Y140" s="208">
        <v>9.0564906737375817E-3</v>
      </c>
    </row>
    <row r="141" spans="1:26" ht="15" customHeight="1" x14ac:dyDescent="0.25">
      <c r="A141" s="155" t="s">
        <v>255</v>
      </c>
      <c r="B141" s="158">
        <v>681</v>
      </c>
      <c r="C141" s="158">
        <v>346</v>
      </c>
      <c r="D141" s="218">
        <v>0.50807635829662257</v>
      </c>
      <c r="E141" s="219">
        <v>1.8200956576463183</v>
      </c>
      <c r="F141" s="219">
        <v>4.2634870000000005</v>
      </c>
      <c r="G141" s="158">
        <v>17702</v>
      </c>
      <c r="H141" s="158">
        <v>96657.999994965387</v>
      </c>
      <c r="I141" s="209">
        <v>9.3684042012822551E-3</v>
      </c>
      <c r="J141" s="158">
        <v>109</v>
      </c>
      <c r="K141" s="158">
        <v>37</v>
      </c>
      <c r="L141" s="218">
        <v>0.33944954128440369</v>
      </c>
      <c r="M141" s="219">
        <v>2.1640943643512451</v>
      </c>
      <c r="N141" s="219">
        <v>3.9954949166666665</v>
      </c>
      <c r="O141" s="158">
        <v>1774</v>
      </c>
      <c r="P141" s="158">
        <v>3839.1034023591087</v>
      </c>
      <c r="Q141" s="209">
        <v>4.9266758743109467E-3</v>
      </c>
      <c r="R141" s="158">
        <v>790</v>
      </c>
      <c r="S141" s="158">
        <v>383</v>
      </c>
      <c r="T141" s="218">
        <v>0.48481012658227846</v>
      </c>
      <c r="U141" s="219">
        <v>1.9920950109987818</v>
      </c>
      <c r="V141" s="219">
        <v>4.237597425369886</v>
      </c>
      <c r="W141" s="158">
        <v>19476</v>
      </c>
      <c r="X141" s="158">
        <v>100497.10339732449</v>
      </c>
      <c r="Y141" s="209">
        <v>9.0564906737375817E-3</v>
      </c>
    </row>
    <row r="142" spans="1:26" ht="15" customHeight="1" x14ac:dyDescent="0.25">
      <c r="A142" s="156" t="s">
        <v>70</v>
      </c>
      <c r="B142" s="157">
        <v>961</v>
      </c>
      <c r="C142" s="157">
        <v>528</v>
      </c>
      <c r="D142" s="216">
        <v>0.54942767950052029</v>
      </c>
      <c r="E142" s="217">
        <v>1.7357389623903674</v>
      </c>
      <c r="F142" s="217">
        <v>4.2919818333333319</v>
      </c>
      <c r="G142" s="157">
        <v>27194</v>
      </c>
      <c r="H142" s="157">
        <v>141605.05602973094</v>
      </c>
      <c r="I142" s="208">
        <v>1.372481741708746E-2</v>
      </c>
      <c r="J142" s="157">
        <v>128</v>
      </c>
      <c r="K142" s="157">
        <v>60</v>
      </c>
      <c r="L142" s="216">
        <v>0.46875</v>
      </c>
      <c r="M142" s="217">
        <v>1.9003214285714285</v>
      </c>
      <c r="N142" s="217">
        <v>4.3361108333333345</v>
      </c>
      <c r="O142" s="157">
        <v>3122</v>
      </c>
      <c r="P142" s="157">
        <v>5932.8035</v>
      </c>
      <c r="Q142" s="208">
        <v>7.61349638369117E-3</v>
      </c>
      <c r="R142" s="157">
        <v>1089</v>
      </c>
      <c r="S142" s="157">
        <v>588</v>
      </c>
      <c r="T142" s="216">
        <v>0.53994490358126723</v>
      </c>
      <c r="U142" s="217">
        <v>1.8180301954808979</v>
      </c>
      <c r="V142" s="217">
        <v>4.2964847925170062</v>
      </c>
      <c r="W142" s="157">
        <v>30316</v>
      </c>
      <c r="X142" s="157">
        <v>147537.85952973095</v>
      </c>
      <c r="Y142" s="208">
        <v>1.3295659314393598E-2</v>
      </c>
    </row>
    <row r="143" spans="1:26" ht="15" customHeight="1" x14ac:dyDescent="0.25">
      <c r="A143" s="155" t="s">
        <v>254</v>
      </c>
      <c r="B143" s="158">
        <v>961</v>
      </c>
      <c r="C143" s="158">
        <v>528</v>
      </c>
      <c r="D143" s="218">
        <v>0.54942767950052029</v>
      </c>
      <c r="E143" s="219">
        <v>1.7357389623903674</v>
      </c>
      <c r="F143" s="219">
        <v>4.2919818333333319</v>
      </c>
      <c r="G143" s="158">
        <v>27194</v>
      </c>
      <c r="H143" s="158">
        <v>141605.05602973094</v>
      </c>
      <c r="I143" s="209">
        <v>1.372481741708746E-2</v>
      </c>
      <c r="J143" s="158">
        <v>128</v>
      </c>
      <c r="K143" s="158">
        <v>60</v>
      </c>
      <c r="L143" s="218">
        <v>0.46875</v>
      </c>
      <c r="M143" s="219">
        <v>1.9003214285714285</v>
      </c>
      <c r="N143" s="219">
        <v>4.3361108333333345</v>
      </c>
      <c r="O143" s="158">
        <v>3122</v>
      </c>
      <c r="P143" s="158">
        <v>5932.8035</v>
      </c>
      <c r="Q143" s="209">
        <v>7.61349638369117E-3</v>
      </c>
      <c r="R143" s="158">
        <v>1089</v>
      </c>
      <c r="S143" s="158">
        <v>588</v>
      </c>
      <c r="T143" s="218">
        <v>0.53994490358126723</v>
      </c>
      <c r="U143" s="219">
        <v>1.8180301954808979</v>
      </c>
      <c r="V143" s="219">
        <v>4.2964847925170062</v>
      </c>
      <c r="W143" s="158">
        <v>30316</v>
      </c>
      <c r="X143" s="158">
        <v>147537.85952973095</v>
      </c>
      <c r="Y143" s="209">
        <v>1.3295659314393598E-2</v>
      </c>
    </row>
    <row r="144" spans="1:26" ht="15" customHeight="1" x14ac:dyDescent="0.25">
      <c r="A144" s="156" t="s">
        <v>71</v>
      </c>
      <c r="B144" s="157">
        <v>1976</v>
      </c>
      <c r="C144" s="157">
        <v>1210</v>
      </c>
      <c r="D144" s="216">
        <v>0.61234817813765186</v>
      </c>
      <c r="E144" s="217">
        <v>1.6073811451706188</v>
      </c>
      <c r="F144" s="217">
        <v>4.267217249999999</v>
      </c>
      <c r="G144" s="157">
        <v>61960</v>
      </c>
      <c r="H144" s="157">
        <v>298780.00726431463</v>
      </c>
      <c r="I144" s="208">
        <v>2.8958719148543772E-2</v>
      </c>
      <c r="J144" s="157">
        <v>804</v>
      </c>
      <c r="K144" s="157">
        <v>277</v>
      </c>
      <c r="L144" s="216">
        <v>0.34452736318407962</v>
      </c>
      <c r="M144" s="217">
        <v>2.1537356076759062</v>
      </c>
      <c r="N144" s="217">
        <v>4.2599271666666674</v>
      </c>
      <c r="O144" s="157">
        <v>14160</v>
      </c>
      <c r="P144" s="157">
        <v>30496.896204690831</v>
      </c>
      <c r="Q144" s="208">
        <v>3.9136305284376706E-2</v>
      </c>
      <c r="R144" s="157">
        <v>2780</v>
      </c>
      <c r="S144" s="157">
        <v>1487</v>
      </c>
      <c r="T144" s="216">
        <v>0.53489208633093521</v>
      </c>
      <c r="U144" s="217">
        <v>1.8805583764232625</v>
      </c>
      <c r="V144" s="217">
        <v>4.2658592452364932</v>
      </c>
      <c r="W144" s="157">
        <v>76120</v>
      </c>
      <c r="X144" s="157">
        <v>329276.90346900548</v>
      </c>
      <c r="Y144" s="208">
        <v>2.9673424452387048E-2</v>
      </c>
    </row>
    <row r="145" spans="1:25" ht="15" customHeight="1" x14ac:dyDescent="0.25">
      <c r="A145" s="155" t="s">
        <v>253</v>
      </c>
      <c r="B145" s="158">
        <v>1976</v>
      </c>
      <c r="C145" s="158">
        <v>1210</v>
      </c>
      <c r="D145" s="218">
        <v>0.61234817813765186</v>
      </c>
      <c r="E145" s="219">
        <v>1.6073811451706188</v>
      </c>
      <c r="F145" s="219">
        <v>4.267217249999999</v>
      </c>
      <c r="G145" s="158">
        <v>61960</v>
      </c>
      <c r="H145" s="158">
        <v>298780.00726431463</v>
      </c>
      <c r="I145" s="209">
        <v>2.8958719148543772E-2</v>
      </c>
      <c r="J145" s="158">
        <v>804</v>
      </c>
      <c r="K145" s="158">
        <v>277</v>
      </c>
      <c r="L145" s="218">
        <v>0.34452736318407962</v>
      </c>
      <c r="M145" s="219">
        <v>2.1537356076759062</v>
      </c>
      <c r="N145" s="219">
        <v>4.2599271666666674</v>
      </c>
      <c r="O145" s="158">
        <v>14160</v>
      </c>
      <c r="P145" s="158">
        <v>30496.896204690831</v>
      </c>
      <c r="Q145" s="209">
        <v>3.9136305284376706E-2</v>
      </c>
      <c r="R145" s="158">
        <v>2780</v>
      </c>
      <c r="S145" s="158">
        <v>1487</v>
      </c>
      <c r="T145" s="218">
        <v>0.53489208633093521</v>
      </c>
      <c r="U145" s="219">
        <v>1.8805583764232625</v>
      </c>
      <c r="V145" s="219">
        <v>4.2658592452364932</v>
      </c>
      <c r="W145" s="158">
        <v>76120</v>
      </c>
      <c r="X145" s="158">
        <v>329276.90346900548</v>
      </c>
      <c r="Y145" s="209">
        <v>2.9673424452387048E-2</v>
      </c>
    </row>
    <row r="146" spans="1:25" ht="15" customHeight="1" x14ac:dyDescent="0.25">
      <c r="A146" s="156" t="s">
        <v>497</v>
      </c>
      <c r="B146" s="157">
        <v>129</v>
      </c>
      <c r="C146" s="157">
        <v>57</v>
      </c>
      <c r="D146" s="216">
        <v>0.44186046511627908</v>
      </c>
      <c r="E146" s="217">
        <v>1.9551760797342193</v>
      </c>
      <c r="F146" s="217">
        <v>4.548245333333333</v>
      </c>
      <c r="G146" s="157">
        <v>3111</v>
      </c>
      <c r="H146" s="157">
        <v>18247.658352159469</v>
      </c>
      <c r="I146" s="208">
        <v>1.7686217300051557E-3</v>
      </c>
      <c r="J146" s="222"/>
      <c r="K146" s="222"/>
      <c r="L146" s="222"/>
      <c r="M146" s="222"/>
      <c r="N146" s="222"/>
      <c r="O146" s="222"/>
      <c r="P146" s="222"/>
      <c r="Q146" s="222"/>
      <c r="R146" s="157">
        <v>129</v>
      </c>
      <c r="S146" s="157">
        <v>57</v>
      </c>
      <c r="T146" s="216">
        <v>0.44186046511627908</v>
      </c>
      <c r="U146" s="217">
        <v>1.9551760797342193</v>
      </c>
      <c r="V146" s="217">
        <v>4.548245333333333</v>
      </c>
      <c r="W146" s="157">
        <v>3111</v>
      </c>
      <c r="X146" s="157">
        <v>18247.658352159469</v>
      </c>
      <c r="Y146" s="208">
        <v>1.6444229942679282E-3</v>
      </c>
    </row>
    <row r="147" spans="1:25" ht="15" customHeight="1" x14ac:dyDescent="0.25">
      <c r="A147" s="155" t="s">
        <v>251</v>
      </c>
      <c r="B147" s="158">
        <v>129</v>
      </c>
      <c r="C147" s="158">
        <v>57</v>
      </c>
      <c r="D147" s="218">
        <v>0.44186046511627908</v>
      </c>
      <c r="E147" s="219">
        <v>1.9551760797342193</v>
      </c>
      <c r="F147" s="219">
        <v>4.548245333333333</v>
      </c>
      <c r="G147" s="158">
        <v>3111</v>
      </c>
      <c r="H147" s="158">
        <v>18247.658352159469</v>
      </c>
      <c r="I147" s="209">
        <v>1.7686217300051557E-3</v>
      </c>
      <c r="J147" s="223"/>
      <c r="K147" s="223"/>
      <c r="L147" s="223"/>
      <c r="M147" s="223"/>
      <c r="N147" s="223"/>
      <c r="O147" s="223"/>
      <c r="P147" s="223"/>
      <c r="Q147" s="223"/>
      <c r="R147" s="158">
        <v>129</v>
      </c>
      <c r="S147" s="158">
        <v>57</v>
      </c>
      <c r="T147" s="218">
        <v>0.44186046511627908</v>
      </c>
      <c r="U147" s="219">
        <v>1.9551760797342193</v>
      </c>
      <c r="V147" s="219">
        <v>4.548245333333333</v>
      </c>
      <c r="W147" s="158">
        <v>3111</v>
      </c>
      <c r="X147" s="158">
        <v>18247.658352159469</v>
      </c>
      <c r="Y147" s="209">
        <v>1.6444229942679282E-3</v>
      </c>
    </row>
    <row r="148" spans="1:25" ht="15" customHeight="1" x14ac:dyDescent="0.25">
      <c r="A148" s="156" t="s">
        <v>73</v>
      </c>
      <c r="B148" s="157">
        <v>89</v>
      </c>
      <c r="C148" s="157">
        <v>55</v>
      </c>
      <c r="D148" s="216">
        <v>0.6179775280898876</v>
      </c>
      <c r="E148" s="217">
        <v>1.5958972712680577</v>
      </c>
      <c r="F148" s="217">
        <v>4.4681814166666669</v>
      </c>
      <c r="G148" s="157">
        <v>2949</v>
      </c>
      <c r="H148" s="157">
        <v>14118.903158908506</v>
      </c>
      <c r="I148" s="208">
        <v>1.3684494990410041E-3</v>
      </c>
      <c r="J148" s="157">
        <v>33</v>
      </c>
      <c r="K148" s="157">
        <v>12</v>
      </c>
      <c r="L148" s="216">
        <v>0.36363636363636365</v>
      </c>
      <c r="M148" s="217">
        <v>2.1147532467532466</v>
      </c>
      <c r="N148" s="217">
        <v>4.3402774166666669</v>
      </c>
      <c r="O148" s="157">
        <v>625</v>
      </c>
      <c r="P148" s="157">
        <v>1321.7207792207791</v>
      </c>
      <c r="Q148" s="208">
        <v>1.6961486037497919E-3</v>
      </c>
      <c r="R148" s="157">
        <v>122</v>
      </c>
      <c r="S148" s="157">
        <v>67</v>
      </c>
      <c r="T148" s="216">
        <v>0.54918032786885251</v>
      </c>
      <c r="U148" s="217">
        <v>1.8553252590106522</v>
      </c>
      <c r="V148" s="217">
        <v>4.4452732375621897</v>
      </c>
      <c r="W148" s="157">
        <v>3574</v>
      </c>
      <c r="X148" s="157">
        <v>15440.623938129285</v>
      </c>
      <c r="Y148" s="208">
        <v>1.3914616637207475E-3</v>
      </c>
    </row>
    <row r="149" spans="1:25" ht="15" customHeight="1" x14ac:dyDescent="0.25">
      <c r="A149" s="155" t="s">
        <v>247</v>
      </c>
      <c r="B149" s="158">
        <v>89</v>
      </c>
      <c r="C149" s="158">
        <v>55</v>
      </c>
      <c r="D149" s="218">
        <v>0.6179775280898876</v>
      </c>
      <c r="E149" s="219">
        <v>1.5958972712680577</v>
      </c>
      <c r="F149" s="219">
        <v>4.4681814166666669</v>
      </c>
      <c r="G149" s="158">
        <v>2949</v>
      </c>
      <c r="H149" s="158">
        <v>14118.903158908506</v>
      </c>
      <c r="I149" s="209">
        <v>1.3684494990410041E-3</v>
      </c>
      <c r="J149" s="158">
        <v>33</v>
      </c>
      <c r="K149" s="158">
        <v>12</v>
      </c>
      <c r="L149" s="218">
        <v>0.36363636363636365</v>
      </c>
      <c r="M149" s="219">
        <v>2.1147532467532466</v>
      </c>
      <c r="N149" s="219">
        <v>4.3402774166666669</v>
      </c>
      <c r="O149" s="158">
        <v>625</v>
      </c>
      <c r="P149" s="158">
        <v>1321.7207792207791</v>
      </c>
      <c r="Q149" s="209">
        <v>1.6961486037497919E-3</v>
      </c>
      <c r="R149" s="158">
        <v>122</v>
      </c>
      <c r="S149" s="158">
        <v>67</v>
      </c>
      <c r="T149" s="218">
        <v>0.54918032786885251</v>
      </c>
      <c r="U149" s="219">
        <v>1.8553252590106522</v>
      </c>
      <c r="V149" s="219">
        <v>4.4452732375621897</v>
      </c>
      <c r="W149" s="158">
        <v>3574</v>
      </c>
      <c r="X149" s="158">
        <v>15440.623938129285</v>
      </c>
      <c r="Y149" s="209">
        <v>1.3914616637207475E-3</v>
      </c>
    </row>
    <row r="150" spans="1:25" ht="15" customHeight="1" x14ac:dyDescent="0.25">
      <c r="A150" s="156" t="s">
        <v>74</v>
      </c>
      <c r="B150" s="157">
        <v>80</v>
      </c>
      <c r="C150" s="157">
        <v>46</v>
      </c>
      <c r="D150" s="216">
        <v>0.57499999999999996</v>
      </c>
      <c r="E150" s="217">
        <v>1.6835714285714285</v>
      </c>
      <c r="F150" s="217">
        <v>4.5289850833333336</v>
      </c>
      <c r="G150" s="157">
        <v>2500</v>
      </c>
      <c r="H150" s="157">
        <v>12626.785714285714</v>
      </c>
      <c r="I150" s="208">
        <v>1.223828677818355E-3</v>
      </c>
      <c r="J150" s="157">
        <v>29</v>
      </c>
      <c r="K150" s="157">
        <v>16</v>
      </c>
      <c r="L150" s="216">
        <v>0.55172413793103448</v>
      </c>
      <c r="M150" s="217">
        <v>1.7310541871921183</v>
      </c>
      <c r="N150" s="217">
        <v>4.572916666666667</v>
      </c>
      <c r="O150" s="157">
        <v>878</v>
      </c>
      <c r="P150" s="157">
        <v>1519.8655763546799</v>
      </c>
      <c r="Q150" s="208">
        <v>1.9504254724217736E-3</v>
      </c>
      <c r="R150" s="157">
        <v>109</v>
      </c>
      <c r="S150" s="157">
        <v>62</v>
      </c>
      <c r="T150" s="216">
        <v>0.56880733944954132</v>
      </c>
      <c r="U150" s="217">
        <v>1.7073128078817734</v>
      </c>
      <c r="V150" s="217">
        <v>4.5403222661290323</v>
      </c>
      <c r="W150" s="157">
        <v>3378</v>
      </c>
      <c r="X150" s="157">
        <v>14146.651290640393</v>
      </c>
      <c r="Y150" s="208">
        <v>1.2748528181132962E-3</v>
      </c>
    </row>
    <row r="151" spans="1:25" ht="15" customHeight="1" x14ac:dyDescent="0.25">
      <c r="A151" s="155" t="s">
        <v>249</v>
      </c>
      <c r="B151" s="158">
        <v>80</v>
      </c>
      <c r="C151" s="158">
        <v>46</v>
      </c>
      <c r="D151" s="218">
        <v>0.57499999999999996</v>
      </c>
      <c r="E151" s="219">
        <v>1.6835714285714285</v>
      </c>
      <c r="F151" s="219">
        <v>4.5289850833333336</v>
      </c>
      <c r="G151" s="158">
        <v>2500</v>
      </c>
      <c r="H151" s="158">
        <v>12626.785714285714</v>
      </c>
      <c r="I151" s="209">
        <v>1.223828677818355E-3</v>
      </c>
      <c r="J151" s="158">
        <v>29</v>
      </c>
      <c r="K151" s="158">
        <v>16</v>
      </c>
      <c r="L151" s="218">
        <v>0.55172413793103448</v>
      </c>
      <c r="M151" s="219">
        <v>1.7310541871921183</v>
      </c>
      <c r="N151" s="219">
        <v>4.572916666666667</v>
      </c>
      <c r="O151" s="158">
        <v>878</v>
      </c>
      <c r="P151" s="158">
        <v>1519.8655763546799</v>
      </c>
      <c r="Q151" s="209">
        <v>1.9504254724217736E-3</v>
      </c>
      <c r="R151" s="158">
        <v>109</v>
      </c>
      <c r="S151" s="158">
        <v>62</v>
      </c>
      <c r="T151" s="218">
        <v>0.56880733944954132</v>
      </c>
      <c r="U151" s="219">
        <v>1.7073128078817734</v>
      </c>
      <c r="V151" s="219">
        <v>4.5403222661290323</v>
      </c>
      <c r="W151" s="158">
        <v>3378</v>
      </c>
      <c r="X151" s="158">
        <v>14146.651290640393</v>
      </c>
      <c r="Y151" s="209">
        <v>1.2748528181132962E-3</v>
      </c>
    </row>
    <row r="152" spans="1:25" ht="15" customHeight="1" x14ac:dyDescent="0.25">
      <c r="A152" s="156" t="s">
        <v>441</v>
      </c>
      <c r="B152" s="157">
        <v>482</v>
      </c>
      <c r="C152" s="157">
        <v>246</v>
      </c>
      <c r="D152" s="216">
        <v>0.51037344398340245</v>
      </c>
      <c r="E152" s="217">
        <v>1.8154096028452875</v>
      </c>
      <c r="F152" s="217">
        <v>4.5270997499999996</v>
      </c>
      <c r="G152" s="157">
        <v>13364</v>
      </c>
      <c r="H152" s="157">
        <v>72783.401797273269</v>
      </c>
      <c r="I152" s="208">
        <v>7.0544013658125097E-3</v>
      </c>
      <c r="J152" s="222"/>
      <c r="K152" s="222"/>
      <c r="L152" s="222"/>
      <c r="M152" s="222"/>
      <c r="N152" s="222"/>
      <c r="O152" s="222"/>
      <c r="P152" s="222"/>
      <c r="Q152" s="222"/>
      <c r="R152" s="157">
        <v>482</v>
      </c>
      <c r="S152" s="157">
        <v>246</v>
      </c>
      <c r="T152" s="216">
        <v>0.51037344398340245</v>
      </c>
      <c r="U152" s="217">
        <v>1.8154096028452875</v>
      </c>
      <c r="V152" s="217">
        <v>4.5270997499999996</v>
      </c>
      <c r="W152" s="157">
        <v>13364</v>
      </c>
      <c r="X152" s="157">
        <v>72783.401797273269</v>
      </c>
      <c r="Y152" s="208">
        <v>6.5590168999582251E-3</v>
      </c>
    </row>
    <row r="153" spans="1:25" ht="15" customHeight="1" x14ac:dyDescent="0.25">
      <c r="A153" s="155" t="s">
        <v>280</v>
      </c>
      <c r="B153" s="158">
        <v>482</v>
      </c>
      <c r="C153" s="158">
        <v>246</v>
      </c>
      <c r="D153" s="218">
        <v>0.51037344398340245</v>
      </c>
      <c r="E153" s="219">
        <v>1.8154096028452875</v>
      </c>
      <c r="F153" s="219">
        <v>4.5270997499999996</v>
      </c>
      <c r="G153" s="158">
        <v>13364</v>
      </c>
      <c r="H153" s="158">
        <v>72783.401797273269</v>
      </c>
      <c r="I153" s="209">
        <v>7.0544013658125097E-3</v>
      </c>
      <c r="J153" s="223"/>
      <c r="K153" s="223"/>
      <c r="L153" s="223"/>
      <c r="M153" s="223"/>
      <c r="N153" s="223"/>
      <c r="O153" s="223"/>
      <c r="P153" s="223"/>
      <c r="Q153" s="223"/>
      <c r="R153" s="158">
        <v>482</v>
      </c>
      <c r="S153" s="158">
        <v>246</v>
      </c>
      <c r="T153" s="218">
        <v>0.51037344398340245</v>
      </c>
      <c r="U153" s="219">
        <v>1.8154096028452875</v>
      </c>
      <c r="V153" s="219">
        <v>4.5270997499999996</v>
      </c>
      <c r="W153" s="158">
        <v>13364</v>
      </c>
      <c r="X153" s="158">
        <v>72783.401797273269</v>
      </c>
      <c r="Y153" s="209">
        <v>6.5590168999582251E-3</v>
      </c>
    </row>
    <row r="154" spans="1:25" ht="15" customHeight="1" x14ac:dyDescent="0.25">
      <c r="A154" s="156" t="s">
        <v>75</v>
      </c>
      <c r="B154" s="157">
        <v>447</v>
      </c>
      <c r="C154" s="157">
        <v>279</v>
      </c>
      <c r="D154" s="216">
        <v>0.62416107382550334</v>
      </c>
      <c r="E154" s="217">
        <v>1.5832828379674018</v>
      </c>
      <c r="F154" s="217">
        <v>4.2171440833333333</v>
      </c>
      <c r="G154" s="157">
        <v>14119</v>
      </c>
      <c r="H154" s="157">
        <v>67063.111167785231</v>
      </c>
      <c r="I154" s="208">
        <v>6.4999724021608451E-3</v>
      </c>
      <c r="J154" s="157">
        <v>82</v>
      </c>
      <c r="K154" s="157">
        <v>20</v>
      </c>
      <c r="L154" s="216">
        <v>0.24390243902439024</v>
      </c>
      <c r="M154" s="217">
        <v>2.3590104529616727</v>
      </c>
      <c r="N154" s="217">
        <v>4.2333333333333334</v>
      </c>
      <c r="O154" s="157">
        <v>1016</v>
      </c>
      <c r="P154" s="157">
        <v>2396.7546202090593</v>
      </c>
      <c r="Q154" s="208">
        <v>3.0757267847412741E-3</v>
      </c>
      <c r="R154" s="157">
        <v>529</v>
      </c>
      <c r="S154" s="157">
        <v>299</v>
      </c>
      <c r="T154" s="216">
        <v>0.56521739130434778</v>
      </c>
      <c r="U154" s="217">
        <v>1.9711466454645372</v>
      </c>
      <c r="V154" s="217">
        <v>4.2182269763099223</v>
      </c>
      <c r="W154" s="157">
        <v>15135</v>
      </c>
      <c r="X154" s="157">
        <v>69459.865787994291</v>
      </c>
      <c r="Y154" s="208">
        <v>6.2595100300650236E-3</v>
      </c>
    </row>
    <row r="155" spans="1:25" ht="15" customHeight="1" x14ac:dyDescent="0.25">
      <c r="A155" s="155" t="s">
        <v>246</v>
      </c>
      <c r="B155" s="158">
        <v>447</v>
      </c>
      <c r="C155" s="158">
        <v>279</v>
      </c>
      <c r="D155" s="218">
        <v>0.62416107382550334</v>
      </c>
      <c r="E155" s="219">
        <v>1.5832828379674018</v>
      </c>
      <c r="F155" s="219">
        <v>4.2171440833333333</v>
      </c>
      <c r="G155" s="158">
        <v>14119</v>
      </c>
      <c r="H155" s="158">
        <v>67063.111167785231</v>
      </c>
      <c r="I155" s="209">
        <v>6.4999724021608451E-3</v>
      </c>
      <c r="J155" s="158">
        <v>82</v>
      </c>
      <c r="K155" s="158">
        <v>20</v>
      </c>
      <c r="L155" s="218">
        <v>0.24390243902439024</v>
      </c>
      <c r="M155" s="219">
        <v>2.3590104529616727</v>
      </c>
      <c r="N155" s="219">
        <v>4.2333333333333334</v>
      </c>
      <c r="O155" s="158">
        <v>1016</v>
      </c>
      <c r="P155" s="158">
        <v>2396.7546202090593</v>
      </c>
      <c r="Q155" s="209">
        <v>3.0757267847412741E-3</v>
      </c>
      <c r="R155" s="158">
        <v>529</v>
      </c>
      <c r="S155" s="158">
        <v>299</v>
      </c>
      <c r="T155" s="218">
        <v>0.56521739130434778</v>
      </c>
      <c r="U155" s="219">
        <v>1.9711466454645372</v>
      </c>
      <c r="V155" s="219">
        <v>4.2182269763099223</v>
      </c>
      <c r="W155" s="158">
        <v>15135</v>
      </c>
      <c r="X155" s="158">
        <v>69459.865787994291</v>
      </c>
      <c r="Y155" s="209">
        <v>6.2595100300650236E-3</v>
      </c>
    </row>
    <row r="156" spans="1:25" ht="15" customHeight="1" x14ac:dyDescent="0.25">
      <c r="A156" s="156" t="s">
        <v>76</v>
      </c>
      <c r="B156" s="157">
        <v>23</v>
      </c>
      <c r="C156" s="157">
        <v>10</v>
      </c>
      <c r="D156" s="216">
        <v>0.43478260869565216</v>
      </c>
      <c r="E156" s="217">
        <v>1.9696149068322981</v>
      </c>
      <c r="F156" s="217">
        <v>4.666666666666667</v>
      </c>
      <c r="G156" s="157">
        <v>560</v>
      </c>
      <c r="H156" s="157">
        <v>3308.953043478261</v>
      </c>
      <c r="I156" s="208">
        <v>3.2071437021231685E-4</v>
      </c>
      <c r="J156" s="222"/>
      <c r="K156" s="222"/>
      <c r="L156" s="222"/>
      <c r="M156" s="222"/>
      <c r="N156" s="222"/>
      <c r="O156" s="222"/>
      <c r="P156" s="222"/>
      <c r="Q156" s="222"/>
      <c r="R156" s="157">
        <v>23</v>
      </c>
      <c r="S156" s="157">
        <v>10</v>
      </c>
      <c r="T156" s="216">
        <v>0.43478260869565216</v>
      </c>
      <c r="U156" s="217">
        <v>1.9696149068322981</v>
      </c>
      <c r="V156" s="217">
        <v>4.666666666666667</v>
      </c>
      <c r="W156" s="157">
        <v>560</v>
      </c>
      <c r="X156" s="157">
        <v>3308.953043478261</v>
      </c>
      <c r="Y156" s="208">
        <v>2.981926977498764E-4</v>
      </c>
    </row>
    <row r="157" spans="1:25" ht="15" customHeight="1" x14ac:dyDescent="0.25">
      <c r="A157" s="155" t="s">
        <v>245</v>
      </c>
      <c r="B157" s="158">
        <v>23</v>
      </c>
      <c r="C157" s="158">
        <v>10</v>
      </c>
      <c r="D157" s="218">
        <v>0.43478260869565216</v>
      </c>
      <c r="E157" s="219">
        <v>1.9696149068322981</v>
      </c>
      <c r="F157" s="219">
        <v>4.666666666666667</v>
      </c>
      <c r="G157" s="158">
        <v>560</v>
      </c>
      <c r="H157" s="158">
        <v>3308.953043478261</v>
      </c>
      <c r="I157" s="209">
        <v>3.2071437021231685E-4</v>
      </c>
      <c r="J157" s="223"/>
      <c r="K157" s="223"/>
      <c r="L157" s="223"/>
      <c r="M157" s="223"/>
      <c r="N157" s="223"/>
      <c r="O157" s="223"/>
      <c r="P157" s="223"/>
      <c r="Q157" s="223"/>
      <c r="R157" s="158">
        <v>23</v>
      </c>
      <c r="S157" s="158">
        <v>10</v>
      </c>
      <c r="T157" s="218">
        <v>0.43478260869565216</v>
      </c>
      <c r="U157" s="219">
        <v>1.9696149068322981</v>
      </c>
      <c r="V157" s="219">
        <v>4.666666666666667</v>
      </c>
      <c r="W157" s="158">
        <v>560</v>
      </c>
      <c r="X157" s="158">
        <v>3308.953043478261</v>
      </c>
      <c r="Y157" s="209">
        <v>2.981926977498764E-4</v>
      </c>
    </row>
    <row r="158" spans="1:25" ht="15" customHeight="1" x14ac:dyDescent="0.25">
      <c r="A158" s="156" t="s">
        <v>77</v>
      </c>
      <c r="B158" s="157">
        <v>10</v>
      </c>
      <c r="C158" s="157">
        <v>8</v>
      </c>
      <c r="D158" s="216">
        <v>0.8</v>
      </c>
      <c r="E158" s="217">
        <v>1.25</v>
      </c>
      <c r="F158" s="217">
        <v>3.9375</v>
      </c>
      <c r="G158" s="157">
        <v>378</v>
      </c>
      <c r="H158" s="157">
        <v>1417.5</v>
      </c>
      <c r="I158" s="208">
        <v>1.3738865852810215E-4</v>
      </c>
      <c r="J158" s="222"/>
      <c r="K158" s="222"/>
      <c r="L158" s="222"/>
      <c r="M158" s="222"/>
      <c r="N158" s="222"/>
      <c r="O158" s="222"/>
      <c r="P158" s="222"/>
      <c r="Q158" s="222"/>
      <c r="R158" s="157">
        <v>10</v>
      </c>
      <c r="S158" s="157">
        <v>8</v>
      </c>
      <c r="T158" s="216">
        <v>0.8</v>
      </c>
      <c r="U158" s="217">
        <v>1.25</v>
      </c>
      <c r="V158" s="217">
        <v>3.9375</v>
      </c>
      <c r="W158" s="157">
        <v>378</v>
      </c>
      <c r="X158" s="157">
        <v>1417.5</v>
      </c>
      <c r="Y158" s="208">
        <v>1.2774075168384201E-4</v>
      </c>
    </row>
    <row r="159" spans="1:25" ht="15" customHeight="1" x14ac:dyDescent="0.25">
      <c r="A159" s="155" t="s">
        <v>241</v>
      </c>
      <c r="B159" s="158">
        <v>10</v>
      </c>
      <c r="C159" s="158">
        <v>8</v>
      </c>
      <c r="D159" s="218">
        <v>0.8</v>
      </c>
      <c r="E159" s="219">
        <v>1.25</v>
      </c>
      <c r="F159" s="219">
        <v>3.9375</v>
      </c>
      <c r="G159" s="158">
        <v>378</v>
      </c>
      <c r="H159" s="158">
        <v>1417.5</v>
      </c>
      <c r="I159" s="209">
        <v>1.3738865852810215E-4</v>
      </c>
      <c r="J159" s="223"/>
      <c r="K159" s="223"/>
      <c r="L159" s="223"/>
      <c r="M159" s="223"/>
      <c r="N159" s="223"/>
      <c r="O159" s="223"/>
      <c r="P159" s="223"/>
      <c r="Q159" s="223"/>
      <c r="R159" s="158">
        <v>10</v>
      </c>
      <c r="S159" s="158">
        <v>8</v>
      </c>
      <c r="T159" s="218">
        <v>0.8</v>
      </c>
      <c r="U159" s="219">
        <v>1.25</v>
      </c>
      <c r="V159" s="219">
        <v>3.9375</v>
      </c>
      <c r="W159" s="158">
        <v>378</v>
      </c>
      <c r="X159" s="158">
        <v>1417.5</v>
      </c>
      <c r="Y159" s="209">
        <v>1.2774075168384201E-4</v>
      </c>
    </row>
    <row r="160" spans="1:25" ht="15" customHeight="1" x14ac:dyDescent="0.25">
      <c r="A160" s="156" t="s">
        <v>79</v>
      </c>
      <c r="B160" s="157">
        <v>46</v>
      </c>
      <c r="C160" s="157">
        <v>21</v>
      </c>
      <c r="D160" s="216">
        <v>0.45652173913043476</v>
      </c>
      <c r="E160" s="217">
        <v>1.9252670807453418</v>
      </c>
      <c r="F160" s="217">
        <v>4.206348750000001</v>
      </c>
      <c r="G160" s="157">
        <v>1060</v>
      </c>
      <c r="H160" s="157">
        <v>6122.3493167701872</v>
      </c>
      <c r="I160" s="208">
        <v>5.9339778460070457E-4</v>
      </c>
      <c r="J160" s="157">
        <v>5</v>
      </c>
      <c r="K160" s="157">
        <v>3</v>
      </c>
      <c r="L160" s="216">
        <v>0.6</v>
      </c>
      <c r="M160" s="217">
        <v>1.6325714285714286</v>
      </c>
      <c r="N160" s="217">
        <v>4.0833330833333328</v>
      </c>
      <c r="O160" s="157">
        <v>147</v>
      </c>
      <c r="P160" s="157">
        <v>239.988</v>
      </c>
      <c r="Q160" s="208">
        <v>3.0797375475679863E-4</v>
      </c>
      <c r="R160" s="157">
        <v>51</v>
      </c>
      <c r="S160" s="157">
        <v>24</v>
      </c>
      <c r="T160" s="216">
        <v>0.47058823529411764</v>
      </c>
      <c r="U160" s="217">
        <v>1.7789192546583852</v>
      </c>
      <c r="V160" s="217">
        <v>4.1909717916666667</v>
      </c>
      <c r="W160" s="157">
        <v>1207</v>
      </c>
      <c r="X160" s="157">
        <v>6362.3373167701875</v>
      </c>
      <c r="Y160" s="208">
        <v>5.7335432191208617E-4</v>
      </c>
    </row>
    <row r="161" spans="1:25" ht="15" customHeight="1" x14ac:dyDescent="0.25">
      <c r="A161" s="155" t="s">
        <v>239</v>
      </c>
      <c r="B161" s="158">
        <v>46</v>
      </c>
      <c r="C161" s="158">
        <v>21</v>
      </c>
      <c r="D161" s="218">
        <v>0.45652173913043476</v>
      </c>
      <c r="E161" s="219">
        <v>1.9252670807453418</v>
      </c>
      <c r="F161" s="219">
        <v>4.206348750000001</v>
      </c>
      <c r="G161" s="158">
        <v>1060</v>
      </c>
      <c r="H161" s="158">
        <v>6122.3493167701872</v>
      </c>
      <c r="I161" s="209">
        <v>5.9339778460070457E-4</v>
      </c>
      <c r="J161" s="158">
        <v>5</v>
      </c>
      <c r="K161" s="158">
        <v>3</v>
      </c>
      <c r="L161" s="218">
        <v>0.6</v>
      </c>
      <c r="M161" s="219">
        <v>1.6325714285714286</v>
      </c>
      <c r="N161" s="219">
        <v>4.0833330833333328</v>
      </c>
      <c r="O161" s="158">
        <v>147</v>
      </c>
      <c r="P161" s="158">
        <v>239.988</v>
      </c>
      <c r="Q161" s="209">
        <v>3.0797375475679863E-4</v>
      </c>
      <c r="R161" s="158">
        <v>51</v>
      </c>
      <c r="S161" s="158">
        <v>24</v>
      </c>
      <c r="T161" s="218">
        <v>0.47058823529411764</v>
      </c>
      <c r="U161" s="219">
        <v>1.7789192546583852</v>
      </c>
      <c r="V161" s="219">
        <v>4.1909717916666667</v>
      </c>
      <c r="W161" s="158">
        <v>1207</v>
      </c>
      <c r="X161" s="158">
        <v>6362.3373167701875</v>
      </c>
      <c r="Y161" s="209">
        <v>5.7335432191208617E-4</v>
      </c>
    </row>
    <row r="162" spans="1:25" ht="15" customHeight="1" x14ac:dyDescent="0.25">
      <c r="A162" s="156" t="s">
        <v>80</v>
      </c>
      <c r="B162" s="157">
        <v>363</v>
      </c>
      <c r="C162" s="157">
        <v>176</v>
      </c>
      <c r="D162" s="216">
        <v>0.48484848484848486</v>
      </c>
      <c r="E162" s="217">
        <v>1.8674805194805195</v>
      </c>
      <c r="F162" s="217">
        <v>4.1856056666666666</v>
      </c>
      <c r="G162" s="157">
        <v>8840</v>
      </c>
      <c r="H162" s="157">
        <v>49525.583376623377</v>
      </c>
      <c r="I162" s="208">
        <v>4.8001788098313656E-3</v>
      </c>
      <c r="J162" s="157">
        <v>209</v>
      </c>
      <c r="K162" s="157">
        <v>75</v>
      </c>
      <c r="L162" s="216">
        <v>0.35885167464114831</v>
      </c>
      <c r="M162" s="217">
        <v>2.1245140123034858</v>
      </c>
      <c r="N162" s="217">
        <v>4.3299996666666667</v>
      </c>
      <c r="O162" s="157">
        <v>3897</v>
      </c>
      <c r="P162" s="157">
        <v>8279.2311059466847</v>
      </c>
      <c r="Q162" s="208">
        <v>1.0624639107779069E-2</v>
      </c>
      <c r="R162" s="157">
        <v>572</v>
      </c>
      <c r="S162" s="157">
        <v>251</v>
      </c>
      <c r="T162" s="216">
        <v>0.4388111888111888</v>
      </c>
      <c r="U162" s="217">
        <v>1.9959972658920027</v>
      </c>
      <c r="V162" s="217">
        <v>4.2287512841965471</v>
      </c>
      <c r="W162" s="157">
        <v>12737</v>
      </c>
      <c r="X162" s="157">
        <v>57804.814482570058</v>
      </c>
      <c r="Y162" s="208">
        <v>5.2091925593993199E-3</v>
      </c>
    </row>
    <row r="163" spans="1:25" ht="15" customHeight="1" x14ac:dyDescent="0.25">
      <c r="A163" s="155" t="s">
        <v>238</v>
      </c>
      <c r="B163" s="158">
        <v>363</v>
      </c>
      <c r="C163" s="158">
        <v>176</v>
      </c>
      <c r="D163" s="218">
        <v>0.48484848484848486</v>
      </c>
      <c r="E163" s="219">
        <v>1.8674805194805195</v>
      </c>
      <c r="F163" s="219">
        <v>4.1856056666666666</v>
      </c>
      <c r="G163" s="158">
        <v>8840</v>
      </c>
      <c r="H163" s="158">
        <v>49525.583376623377</v>
      </c>
      <c r="I163" s="209">
        <v>4.8001788098313656E-3</v>
      </c>
      <c r="J163" s="158">
        <v>209</v>
      </c>
      <c r="K163" s="158">
        <v>75</v>
      </c>
      <c r="L163" s="218">
        <v>0.35885167464114831</v>
      </c>
      <c r="M163" s="219">
        <v>2.1245140123034858</v>
      </c>
      <c r="N163" s="219">
        <v>4.3299996666666667</v>
      </c>
      <c r="O163" s="158">
        <v>3897</v>
      </c>
      <c r="P163" s="158">
        <v>8279.2311059466847</v>
      </c>
      <c r="Q163" s="209">
        <v>1.0624639107779069E-2</v>
      </c>
      <c r="R163" s="158">
        <v>572</v>
      </c>
      <c r="S163" s="158">
        <v>251</v>
      </c>
      <c r="T163" s="218">
        <v>0.4388111888111888</v>
      </c>
      <c r="U163" s="219">
        <v>1.9959972658920027</v>
      </c>
      <c r="V163" s="219">
        <v>4.2287512841965471</v>
      </c>
      <c r="W163" s="158">
        <v>12737</v>
      </c>
      <c r="X163" s="158">
        <v>57804.814482570058</v>
      </c>
      <c r="Y163" s="209">
        <v>5.2091925593993199E-3</v>
      </c>
    </row>
    <row r="164" spans="1:25" ht="15" customHeight="1" x14ac:dyDescent="0.25">
      <c r="A164" s="156" t="s">
        <v>81</v>
      </c>
      <c r="B164" s="157">
        <v>547</v>
      </c>
      <c r="C164" s="157">
        <v>378</v>
      </c>
      <c r="D164" s="216">
        <v>0.69104204753199272</v>
      </c>
      <c r="E164" s="217">
        <v>1.4468456516061636</v>
      </c>
      <c r="F164" s="217">
        <v>4.4616397499999998</v>
      </c>
      <c r="G164" s="157">
        <v>20238</v>
      </c>
      <c r="H164" s="157">
        <v>87843.786891616619</v>
      </c>
      <c r="I164" s="208">
        <v>8.5141023217408743E-3</v>
      </c>
      <c r="J164" s="157">
        <v>79</v>
      </c>
      <c r="K164" s="157">
        <v>35</v>
      </c>
      <c r="L164" s="216">
        <v>0.44303797468354428</v>
      </c>
      <c r="M164" s="217">
        <v>1.9527739602169982</v>
      </c>
      <c r="N164" s="217">
        <v>4.4166661666666673</v>
      </c>
      <c r="O164" s="157">
        <v>1855</v>
      </c>
      <c r="P164" s="157">
        <v>3622.3956962025318</v>
      </c>
      <c r="Q164" s="208">
        <v>4.6485774445987355E-3</v>
      </c>
      <c r="R164" s="157">
        <v>626</v>
      </c>
      <c r="S164" s="157">
        <v>413</v>
      </c>
      <c r="T164" s="216">
        <v>0.65974440894568687</v>
      </c>
      <c r="U164" s="217">
        <v>1.6998098059115809</v>
      </c>
      <c r="V164" s="217">
        <v>4.4578284293785311</v>
      </c>
      <c r="W164" s="157">
        <v>22093</v>
      </c>
      <c r="X164" s="157">
        <v>91466.182587819145</v>
      </c>
      <c r="Y164" s="208">
        <v>8.2426517935940448E-3</v>
      </c>
    </row>
    <row r="165" spans="1:25" ht="15" customHeight="1" x14ac:dyDescent="0.25">
      <c r="A165" s="155" t="s">
        <v>237</v>
      </c>
      <c r="B165" s="158">
        <v>547</v>
      </c>
      <c r="C165" s="158">
        <v>378</v>
      </c>
      <c r="D165" s="218">
        <v>0.69104204753199272</v>
      </c>
      <c r="E165" s="219">
        <v>1.4468456516061636</v>
      </c>
      <c r="F165" s="219">
        <v>4.4616397499999998</v>
      </c>
      <c r="G165" s="158">
        <v>20238</v>
      </c>
      <c r="H165" s="158">
        <v>87843.786891616619</v>
      </c>
      <c r="I165" s="209">
        <v>8.5141023217408743E-3</v>
      </c>
      <c r="J165" s="158">
        <v>79</v>
      </c>
      <c r="K165" s="158">
        <v>35</v>
      </c>
      <c r="L165" s="218">
        <v>0.44303797468354428</v>
      </c>
      <c r="M165" s="219">
        <v>1.9527739602169982</v>
      </c>
      <c r="N165" s="219">
        <v>4.4166661666666673</v>
      </c>
      <c r="O165" s="158">
        <v>1855</v>
      </c>
      <c r="P165" s="158">
        <v>3622.3956962025318</v>
      </c>
      <c r="Q165" s="209">
        <v>4.6485774445987355E-3</v>
      </c>
      <c r="R165" s="158">
        <v>626</v>
      </c>
      <c r="S165" s="158">
        <v>413</v>
      </c>
      <c r="T165" s="218">
        <v>0.65974440894568687</v>
      </c>
      <c r="U165" s="219">
        <v>1.6998098059115809</v>
      </c>
      <c r="V165" s="219">
        <v>4.4578284293785311</v>
      </c>
      <c r="W165" s="158">
        <v>22093</v>
      </c>
      <c r="X165" s="158">
        <v>91466.182587819145</v>
      </c>
      <c r="Y165" s="209">
        <v>8.2426517935940448E-3</v>
      </c>
    </row>
    <row r="166" spans="1:25" ht="15" customHeight="1" x14ac:dyDescent="0.25">
      <c r="A166" s="156" t="s">
        <v>498</v>
      </c>
      <c r="B166" s="157">
        <v>31</v>
      </c>
      <c r="C166" s="157">
        <v>19</v>
      </c>
      <c r="D166" s="216">
        <v>0.61290322580645162</v>
      </c>
      <c r="E166" s="217">
        <v>1.6062488479262673</v>
      </c>
      <c r="F166" s="217">
        <v>3.7631574166666675</v>
      </c>
      <c r="G166" s="157">
        <v>858</v>
      </c>
      <c r="H166" s="157">
        <v>4134.4845345622125</v>
      </c>
      <c r="I166" s="208">
        <v>4.0072753714898564E-4</v>
      </c>
      <c r="J166" s="157">
        <v>1</v>
      </c>
      <c r="K166" s="157">
        <v>1</v>
      </c>
      <c r="L166" s="216">
        <v>1</v>
      </c>
      <c r="M166" s="217">
        <v>1</v>
      </c>
      <c r="N166" s="217">
        <v>4.666666666666667</v>
      </c>
      <c r="O166" s="157">
        <v>56</v>
      </c>
      <c r="P166" s="157">
        <v>56</v>
      </c>
      <c r="Q166" s="208">
        <v>7.1864135983385524E-5</v>
      </c>
      <c r="R166" s="157">
        <v>32</v>
      </c>
      <c r="S166" s="157">
        <v>20</v>
      </c>
      <c r="T166" s="216">
        <v>0.625</v>
      </c>
      <c r="U166" s="217">
        <v>1.3031244239631337</v>
      </c>
      <c r="V166" s="217">
        <v>3.8083328791666675</v>
      </c>
      <c r="W166" s="157">
        <v>914</v>
      </c>
      <c r="X166" s="157">
        <v>4190.4845345622125</v>
      </c>
      <c r="Y166" s="208">
        <v>3.7763361154461502E-4</v>
      </c>
    </row>
    <row r="167" spans="1:25" ht="15" customHeight="1" x14ac:dyDescent="0.25">
      <c r="A167" s="155" t="s">
        <v>236</v>
      </c>
      <c r="B167" s="158">
        <v>31</v>
      </c>
      <c r="C167" s="158">
        <v>19</v>
      </c>
      <c r="D167" s="218">
        <v>0.61290322580645162</v>
      </c>
      <c r="E167" s="219">
        <v>1.6062488479262673</v>
      </c>
      <c r="F167" s="219">
        <v>3.7631574166666675</v>
      </c>
      <c r="G167" s="158">
        <v>858</v>
      </c>
      <c r="H167" s="158">
        <v>4134.4845345622125</v>
      </c>
      <c r="I167" s="209">
        <v>4.0072753714898564E-4</v>
      </c>
      <c r="J167" s="158">
        <v>1</v>
      </c>
      <c r="K167" s="158">
        <v>1</v>
      </c>
      <c r="L167" s="218">
        <v>1</v>
      </c>
      <c r="M167" s="219">
        <v>1</v>
      </c>
      <c r="N167" s="219">
        <v>4.666666666666667</v>
      </c>
      <c r="O167" s="158">
        <v>56</v>
      </c>
      <c r="P167" s="158">
        <v>56</v>
      </c>
      <c r="Q167" s="209">
        <v>7.1864135983385524E-5</v>
      </c>
      <c r="R167" s="158">
        <v>32</v>
      </c>
      <c r="S167" s="158">
        <v>20</v>
      </c>
      <c r="T167" s="218">
        <v>0.625</v>
      </c>
      <c r="U167" s="219">
        <v>1.3031244239631337</v>
      </c>
      <c r="V167" s="219">
        <v>3.8083328791666675</v>
      </c>
      <c r="W167" s="158">
        <v>914</v>
      </c>
      <c r="X167" s="158">
        <v>4190.4845345622125</v>
      </c>
      <c r="Y167" s="209">
        <v>3.7763361154461502E-4</v>
      </c>
    </row>
    <row r="168" spans="1:25" ht="15" customHeight="1" x14ac:dyDescent="0.25">
      <c r="A168" s="156" t="s">
        <v>83</v>
      </c>
      <c r="B168" s="157">
        <v>1852</v>
      </c>
      <c r="C168" s="157">
        <v>1637</v>
      </c>
      <c r="D168" s="216">
        <v>0.88390928725701945</v>
      </c>
      <c r="E168" s="217">
        <v>1.1313378130726941</v>
      </c>
      <c r="F168" s="217">
        <v>4.3628584999999998</v>
      </c>
      <c r="G168" s="157">
        <v>85704</v>
      </c>
      <c r="H168" s="157">
        <v>290880.52779474651</v>
      </c>
      <c r="I168" s="208">
        <v>2.8193076194473757E-2</v>
      </c>
      <c r="J168" s="157">
        <v>655</v>
      </c>
      <c r="K168" s="157">
        <v>468</v>
      </c>
      <c r="L168" s="216">
        <v>0.71450381679389308</v>
      </c>
      <c r="M168" s="217">
        <v>1.3995726495726497</v>
      </c>
      <c r="N168" s="217">
        <v>4.3479340833333335</v>
      </c>
      <c r="O168" s="157">
        <v>24418</v>
      </c>
      <c r="P168" s="157">
        <v>34174.764957264961</v>
      </c>
      <c r="Q168" s="208">
        <v>4.38560706444487E-2</v>
      </c>
      <c r="R168" s="157">
        <v>2507</v>
      </c>
      <c r="S168" s="157">
        <v>2105</v>
      </c>
      <c r="T168" s="216">
        <v>0.83964898284802558</v>
      </c>
      <c r="U168" s="217">
        <v>1.2654552313226719</v>
      </c>
      <c r="V168" s="217">
        <v>4.3595403874109255</v>
      </c>
      <c r="W168" s="157">
        <v>110122</v>
      </c>
      <c r="X168" s="157">
        <v>325055.29275201145</v>
      </c>
      <c r="Y168" s="208">
        <v>2.9292985844764204E-2</v>
      </c>
    </row>
    <row r="169" spans="1:25" ht="15" customHeight="1" x14ac:dyDescent="0.25">
      <c r="A169" s="155" t="s">
        <v>243</v>
      </c>
      <c r="B169" s="158">
        <v>1852</v>
      </c>
      <c r="C169" s="158">
        <v>1637</v>
      </c>
      <c r="D169" s="218">
        <v>0.88390928725701945</v>
      </c>
      <c r="E169" s="219">
        <v>1.1313378130726941</v>
      </c>
      <c r="F169" s="219">
        <v>4.3628584999999998</v>
      </c>
      <c r="G169" s="158">
        <v>85704</v>
      </c>
      <c r="H169" s="158">
        <v>290880.52779474651</v>
      </c>
      <c r="I169" s="209">
        <v>2.8193076194473757E-2</v>
      </c>
      <c r="J169" s="158">
        <v>655</v>
      </c>
      <c r="K169" s="158">
        <v>468</v>
      </c>
      <c r="L169" s="218">
        <v>0.71450381679389308</v>
      </c>
      <c r="M169" s="219">
        <v>1.3995726495726497</v>
      </c>
      <c r="N169" s="219">
        <v>4.3479340833333335</v>
      </c>
      <c r="O169" s="158">
        <v>24418</v>
      </c>
      <c r="P169" s="158">
        <v>34174.764957264961</v>
      </c>
      <c r="Q169" s="209">
        <v>4.38560706444487E-2</v>
      </c>
      <c r="R169" s="158">
        <v>2507</v>
      </c>
      <c r="S169" s="158">
        <v>2105</v>
      </c>
      <c r="T169" s="218">
        <v>0.83964898284802558</v>
      </c>
      <c r="U169" s="219">
        <v>1.2654552313226719</v>
      </c>
      <c r="V169" s="219">
        <v>4.3595403874109255</v>
      </c>
      <c r="W169" s="158">
        <v>110122</v>
      </c>
      <c r="X169" s="158">
        <v>325055.29275201145</v>
      </c>
      <c r="Y169" s="209">
        <v>2.9292985844764204E-2</v>
      </c>
    </row>
    <row r="170" spans="1:25" ht="15" customHeight="1" x14ac:dyDescent="0.25">
      <c r="A170" s="156" t="s">
        <v>492</v>
      </c>
      <c r="B170" s="157">
        <v>74</v>
      </c>
      <c r="C170" s="157">
        <v>47</v>
      </c>
      <c r="D170" s="216">
        <v>0.63513513513513509</v>
      </c>
      <c r="E170" s="217">
        <v>1.560895752895753</v>
      </c>
      <c r="F170" s="217">
        <v>4.3209214999999999</v>
      </c>
      <c r="G170" s="157">
        <v>2437</v>
      </c>
      <c r="H170" s="157">
        <v>11411.708849420851</v>
      </c>
      <c r="I170" s="208">
        <v>1.1060595205186615E-3</v>
      </c>
      <c r="J170" s="157">
        <v>5</v>
      </c>
      <c r="K170" s="157">
        <v>2</v>
      </c>
      <c r="L170" s="216">
        <v>0.4</v>
      </c>
      <c r="M170" s="217">
        <v>2.0405714285714285</v>
      </c>
      <c r="N170" s="217">
        <v>4.416666666666667</v>
      </c>
      <c r="O170" s="157">
        <v>106</v>
      </c>
      <c r="P170" s="157">
        <v>216.30057142857143</v>
      </c>
      <c r="Q170" s="208">
        <v>2.7757595854333662E-4</v>
      </c>
      <c r="R170" s="157">
        <v>79</v>
      </c>
      <c r="S170" s="157">
        <v>49</v>
      </c>
      <c r="T170" s="216">
        <v>0.620253164556962</v>
      </c>
      <c r="U170" s="217">
        <v>1.8007335907335906</v>
      </c>
      <c r="V170" s="217">
        <v>4.3248294659863946</v>
      </c>
      <c r="W170" s="157">
        <v>2543</v>
      </c>
      <c r="X170" s="157">
        <v>11628.009420849423</v>
      </c>
      <c r="Y170" s="208">
        <v>1.0478805389813768E-3</v>
      </c>
    </row>
    <row r="171" spans="1:25" ht="15" customHeight="1" x14ac:dyDescent="0.25">
      <c r="A171" s="155" t="s">
        <v>233</v>
      </c>
      <c r="B171" s="158">
        <v>74</v>
      </c>
      <c r="C171" s="158">
        <v>47</v>
      </c>
      <c r="D171" s="218">
        <v>0.63513513513513509</v>
      </c>
      <c r="E171" s="219">
        <v>1.560895752895753</v>
      </c>
      <c r="F171" s="219">
        <v>4.3209214999999999</v>
      </c>
      <c r="G171" s="158">
        <v>2437</v>
      </c>
      <c r="H171" s="158">
        <v>11411.708849420851</v>
      </c>
      <c r="I171" s="209">
        <v>1.1060595205186615E-3</v>
      </c>
      <c r="J171" s="158">
        <v>5</v>
      </c>
      <c r="K171" s="158">
        <v>2</v>
      </c>
      <c r="L171" s="218">
        <v>0.4</v>
      </c>
      <c r="M171" s="219">
        <v>2.0405714285714285</v>
      </c>
      <c r="N171" s="219">
        <v>4.416666666666667</v>
      </c>
      <c r="O171" s="158">
        <v>106</v>
      </c>
      <c r="P171" s="158">
        <v>216.30057142857143</v>
      </c>
      <c r="Q171" s="209">
        <v>2.7757595854333662E-4</v>
      </c>
      <c r="R171" s="158">
        <v>79</v>
      </c>
      <c r="S171" s="158">
        <v>49</v>
      </c>
      <c r="T171" s="218">
        <v>0.620253164556962</v>
      </c>
      <c r="U171" s="219">
        <v>1.8007335907335906</v>
      </c>
      <c r="V171" s="219">
        <v>4.3248294659863946</v>
      </c>
      <c r="W171" s="158">
        <v>2543</v>
      </c>
      <c r="X171" s="158">
        <v>11628.009420849423</v>
      </c>
      <c r="Y171" s="209">
        <v>1.0478805389813768E-3</v>
      </c>
    </row>
    <row r="172" spans="1:25" ht="15" customHeight="1" x14ac:dyDescent="0.25">
      <c r="A172" s="156" t="s">
        <v>85</v>
      </c>
      <c r="B172" s="157">
        <v>16</v>
      </c>
      <c r="C172" s="157">
        <v>14</v>
      </c>
      <c r="D172" s="216">
        <v>0.875</v>
      </c>
      <c r="E172" s="217">
        <v>1.1428571428571428</v>
      </c>
      <c r="F172" s="217">
        <v>4.1369044166666669</v>
      </c>
      <c r="G172" s="157">
        <v>695</v>
      </c>
      <c r="H172" s="157">
        <v>2382.8571428571427</v>
      </c>
      <c r="I172" s="208">
        <v>2.3095417729894114E-4</v>
      </c>
      <c r="J172" s="157">
        <v>35</v>
      </c>
      <c r="K172" s="157">
        <v>27</v>
      </c>
      <c r="L172" s="216">
        <v>0.77142857142857146</v>
      </c>
      <c r="M172" s="217">
        <v>1.2962962962962963</v>
      </c>
      <c r="N172" s="217">
        <v>4.6358017499999997</v>
      </c>
      <c r="O172" s="157">
        <v>1502</v>
      </c>
      <c r="P172" s="157">
        <v>1947.037037037037</v>
      </c>
      <c r="Q172" s="208">
        <v>2.4986095427556722E-3</v>
      </c>
      <c r="R172" s="157">
        <v>51</v>
      </c>
      <c r="S172" s="157">
        <v>41</v>
      </c>
      <c r="T172" s="216">
        <v>0.80392156862745101</v>
      </c>
      <c r="U172" s="217">
        <v>1.2195767195767195</v>
      </c>
      <c r="V172" s="217">
        <v>4.4654465630081299</v>
      </c>
      <c r="W172" s="157">
        <v>2197</v>
      </c>
      <c r="X172" s="157">
        <v>4329.8941798941796</v>
      </c>
      <c r="Y172" s="208">
        <v>3.9019678112957681E-4</v>
      </c>
    </row>
    <row r="173" spans="1:25" ht="15" customHeight="1" x14ac:dyDescent="0.25">
      <c r="A173" s="155" t="s">
        <v>232</v>
      </c>
      <c r="B173" s="158">
        <v>16</v>
      </c>
      <c r="C173" s="158">
        <v>14</v>
      </c>
      <c r="D173" s="218">
        <v>0.875</v>
      </c>
      <c r="E173" s="219">
        <v>1.1428571428571428</v>
      </c>
      <c r="F173" s="219">
        <v>4.1369044166666669</v>
      </c>
      <c r="G173" s="158">
        <v>695</v>
      </c>
      <c r="H173" s="158">
        <v>2382.8571428571427</v>
      </c>
      <c r="I173" s="209">
        <v>2.3095417729894114E-4</v>
      </c>
      <c r="J173" s="158">
        <v>35</v>
      </c>
      <c r="K173" s="158">
        <v>27</v>
      </c>
      <c r="L173" s="218">
        <v>0.77142857142857146</v>
      </c>
      <c r="M173" s="219">
        <v>1.2962962962962963</v>
      </c>
      <c r="N173" s="219">
        <v>4.6358017499999997</v>
      </c>
      <c r="O173" s="158">
        <v>1502</v>
      </c>
      <c r="P173" s="158">
        <v>1947.037037037037</v>
      </c>
      <c r="Q173" s="209">
        <v>2.4986095427556722E-3</v>
      </c>
      <c r="R173" s="158">
        <v>51</v>
      </c>
      <c r="S173" s="158">
        <v>41</v>
      </c>
      <c r="T173" s="218">
        <v>0.80392156862745101</v>
      </c>
      <c r="U173" s="219">
        <v>1.2195767195767195</v>
      </c>
      <c r="V173" s="219">
        <v>4.4654465630081299</v>
      </c>
      <c r="W173" s="158">
        <v>2197</v>
      </c>
      <c r="X173" s="158">
        <v>4329.8941798941796</v>
      </c>
      <c r="Y173" s="209">
        <v>3.9019678112957681E-4</v>
      </c>
    </row>
    <row r="174" spans="1:25" ht="15" customHeight="1" x14ac:dyDescent="0.25">
      <c r="A174" s="156" t="s">
        <v>86</v>
      </c>
      <c r="B174" s="157">
        <v>165</v>
      </c>
      <c r="C174" s="157">
        <v>100</v>
      </c>
      <c r="D174" s="216">
        <v>0.60606060606060608</v>
      </c>
      <c r="E174" s="217">
        <v>1.6202077922077922</v>
      </c>
      <c r="F174" s="217">
        <v>4.5333333333333332</v>
      </c>
      <c r="G174" s="157">
        <v>5440</v>
      </c>
      <c r="H174" s="157">
        <v>26441.791168831169</v>
      </c>
      <c r="I174" s="208">
        <v>2.5628234340500404E-3</v>
      </c>
      <c r="J174" s="157">
        <v>43</v>
      </c>
      <c r="K174" s="157">
        <v>27</v>
      </c>
      <c r="L174" s="216">
        <v>0.62790697674418605</v>
      </c>
      <c r="M174" s="217">
        <v>1.575641196013289</v>
      </c>
      <c r="N174" s="217">
        <v>4.5493821666666667</v>
      </c>
      <c r="O174" s="157">
        <v>1474</v>
      </c>
      <c r="P174" s="157">
        <v>2322.495122923588</v>
      </c>
      <c r="Q174" s="208">
        <v>2.9804304524023283E-3</v>
      </c>
      <c r="R174" s="157">
        <v>208</v>
      </c>
      <c r="S174" s="157">
        <v>127</v>
      </c>
      <c r="T174" s="216">
        <v>0.61057692307692313</v>
      </c>
      <c r="U174" s="217">
        <v>1.5979244941105406</v>
      </c>
      <c r="V174" s="217">
        <v>4.5367452900262464</v>
      </c>
      <c r="W174" s="157">
        <v>6914</v>
      </c>
      <c r="X174" s="157">
        <v>28764.286291754757</v>
      </c>
      <c r="Y174" s="208">
        <v>2.5921492434271497E-3</v>
      </c>
    </row>
    <row r="175" spans="1:25" ht="15" customHeight="1" x14ac:dyDescent="0.25">
      <c r="A175" s="155" t="s">
        <v>231</v>
      </c>
      <c r="B175" s="158">
        <v>165</v>
      </c>
      <c r="C175" s="158">
        <v>100</v>
      </c>
      <c r="D175" s="218">
        <v>0.60606060606060608</v>
      </c>
      <c r="E175" s="219">
        <v>1.6202077922077922</v>
      </c>
      <c r="F175" s="219">
        <v>4.5333333333333332</v>
      </c>
      <c r="G175" s="158">
        <v>5440</v>
      </c>
      <c r="H175" s="158">
        <v>26441.791168831169</v>
      </c>
      <c r="I175" s="209">
        <v>2.5628234340500404E-3</v>
      </c>
      <c r="J175" s="158">
        <v>43</v>
      </c>
      <c r="K175" s="158">
        <v>27</v>
      </c>
      <c r="L175" s="218">
        <v>0.62790697674418605</v>
      </c>
      <c r="M175" s="219">
        <v>1.575641196013289</v>
      </c>
      <c r="N175" s="219">
        <v>4.5493821666666667</v>
      </c>
      <c r="O175" s="158">
        <v>1474</v>
      </c>
      <c r="P175" s="158">
        <v>2322.495122923588</v>
      </c>
      <c r="Q175" s="209">
        <v>2.9804304524023283E-3</v>
      </c>
      <c r="R175" s="158">
        <v>208</v>
      </c>
      <c r="S175" s="158">
        <v>127</v>
      </c>
      <c r="T175" s="218">
        <v>0.61057692307692313</v>
      </c>
      <c r="U175" s="219">
        <v>1.5979244941105406</v>
      </c>
      <c r="V175" s="219">
        <v>4.5367452900262464</v>
      </c>
      <c r="W175" s="158">
        <v>6914</v>
      </c>
      <c r="X175" s="158">
        <v>28764.286291754757</v>
      </c>
      <c r="Y175" s="209">
        <v>2.5921492434271497E-3</v>
      </c>
    </row>
    <row r="176" spans="1:25" ht="15" customHeight="1" x14ac:dyDescent="0.25">
      <c r="A176" s="156" t="s">
        <v>87</v>
      </c>
      <c r="B176" s="157">
        <v>69</v>
      </c>
      <c r="C176" s="157">
        <v>61</v>
      </c>
      <c r="D176" s="216">
        <v>0.88405797101449279</v>
      </c>
      <c r="E176" s="217">
        <v>1.1311475409836067</v>
      </c>
      <c r="F176" s="217">
        <v>4.3346989166666665</v>
      </c>
      <c r="G176" s="157">
        <v>3173</v>
      </c>
      <c r="H176" s="157">
        <v>10767.393442622952</v>
      </c>
      <c r="I176" s="208">
        <v>1.0436103992425051E-3</v>
      </c>
      <c r="J176" s="157">
        <v>27</v>
      </c>
      <c r="K176" s="157">
        <v>20</v>
      </c>
      <c r="L176" s="216">
        <v>0.7407407407407407</v>
      </c>
      <c r="M176" s="217">
        <v>1.35</v>
      </c>
      <c r="N176" s="217">
        <v>4.3375000000000004</v>
      </c>
      <c r="O176" s="157">
        <v>1041</v>
      </c>
      <c r="P176" s="157">
        <v>1405.3500000000001</v>
      </c>
      <c r="Q176" s="208">
        <v>1.8034689911473366E-3</v>
      </c>
      <c r="R176" s="157">
        <v>96</v>
      </c>
      <c r="S176" s="157">
        <v>81</v>
      </c>
      <c r="T176" s="216">
        <v>0.84375</v>
      </c>
      <c r="U176" s="217">
        <v>1.2405737704918034</v>
      </c>
      <c r="V176" s="217">
        <v>4.3353905421810701</v>
      </c>
      <c r="W176" s="157">
        <v>4214</v>
      </c>
      <c r="X176" s="157">
        <v>12172.743442622952</v>
      </c>
      <c r="Y176" s="208">
        <v>1.0969702980001513E-3</v>
      </c>
    </row>
    <row r="177" spans="1:25" ht="15" customHeight="1" x14ac:dyDescent="0.25">
      <c r="A177" s="155" t="s">
        <v>235</v>
      </c>
      <c r="B177" s="158">
        <v>69</v>
      </c>
      <c r="C177" s="158">
        <v>61</v>
      </c>
      <c r="D177" s="218">
        <v>0.88405797101449279</v>
      </c>
      <c r="E177" s="219">
        <v>1.1311475409836067</v>
      </c>
      <c r="F177" s="219">
        <v>4.3346989166666665</v>
      </c>
      <c r="G177" s="158">
        <v>3173</v>
      </c>
      <c r="H177" s="158">
        <v>10767.393442622952</v>
      </c>
      <c r="I177" s="209">
        <v>1.0436103992425051E-3</v>
      </c>
      <c r="J177" s="158">
        <v>27</v>
      </c>
      <c r="K177" s="158">
        <v>20</v>
      </c>
      <c r="L177" s="218">
        <v>0.7407407407407407</v>
      </c>
      <c r="M177" s="219">
        <v>1.35</v>
      </c>
      <c r="N177" s="219">
        <v>4.3375000000000004</v>
      </c>
      <c r="O177" s="158">
        <v>1041</v>
      </c>
      <c r="P177" s="158">
        <v>1405.3500000000001</v>
      </c>
      <c r="Q177" s="209">
        <v>1.8034689911473366E-3</v>
      </c>
      <c r="R177" s="158">
        <v>96</v>
      </c>
      <c r="S177" s="158">
        <v>81</v>
      </c>
      <c r="T177" s="218">
        <v>0.84375</v>
      </c>
      <c r="U177" s="219">
        <v>1.2405737704918034</v>
      </c>
      <c r="V177" s="219">
        <v>4.3353905421810701</v>
      </c>
      <c r="W177" s="158">
        <v>4214</v>
      </c>
      <c r="X177" s="158">
        <v>12172.743442622952</v>
      </c>
      <c r="Y177" s="209">
        <v>1.0969702980001513E-3</v>
      </c>
    </row>
    <row r="178" spans="1:25" ht="15" customHeight="1" x14ac:dyDescent="0.25">
      <c r="A178" s="156" t="s">
        <v>88</v>
      </c>
      <c r="B178" s="157">
        <v>30</v>
      </c>
      <c r="C178" s="157">
        <v>15</v>
      </c>
      <c r="D178" s="216">
        <v>0.5</v>
      </c>
      <c r="E178" s="217">
        <v>1.8365714285714285</v>
      </c>
      <c r="F178" s="217">
        <v>4.1111107499999999</v>
      </c>
      <c r="G178" s="157">
        <v>740</v>
      </c>
      <c r="H178" s="157">
        <v>4077.1885714285713</v>
      </c>
      <c r="I178" s="208">
        <v>3.9517422814439545E-4</v>
      </c>
      <c r="J178" s="222"/>
      <c r="K178" s="222"/>
      <c r="L178" s="222"/>
      <c r="M178" s="222"/>
      <c r="N178" s="222"/>
      <c r="O178" s="222"/>
      <c r="P178" s="222"/>
      <c r="Q178" s="222"/>
      <c r="R178" s="157">
        <v>30</v>
      </c>
      <c r="S178" s="157">
        <v>15</v>
      </c>
      <c r="T178" s="216">
        <v>0.5</v>
      </c>
      <c r="U178" s="217">
        <v>1.8365714285714285</v>
      </c>
      <c r="V178" s="217">
        <v>4.1111107499999999</v>
      </c>
      <c r="W178" s="157">
        <v>740</v>
      </c>
      <c r="X178" s="157">
        <v>4077.1885714285713</v>
      </c>
      <c r="Y178" s="208">
        <v>3.6742372689316092E-4</v>
      </c>
    </row>
    <row r="179" spans="1:25" ht="15" customHeight="1" x14ac:dyDescent="0.25">
      <c r="A179" s="155" t="s">
        <v>234</v>
      </c>
      <c r="B179" s="158">
        <v>30</v>
      </c>
      <c r="C179" s="158">
        <v>15</v>
      </c>
      <c r="D179" s="218">
        <v>0.5</v>
      </c>
      <c r="E179" s="219">
        <v>1.8365714285714285</v>
      </c>
      <c r="F179" s="219">
        <v>4.1111107499999999</v>
      </c>
      <c r="G179" s="158">
        <v>740</v>
      </c>
      <c r="H179" s="158">
        <v>4077.1885714285713</v>
      </c>
      <c r="I179" s="209">
        <v>3.9517422814439545E-4</v>
      </c>
      <c r="J179" s="223"/>
      <c r="K179" s="223"/>
      <c r="L179" s="223"/>
      <c r="M179" s="223"/>
      <c r="N179" s="223"/>
      <c r="O179" s="223"/>
      <c r="P179" s="223"/>
      <c r="Q179" s="223"/>
      <c r="R179" s="158">
        <v>30</v>
      </c>
      <c r="S179" s="158">
        <v>15</v>
      </c>
      <c r="T179" s="218">
        <v>0.5</v>
      </c>
      <c r="U179" s="219">
        <v>1.8365714285714285</v>
      </c>
      <c r="V179" s="219">
        <v>4.1111107499999999</v>
      </c>
      <c r="W179" s="158">
        <v>740</v>
      </c>
      <c r="X179" s="158">
        <v>4077.1885714285713</v>
      </c>
      <c r="Y179" s="209">
        <v>3.6742372689316092E-4</v>
      </c>
    </row>
    <row r="180" spans="1:25" ht="15" customHeight="1" x14ac:dyDescent="0.25">
      <c r="A180" s="156" t="s">
        <v>89</v>
      </c>
      <c r="B180" s="157">
        <v>115</v>
      </c>
      <c r="C180" s="157">
        <v>80</v>
      </c>
      <c r="D180" s="216">
        <v>0.69565217391304346</v>
      </c>
      <c r="E180" s="217">
        <v>1.43744099378882</v>
      </c>
      <c r="F180" s="217">
        <v>4.59375</v>
      </c>
      <c r="G180" s="157">
        <v>4410</v>
      </c>
      <c r="H180" s="157">
        <v>19017.344347826089</v>
      </c>
      <c r="I180" s="208">
        <v>1.8432221719328478E-3</v>
      </c>
      <c r="J180" s="222"/>
      <c r="K180" s="222"/>
      <c r="L180" s="222"/>
      <c r="M180" s="222"/>
      <c r="N180" s="222"/>
      <c r="O180" s="222"/>
      <c r="P180" s="222"/>
      <c r="Q180" s="222"/>
      <c r="R180" s="157">
        <v>115</v>
      </c>
      <c r="S180" s="157">
        <v>80</v>
      </c>
      <c r="T180" s="216">
        <v>0.69565217391304346</v>
      </c>
      <c r="U180" s="217">
        <v>1.43744099378882</v>
      </c>
      <c r="V180" s="217">
        <v>4.59375</v>
      </c>
      <c r="W180" s="157">
        <v>4410</v>
      </c>
      <c r="X180" s="157">
        <v>19017.344347826089</v>
      </c>
      <c r="Y180" s="208">
        <v>1.7137847351123589E-3</v>
      </c>
    </row>
    <row r="181" spans="1:25" ht="15" customHeight="1" x14ac:dyDescent="0.25">
      <c r="A181" s="155" t="s">
        <v>229</v>
      </c>
      <c r="B181" s="158">
        <v>115</v>
      </c>
      <c r="C181" s="158">
        <v>80</v>
      </c>
      <c r="D181" s="218">
        <v>0.69565217391304346</v>
      </c>
      <c r="E181" s="219">
        <v>1.43744099378882</v>
      </c>
      <c r="F181" s="219">
        <v>4.59375</v>
      </c>
      <c r="G181" s="158">
        <v>4410</v>
      </c>
      <c r="H181" s="158">
        <v>19017.344347826089</v>
      </c>
      <c r="I181" s="209">
        <v>1.8432221719328478E-3</v>
      </c>
      <c r="J181" s="223"/>
      <c r="K181" s="223"/>
      <c r="L181" s="223"/>
      <c r="M181" s="223"/>
      <c r="N181" s="223"/>
      <c r="O181" s="223"/>
      <c r="P181" s="223"/>
      <c r="Q181" s="223"/>
      <c r="R181" s="158">
        <v>115</v>
      </c>
      <c r="S181" s="158">
        <v>80</v>
      </c>
      <c r="T181" s="218">
        <v>0.69565217391304346</v>
      </c>
      <c r="U181" s="219">
        <v>1.43744099378882</v>
      </c>
      <c r="V181" s="219">
        <v>4.59375</v>
      </c>
      <c r="W181" s="158">
        <v>4410</v>
      </c>
      <c r="X181" s="158">
        <v>19017.344347826089</v>
      </c>
      <c r="Y181" s="209">
        <v>1.7137847351123589E-3</v>
      </c>
    </row>
    <row r="182" spans="1:25" ht="15" customHeight="1" x14ac:dyDescent="0.25">
      <c r="A182" s="156" t="s">
        <v>90</v>
      </c>
      <c r="B182" s="157">
        <v>708</v>
      </c>
      <c r="C182" s="157">
        <v>407</v>
      </c>
      <c r="D182" s="216">
        <v>0.57485875706214684</v>
      </c>
      <c r="E182" s="217">
        <v>1.683859564164649</v>
      </c>
      <c r="F182" s="217">
        <v>4.367321416666667</v>
      </c>
      <c r="G182" s="157">
        <v>21330</v>
      </c>
      <c r="H182" s="157">
        <v>107750.17351089588</v>
      </c>
      <c r="I182" s="208">
        <v>1.044349332968764E-2</v>
      </c>
      <c r="J182" s="157">
        <v>254</v>
      </c>
      <c r="K182" s="157">
        <v>121</v>
      </c>
      <c r="L182" s="216">
        <v>0.4763779527559055</v>
      </c>
      <c r="M182" s="217">
        <v>1.8847604049493814</v>
      </c>
      <c r="N182" s="217">
        <v>4.2355368333333336</v>
      </c>
      <c r="O182" s="157">
        <v>6150</v>
      </c>
      <c r="P182" s="157">
        <v>11591.276490438695</v>
      </c>
      <c r="Q182" s="208">
        <v>1.487494767731975E-2</v>
      </c>
      <c r="R182" s="157">
        <v>962</v>
      </c>
      <c r="S182" s="157">
        <v>528</v>
      </c>
      <c r="T182" s="216">
        <v>0.54885654885654889</v>
      </c>
      <c r="U182" s="217">
        <v>1.7843099845570152</v>
      </c>
      <c r="V182" s="217">
        <v>4.337120782986112</v>
      </c>
      <c r="W182" s="157">
        <v>27480</v>
      </c>
      <c r="X182" s="157">
        <v>119341.45000133458</v>
      </c>
      <c r="Y182" s="208">
        <v>1.0754685382864287E-2</v>
      </c>
    </row>
    <row r="183" spans="1:25" ht="15" customHeight="1" x14ac:dyDescent="0.25">
      <c r="A183" s="155" t="s">
        <v>228</v>
      </c>
      <c r="B183" s="158">
        <v>708</v>
      </c>
      <c r="C183" s="158">
        <v>407</v>
      </c>
      <c r="D183" s="218">
        <v>0.57485875706214684</v>
      </c>
      <c r="E183" s="219">
        <v>1.683859564164649</v>
      </c>
      <c r="F183" s="219">
        <v>4.367321416666667</v>
      </c>
      <c r="G183" s="158">
        <v>21330</v>
      </c>
      <c r="H183" s="158">
        <v>107750.17351089588</v>
      </c>
      <c r="I183" s="209">
        <v>1.044349332968764E-2</v>
      </c>
      <c r="J183" s="158">
        <v>254</v>
      </c>
      <c r="K183" s="158">
        <v>121</v>
      </c>
      <c r="L183" s="218">
        <v>0.4763779527559055</v>
      </c>
      <c r="M183" s="219">
        <v>1.8847604049493814</v>
      </c>
      <c r="N183" s="219">
        <v>4.2355368333333336</v>
      </c>
      <c r="O183" s="158">
        <v>6150</v>
      </c>
      <c r="P183" s="158">
        <v>11591.276490438695</v>
      </c>
      <c r="Q183" s="209">
        <v>1.487494767731975E-2</v>
      </c>
      <c r="R183" s="158">
        <v>962</v>
      </c>
      <c r="S183" s="158">
        <v>528</v>
      </c>
      <c r="T183" s="218">
        <v>0.54885654885654889</v>
      </c>
      <c r="U183" s="219">
        <v>1.7843099845570152</v>
      </c>
      <c r="V183" s="219">
        <v>4.337120782986112</v>
      </c>
      <c r="W183" s="158">
        <v>27480</v>
      </c>
      <c r="X183" s="158">
        <v>119341.45000133458</v>
      </c>
      <c r="Y183" s="209">
        <v>1.0754685382864287E-2</v>
      </c>
    </row>
    <row r="184" spans="1:25" ht="15" customHeight="1" x14ac:dyDescent="0.25">
      <c r="A184" s="156" t="s">
        <v>91</v>
      </c>
      <c r="B184" s="157">
        <v>69</v>
      </c>
      <c r="C184" s="157">
        <v>63</v>
      </c>
      <c r="D184" s="216">
        <v>0.91304347826086951</v>
      </c>
      <c r="E184" s="217">
        <v>1.0952380952380953</v>
      </c>
      <c r="F184" s="217">
        <v>4.4550259166666661</v>
      </c>
      <c r="G184" s="157">
        <v>3368</v>
      </c>
      <c r="H184" s="157">
        <v>11066.285714285716</v>
      </c>
      <c r="I184" s="208">
        <v>1.0725799994175768E-3</v>
      </c>
      <c r="J184" s="222"/>
      <c r="K184" s="222"/>
      <c r="L184" s="222"/>
      <c r="M184" s="222"/>
      <c r="N184" s="222"/>
      <c r="O184" s="222"/>
      <c r="P184" s="222"/>
      <c r="Q184" s="222"/>
      <c r="R184" s="157">
        <v>69</v>
      </c>
      <c r="S184" s="157">
        <v>63</v>
      </c>
      <c r="T184" s="216">
        <v>0.91304347826086951</v>
      </c>
      <c r="U184" s="217">
        <v>1.0952380952380953</v>
      </c>
      <c r="V184" s="217">
        <v>4.4550259166666661</v>
      </c>
      <c r="W184" s="157">
        <v>3368</v>
      </c>
      <c r="X184" s="157">
        <v>11066.285714285716</v>
      </c>
      <c r="Y184" s="208">
        <v>9.9725972168678641E-4</v>
      </c>
    </row>
    <row r="185" spans="1:25" ht="15" customHeight="1" x14ac:dyDescent="0.25">
      <c r="A185" s="155" t="s">
        <v>227</v>
      </c>
      <c r="B185" s="158">
        <v>69</v>
      </c>
      <c r="C185" s="158">
        <v>63</v>
      </c>
      <c r="D185" s="218">
        <v>0.91304347826086951</v>
      </c>
      <c r="E185" s="219">
        <v>1.0952380952380953</v>
      </c>
      <c r="F185" s="219">
        <v>4.4550259166666661</v>
      </c>
      <c r="G185" s="158">
        <v>3368</v>
      </c>
      <c r="H185" s="158">
        <v>11066.285714285716</v>
      </c>
      <c r="I185" s="209">
        <v>1.0725799994175768E-3</v>
      </c>
      <c r="J185" s="223"/>
      <c r="K185" s="223"/>
      <c r="L185" s="223"/>
      <c r="M185" s="223"/>
      <c r="N185" s="223"/>
      <c r="O185" s="223"/>
      <c r="P185" s="223"/>
      <c r="Q185" s="223"/>
      <c r="R185" s="158">
        <v>69</v>
      </c>
      <c r="S185" s="158">
        <v>63</v>
      </c>
      <c r="T185" s="218">
        <v>0.91304347826086951</v>
      </c>
      <c r="U185" s="219">
        <v>1.0952380952380953</v>
      </c>
      <c r="V185" s="219">
        <v>4.4550259166666661</v>
      </c>
      <c r="W185" s="158">
        <v>3368</v>
      </c>
      <c r="X185" s="158">
        <v>11066.285714285716</v>
      </c>
      <c r="Y185" s="209">
        <v>9.9725972168678641E-4</v>
      </c>
    </row>
    <row r="186" spans="1:25" ht="15" customHeight="1" x14ac:dyDescent="0.25">
      <c r="A186" s="156" t="s">
        <v>436</v>
      </c>
      <c r="B186" s="157">
        <v>1047</v>
      </c>
      <c r="C186" s="157">
        <v>624</v>
      </c>
      <c r="D186" s="216">
        <v>0.59598853868194845</v>
      </c>
      <c r="E186" s="217">
        <v>1.6407548096602538</v>
      </c>
      <c r="F186" s="217">
        <v>4.469150083333334</v>
      </c>
      <c r="G186" s="157">
        <v>33465</v>
      </c>
      <c r="H186" s="157">
        <v>164723.57911584119</v>
      </c>
      <c r="I186" s="208">
        <v>1.5965539021286154E-2</v>
      </c>
      <c r="J186" s="157">
        <v>8</v>
      </c>
      <c r="K186" s="157">
        <v>6</v>
      </c>
      <c r="L186" s="216">
        <v>0.75</v>
      </c>
      <c r="M186" s="217">
        <v>1.3333333333333333</v>
      </c>
      <c r="N186" s="217">
        <v>4.7361108333333339</v>
      </c>
      <c r="O186" s="157">
        <v>341</v>
      </c>
      <c r="P186" s="157">
        <v>454.66666666666663</v>
      </c>
      <c r="Q186" s="208">
        <v>5.8346834215082044E-4</v>
      </c>
      <c r="R186" s="157">
        <v>1055</v>
      </c>
      <c r="S186" s="157">
        <v>630</v>
      </c>
      <c r="T186" s="216">
        <v>0.59715639810426535</v>
      </c>
      <c r="U186" s="217">
        <v>1.4870440714967934</v>
      </c>
      <c r="V186" s="217">
        <v>4.4716925666666665</v>
      </c>
      <c r="W186" s="157">
        <v>33806</v>
      </c>
      <c r="X186" s="157">
        <v>165178.24578250785</v>
      </c>
      <c r="Y186" s="208">
        <v>1.4885356809930129E-2</v>
      </c>
    </row>
    <row r="187" spans="1:25" ht="15" customHeight="1" x14ac:dyDescent="0.25">
      <c r="A187" s="155" t="s">
        <v>250</v>
      </c>
      <c r="B187" s="158">
        <v>1047</v>
      </c>
      <c r="C187" s="158">
        <v>624</v>
      </c>
      <c r="D187" s="218">
        <v>0.59598853868194845</v>
      </c>
      <c r="E187" s="219">
        <v>1.6407548096602538</v>
      </c>
      <c r="F187" s="219">
        <v>4.469150083333334</v>
      </c>
      <c r="G187" s="158">
        <v>33465</v>
      </c>
      <c r="H187" s="158">
        <v>164723.57911584119</v>
      </c>
      <c r="I187" s="209">
        <v>1.5965539021286154E-2</v>
      </c>
      <c r="J187" s="158">
        <v>8</v>
      </c>
      <c r="K187" s="158">
        <v>6</v>
      </c>
      <c r="L187" s="218">
        <v>0.75</v>
      </c>
      <c r="M187" s="219">
        <v>1.3333333333333333</v>
      </c>
      <c r="N187" s="219">
        <v>4.7361108333333339</v>
      </c>
      <c r="O187" s="158">
        <v>341</v>
      </c>
      <c r="P187" s="158">
        <v>454.66666666666663</v>
      </c>
      <c r="Q187" s="209">
        <v>5.8346834215082044E-4</v>
      </c>
      <c r="R187" s="158">
        <v>1055</v>
      </c>
      <c r="S187" s="158">
        <v>630</v>
      </c>
      <c r="T187" s="218">
        <v>0.59715639810426535</v>
      </c>
      <c r="U187" s="219">
        <v>1.4870440714967934</v>
      </c>
      <c r="V187" s="219">
        <v>4.4716925666666665</v>
      </c>
      <c r="W187" s="158">
        <v>33806</v>
      </c>
      <c r="X187" s="158">
        <v>165178.24578250785</v>
      </c>
      <c r="Y187" s="209">
        <v>1.4885356809930129E-2</v>
      </c>
    </row>
    <row r="188" spans="1:25" ht="15" customHeight="1" x14ac:dyDescent="0.25">
      <c r="A188" s="156" t="s">
        <v>529</v>
      </c>
      <c r="B188" s="157">
        <v>19</v>
      </c>
      <c r="C188" s="157">
        <v>11</v>
      </c>
      <c r="D188" s="216">
        <v>0.57894736842105265</v>
      </c>
      <c r="E188" s="217">
        <v>1.6755187969924812</v>
      </c>
      <c r="F188" s="217">
        <v>4.4242419166666673</v>
      </c>
      <c r="G188" s="157">
        <v>584</v>
      </c>
      <c r="H188" s="157">
        <v>2935.5089323308271</v>
      </c>
      <c r="I188" s="208">
        <v>2.8451896600366398E-4</v>
      </c>
      <c r="J188" s="222"/>
      <c r="K188" s="222"/>
      <c r="L188" s="222"/>
      <c r="M188" s="222"/>
      <c r="N188" s="222"/>
      <c r="O188" s="222"/>
      <c r="P188" s="222"/>
      <c r="Q188" s="222"/>
      <c r="R188" s="157">
        <v>19</v>
      </c>
      <c r="S188" s="157">
        <v>11</v>
      </c>
      <c r="T188" s="216">
        <v>0.57894736842105265</v>
      </c>
      <c r="U188" s="217">
        <v>1.6755187969924812</v>
      </c>
      <c r="V188" s="217">
        <v>4.4242419166666673</v>
      </c>
      <c r="W188" s="157">
        <v>584</v>
      </c>
      <c r="X188" s="157">
        <v>2935.5089323308271</v>
      </c>
      <c r="Y188" s="208">
        <v>2.6453906002862248E-4</v>
      </c>
    </row>
    <row r="189" spans="1:25" ht="15" customHeight="1" x14ac:dyDescent="0.25">
      <c r="A189" s="155" t="s">
        <v>226</v>
      </c>
      <c r="B189" s="158">
        <v>19</v>
      </c>
      <c r="C189" s="158">
        <v>11</v>
      </c>
      <c r="D189" s="218">
        <v>0.57894736842105265</v>
      </c>
      <c r="E189" s="219">
        <v>1.6755187969924812</v>
      </c>
      <c r="F189" s="219">
        <v>4.4242419166666673</v>
      </c>
      <c r="G189" s="158">
        <v>584</v>
      </c>
      <c r="H189" s="158">
        <v>2935.5089323308271</v>
      </c>
      <c r="I189" s="209">
        <v>2.8451896600366398E-4</v>
      </c>
      <c r="J189" s="223"/>
      <c r="K189" s="223"/>
      <c r="L189" s="223"/>
      <c r="M189" s="223"/>
      <c r="N189" s="223"/>
      <c r="O189" s="223"/>
      <c r="P189" s="223"/>
      <c r="Q189" s="223"/>
      <c r="R189" s="158">
        <v>19</v>
      </c>
      <c r="S189" s="158">
        <v>11</v>
      </c>
      <c r="T189" s="218">
        <v>0.57894736842105265</v>
      </c>
      <c r="U189" s="219">
        <v>1.6755187969924812</v>
      </c>
      <c r="V189" s="219">
        <v>4.4242419166666673</v>
      </c>
      <c r="W189" s="158">
        <v>584</v>
      </c>
      <c r="X189" s="158">
        <v>2935.5089323308271</v>
      </c>
      <c r="Y189" s="209">
        <v>2.6453906002862248E-4</v>
      </c>
    </row>
    <row r="190" spans="1:25" ht="15" customHeight="1" x14ac:dyDescent="0.25">
      <c r="A190" s="156" t="s">
        <v>93</v>
      </c>
      <c r="B190" s="157">
        <v>33</v>
      </c>
      <c r="C190" s="157">
        <v>17</v>
      </c>
      <c r="D190" s="216">
        <v>0.51515151515151514</v>
      </c>
      <c r="E190" s="217">
        <v>1.8056623376623377</v>
      </c>
      <c r="F190" s="217">
        <v>4.4950974166666668</v>
      </c>
      <c r="G190" s="157">
        <v>917</v>
      </c>
      <c r="H190" s="157">
        <v>4967.3770909090908</v>
      </c>
      <c r="I190" s="208">
        <v>4.8145416220333434E-4</v>
      </c>
      <c r="J190" s="222"/>
      <c r="K190" s="222"/>
      <c r="L190" s="222"/>
      <c r="M190" s="222"/>
      <c r="N190" s="222"/>
      <c r="O190" s="222"/>
      <c r="P190" s="222"/>
      <c r="Q190" s="222"/>
      <c r="R190" s="157">
        <v>33</v>
      </c>
      <c r="S190" s="157">
        <v>17</v>
      </c>
      <c r="T190" s="216">
        <v>0.51515151515151514</v>
      </c>
      <c r="U190" s="217">
        <v>1.8056623376623377</v>
      </c>
      <c r="V190" s="217">
        <v>4.4950974166666668</v>
      </c>
      <c r="W190" s="157">
        <v>917</v>
      </c>
      <c r="X190" s="157">
        <v>4967.3770909090908</v>
      </c>
      <c r="Y190" s="208">
        <v>4.4764478553073976E-4</v>
      </c>
    </row>
    <row r="191" spans="1:25" ht="15" customHeight="1" x14ac:dyDescent="0.25">
      <c r="A191" s="155" t="s">
        <v>225</v>
      </c>
      <c r="B191" s="158">
        <v>33</v>
      </c>
      <c r="C191" s="158">
        <v>17</v>
      </c>
      <c r="D191" s="218">
        <v>0.51515151515151514</v>
      </c>
      <c r="E191" s="219">
        <v>1.8056623376623377</v>
      </c>
      <c r="F191" s="219">
        <v>4.4950974166666668</v>
      </c>
      <c r="G191" s="158">
        <v>917</v>
      </c>
      <c r="H191" s="158">
        <v>4967.3770909090908</v>
      </c>
      <c r="I191" s="209">
        <v>4.8145416220333434E-4</v>
      </c>
      <c r="J191" s="223"/>
      <c r="K191" s="223"/>
      <c r="L191" s="223"/>
      <c r="M191" s="223"/>
      <c r="N191" s="223"/>
      <c r="O191" s="223"/>
      <c r="P191" s="223"/>
      <c r="Q191" s="223"/>
      <c r="R191" s="158">
        <v>33</v>
      </c>
      <c r="S191" s="158">
        <v>17</v>
      </c>
      <c r="T191" s="218">
        <v>0.51515151515151514</v>
      </c>
      <c r="U191" s="219">
        <v>1.8056623376623377</v>
      </c>
      <c r="V191" s="219">
        <v>4.4950974166666668</v>
      </c>
      <c r="W191" s="158">
        <v>917</v>
      </c>
      <c r="X191" s="158">
        <v>4967.3770909090908</v>
      </c>
      <c r="Y191" s="209">
        <v>4.4764478553073976E-4</v>
      </c>
    </row>
    <row r="192" spans="1:25" ht="15" customHeight="1" x14ac:dyDescent="0.25">
      <c r="A192" s="156" t="s">
        <v>94</v>
      </c>
      <c r="B192" s="157">
        <v>1162</v>
      </c>
      <c r="C192" s="157">
        <v>700</v>
      </c>
      <c r="D192" s="216">
        <v>0.60240963855421692</v>
      </c>
      <c r="E192" s="217">
        <v>1.6276557659208262</v>
      </c>
      <c r="F192" s="217">
        <v>4.3083328333333339</v>
      </c>
      <c r="G192" s="157">
        <v>36190</v>
      </c>
      <c r="H192" s="157">
        <v>176714.58650602409</v>
      </c>
      <c r="I192" s="208">
        <v>1.7127746019337503E-2</v>
      </c>
      <c r="J192" s="157">
        <v>308</v>
      </c>
      <c r="K192" s="157">
        <v>142</v>
      </c>
      <c r="L192" s="216">
        <v>0.46103896103896103</v>
      </c>
      <c r="M192" s="217">
        <v>1.916051948051948</v>
      </c>
      <c r="N192" s="217">
        <v>4.242957333333333</v>
      </c>
      <c r="O192" s="157">
        <v>7230</v>
      </c>
      <c r="P192" s="157">
        <v>13853.055584415584</v>
      </c>
      <c r="Q192" s="208">
        <v>1.7777461969711424E-2</v>
      </c>
      <c r="R192" s="157">
        <v>1470</v>
      </c>
      <c r="S192" s="157">
        <v>842</v>
      </c>
      <c r="T192" s="216">
        <v>0.57278911564625845</v>
      </c>
      <c r="U192" s="217">
        <v>1.7718538569863871</v>
      </c>
      <c r="V192" s="217">
        <v>4.2973075114806019</v>
      </c>
      <c r="W192" s="157">
        <v>43420</v>
      </c>
      <c r="X192" s="157">
        <v>190567.64209043968</v>
      </c>
      <c r="Y192" s="208">
        <v>1.7173371320811381E-2</v>
      </c>
    </row>
    <row r="193" spans="1:25" ht="15" customHeight="1" x14ac:dyDescent="0.25">
      <c r="A193" s="155" t="s">
        <v>224</v>
      </c>
      <c r="B193" s="158">
        <v>1162</v>
      </c>
      <c r="C193" s="158">
        <v>700</v>
      </c>
      <c r="D193" s="218">
        <v>0.60240963855421692</v>
      </c>
      <c r="E193" s="219">
        <v>1.6276557659208262</v>
      </c>
      <c r="F193" s="219">
        <v>4.3083328333333339</v>
      </c>
      <c r="G193" s="158">
        <v>36190</v>
      </c>
      <c r="H193" s="158">
        <v>176714.58650602409</v>
      </c>
      <c r="I193" s="209">
        <v>1.7127746019337503E-2</v>
      </c>
      <c r="J193" s="158">
        <v>308</v>
      </c>
      <c r="K193" s="158">
        <v>142</v>
      </c>
      <c r="L193" s="218">
        <v>0.46103896103896103</v>
      </c>
      <c r="M193" s="219">
        <v>1.916051948051948</v>
      </c>
      <c r="N193" s="219">
        <v>4.242957333333333</v>
      </c>
      <c r="O193" s="158">
        <v>7230</v>
      </c>
      <c r="P193" s="158">
        <v>13853.055584415584</v>
      </c>
      <c r="Q193" s="209">
        <v>1.7777461969711424E-2</v>
      </c>
      <c r="R193" s="158">
        <v>1470</v>
      </c>
      <c r="S193" s="158">
        <v>842</v>
      </c>
      <c r="T193" s="218">
        <v>0.57278911564625845</v>
      </c>
      <c r="U193" s="219">
        <v>1.7718538569863871</v>
      </c>
      <c r="V193" s="219">
        <v>4.2973075114806019</v>
      </c>
      <c r="W193" s="158">
        <v>43420</v>
      </c>
      <c r="X193" s="158">
        <v>190567.64209043968</v>
      </c>
      <c r="Y193" s="209">
        <v>1.7173371320811381E-2</v>
      </c>
    </row>
    <row r="194" spans="1:25" ht="15" customHeight="1" x14ac:dyDescent="0.25">
      <c r="A194" s="156" t="s">
        <v>95</v>
      </c>
      <c r="B194" s="157">
        <v>891</v>
      </c>
      <c r="C194" s="157">
        <v>497</v>
      </c>
      <c r="D194" s="216">
        <v>0.55780022446689115</v>
      </c>
      <c r="E194" s="217">
        <v>1.7186589706589706</v>
      </c>
      <c r="F194" s="217">
        <v>4.4522129166666664</v>
      </c>
      <c r="G194" s="157">
        <v>26553</v>
      </c>
      <c r="H194" s="157">
        <v>136906.65494372294</v>
      </c>
      <c r="I194" s="208">
        <v>1.3269433274277148E-2</v>
      </c>
      <c r="J194" s="157">
        <v>339</v>
      </c>
      <c r="K194" s="157">
        <v>120</v>
      </c>
      <c r="L194" s="216">
        <v>0.35398230088495575</v>
      </c>
      <c r="M194" s="217">
        <v>2.1344475347661187</v>
      </c>
      <c r="N194" s="217">
        <v>4.2999997499999996</v>
      </c>
      <c r="O194" s="157">
        <v>6192</v>
      </c>
      <c r="P194" s="157">
        <v>13216.499135271806</v>
      </c>
      <c r="Q194" s="208">
        <v>1.6960576626454824E-2</v>
      </c>
      <c r="R194" s="157">
        <v>1230</v>
      </c>
      <c r="S194" s="157">
        <v>617</v>
      </c>
      <c r="T194" s="216">
        <v>0.50162601626016257</v>
      </c>
      <c r="U194" s="217">
        <v>1.9265532527125446</v>
      </c>
      <c r="V194" s="217">
        <v>4.4226090592922738</v>
      </c>
      <c r="W194" s="157">
        <v>32745</v>
      </c>
      <c r="X194" s="157">
        <v>150123.15407899476</v>
      </c>
      <c r="Y194" s="208">
        <v>1.352863812853617E-2</v>
      </c>
    </row>
    <row r="195" spans="1:25" ht="15" customHeight="1" x14ac:dyDescent="0.25">
      <c r="A195" s="155" t="s">
        <v>222</v>
      </c>
      <c r="B195" s="158">
        <v>891</v>
      </c>
      <c r="C195" s="158">
        <v>497</v>
      </c>
      <c r="D195" s="218">
        <v>0.55780022446689115</v>
      </c>
      <c r="E195" s="219">
        <v>1.7186589706589706</v>
      </c>
      <c r="F195" s="219">
        <v>4.4522129166666664</v>
      </c>
      <c r="G195" s="158">
        <v>26553</v>
      </c>
      <c r="H195" s="158">
        <v>136906.65494372294</v>
      </c>
      <c r="I195" s="209">
        <v>1.3269433274277148E-2</v>
      </c>
      <c r="J195" s="158">
        <v>339</v>
      </c>
      <c r="K195" s="158">
        <v>120</v>
      </c>
      <c r="L195" s="218">
        <v>0.35398230088495575</v>
      </c>
      <c r="M195" s="219">
        <v>2.1344475347661187</v>
      </c>
      <c r="N195" s="219">
        <v>4.2999997499999996</v>
      </c>
      <c r="O195" s="158">
        <v>6192</v>
      </c>
      <c r="P195" s="158">
        <v>13216.499135271806</v>
      </c>
      <c r="Q195" s="209">
        <v>1.6960576626454824E-2</v>
      </c>
      <c r="R195" s="158">
        <v>1230</v>
      </c>
      <c r="S195" s="158">
        <v>617</v>
      </c>
      <c r="T195" s="218">
        <v>0.50162601626016257</v>
      </c>
      <c r="U195" s="219">
        <v>1.9265532527125446</v>
      </c>
      <c r="V195" s="219">
        <v>4.4226090592922738</v>
      </c>
      <c r="W195" s="158">
        <v>32745</v>
      </c>
      <c r="X195" s="158">
        <v>150123.15407899476</v>
      </c>
      <c r="Y195" s="209">
        <v>1.352863812853617E-2</v>
      </c>
    </row>
    <row r="196" spans="1:25" ht="15" customHeight="1" x14ac:dyDescent="0.25">
      <c r="A196" s="156" t="s">
        <v>96</v>
      </c>
      <c r="B196" s="157">
        <v>1551</v>
      </c>
      <c r="C196" s="157">
        <v>609</v>
      </c>
      <c r="D196" s="216">
        <v>0.39264990328820115</v>
      </c>
      <c r="E196" s="217">
        <v>2.0555656258634984</v>
      </c>
      <c r="F196" s="217">
        <v>4.1396473333333335</v>
      </c>
      <c r="G196" s="157">
        <v>31120</v>
      </c>
      <c r="H196" s="157">
        <v>191907.60683061622</v>
      </c>
      <c r="I196" s="208">
        <v>1.8600302408322267E-2</v>
      </c>
      <c r="J196" s="157">
        <v>312</v>
      </c>
      <c r="K196" s="157">
        <v>60</v>
      </c>
      <c r="L196" s="216">
        <v>0.19230769230769232</v>
      </c>
      <c r="M196" s="217">
        <v>2.4485709999999998</v>
      </c>
      <c r="N196" s="217">
        <v>4.0166663333333341</v>
      </c>
      <c r="O196" s="157">
        <v>2892</v>
      </c>
      <c r="P196" s="157">
        <v>7081.2673319999994</v>
      </c>
      <c r="Q196" s="208">
        <v>9.0873064014563125E-3</v>
      </c>
      <c r="R196" s="157">
        <v>1863</v>
      </c>
      <c r="S196" s="157">
        <v>669</v>
      </c>
      <c r="T196" s="216">
        <v>0.35909822866344604</v>
      </c>
      <c r="U196" s="217">
        <v>2.2520683129317494</v>
      </c>
      <c r="V196" s="217">
        <v>4.1338735774647883</v>
      </c>
      <c r="W196" s="157">
        <v>34012</v>
      </c>
      <c r="X196" s="157">
        <v>198988.87416261621</v>
      </c>
      <c r="Y196" s="208">
        <v>1.7932266922225073E-2</v>
      </c>
    </row>
    <row r="197" spans="1:25" ht="15" customHeight="1" x14ac:dyDescent="0.25">
      <c r="A197" s="155" t="s">
        <v>221</v>
      </c>
      <c r="B197" s="158">
        <v>1551</v>
      </c>
      <c r="C197" s="158">
        <v>609</v>
      </c>
      <c r="D197" s="218">
        <v>0.39264990328820115</v>
      </c>
      <c r="E197" s="219">
        <v>2.0555656258634984</v>
      </c>
      <c r="F197" s="219">
        <v>4.1396473333333335</v>
      </c>
      <c r="G197" s="158">
        <v>31120</v>
      </c>
      <c r="H197" s="158">
        <v>191907.60683061622</v>
      </c>
      <c r="I197" s="209">
        <v>1.8600302408322267E-2</v>
      </c>
      <c r="J197" s="158">
        <v>312</v>
      </c>
      <c r="K197" s="158">
        <v>60</v>
      </c>
      <c r="L197" s="218">
        <v>0.19230769230769232</v>
      </c>
      <c r="M197" s="219">
        <v>2.4485709999999998</v>
      </c>
      <c r="N197" s="219">
        <v>4.0166663333333341</v>
      </c>
      <c r="O197" s="158">
        <v>2892</v>
      </c>
      <c r="P197" s="158">
        <v>7081.2673319999994</v>
      </c>
      <c r="Q197" s="209">
        <v>9.0873064014563125E-3</v>
      </c>
      <c r="R197" s="158">
        <v>1863</v>
      </c>
      <c r="S197" s="158">
        <v>669</v>
      </c>
      <c r="T197" s="218">
        <v>0.35909822866344604</v>
      </c>
      <c r="U197" s="219">
        <v>2.2520683129317494</v>
      </c>
      <c r="V197" s="219">
        <v>4.1338735774647883</v>
      </c>
      <c r="W197" s="158">
        <v>34012</v>
      </c>
      <c r="X197" s="158">
        <v>198988.87416261621</v>
      </c>
      <c r="Y197" s="209">
        <v>1.7932266922225073E-2</v>
      </c>
    </row>
    <row r="198" spans="1:25" ht="15" customHeight="1" x14ac:dyDescent="0.25">
      <c r="A198" s="156" t="s">
        <v>97</v>
      </c>
      <c r="B198" s="157">
        <v>1325</v>
      </c>
      <c r="C198" s="157">
        <v>818</v>
      </c>
      <c r="D198" s="216">
        <v>0.61735849056603775</v>
      </c>
      <c r="E198" s="217">
        <v>1.5971601078167117</v>
      </c>
      <c r="F198" s="217">
        <v>4.4052563333333339</v>
      </c>
      <c r="G198" s="157">
        <v>43242</v>
      </c>
      <c r="H198" s="157">
        <v>207193.19214663075</v>
      </c>
      <c r="I198" s="208">
        <v>2.0081830493954785E-2</v>
      </c>
      <c r="J198" s="157">
        <v>293</v>
      </c>
      <c r="K198" s="157">
        <v>72</v>
      </c>
      <c r="L198" s="216">
        <v>0.24573378839590443</v>
      </c>
      <c r="M198" s="217">
        <v>2.3552745002437834</v>
      </c>
      <c r="N198" s="217">
        <v>4.5092588333333339</v>
      </c>
      <c r="O198" s="157">
        <v>3896</v>
      </c>
      <c r="P198" s="157">
        <v>9176.1494529497795</v>
      </c>
      <c r="Q198" s="208">
        <v>1.1775643787333064E-2</v>
      </c>
      <c r="R198" s="157">
        <v>1618</v>
      </c>
      <c r="S198" s="157">
        <v>890</v>
      </c>
      <c r="T198" s="216">
        <v>0.55006180469715693</v>
      </c>
      <c r="U198" s="217">
        <v>1.9762173040302475</v>
      </c>
      <c r="V198" s="217">
        <v>4.4136700187265916</v>
      </c>
      <c r="W198" s="157">
        <v>47138</v>
      </c>
      <c r="X198" s="157">
        <v>216369.34159958054</v>
      </c>
      <c r="Y198" s="208">
        <v>1.9498541331406282E-2</v>
      </c>
    </row>
    <row r="199" spans="1:25" ht="15" customHeight="1" x14ac:dyDescent="0.25">
      <c r="A199" s="155" t="s">
        <v>220</v>
      </c>
      <c r="B199" s="158">
        <v>1325</v>
      </c>
      <c r="C199" s="158">
        <v>818</v>
      </c>
      <c r="D199" s="218">
        <v>0.61735849056603775</v>
      </c>
      <c r="E199" s="219">
        <v>1.5971601078167117</v>
      </c>
      <c r="F199" s="219">
        <v>4.4052563333333339</v>
      </c>
      <c r="G199" s="158">
        <v>43242</v>
      </c>
      <c r="H199" s="158">
        <v>207193.19214663075</v>
      </c>
      <c r="I199" s="209">
        <v>2.0081830493954785E-2</v>
      </c>
      <c r="J199" s="158">
        <v>293</v>
      </c>
      <c r="K199" s="158">
        <v>72</v>
      </c>
      <c r="L199" s="218">
        <v>0.24573378839590443</v>
      </c>
      <c r="M199" s="219">
        <v>2.3552745002437834</v>
      </c>
      <c r="N199" s="219">
        <v>4.5092588333333339</v>
      </c>
      <c r="O199" s="158">
        <v>3896</v>
      </c>
      <c r="P199" s="158">
        <v>9176.1494529497795</v>
      </c>
      <c r="Q199" s="209">
        <v>1.1775643787333064E-2</v>
      </c>
      <c r="R199" s="158">
        <v>1618</v>
      </c>
      <c r="S199" s="158">
        <v>890</v>
      </c>
      <c r="T199" s="218">
        <v>0.55006180469715693</v>
      </c>
      <c r="U199" s="219">
        <v>1.9762173040302475</v>
      </c>
      <c r="V199" s="219">
        <v>4.4136700187265916</v>
      </c>
      <c r="W199" s="158">
        <v>47138</v>
      </c>
      <c r="X199" s="158">
        <v>216369.34159958054</v>
      </c>
      <c r="Y199" s="209">
        <v>1.9498541331406282E-2</v>
      </c>
    </row>
    <row r="200" spans="1:25" ht="15" customHeight="1" x14ac:dyDescent="0.25">
      <c r="A200" s="156" t="s">
        <v>98</v>
      </c>
      <c r="B200" s="157">
        <v>2416</v>
      </c>
      <c r="C200" s="157">
        <v>1477</v>
      </c>
      <c r="D200" s="216">
        <v>0.61134105960264906</v>
      </c>
      <c r="E200" s="217">
        <v>1.6094356669820244</v>
      </c>
      <c r="F200" s="217">
        <v>4.3204125833333329</v>
      </c>
      <c r="G200" s="157">
        <v>76575</v>
      </c>
      <c r="H200" s="157">
        <v>369727.60859744559</v>
      </c>
      <c r="I200" s="208">
        <v>3.5835188829634039E-2</v>
      </c>
      <c r="J200" s="157">
        <v>452</v>
      </c>
      <c r="K200" s="157">
        <v>170</v>
      </c>
      <c r="L200" s="216">
        <v>0.37610619469026546</v>
      </c>
      <c r="M200" s="217">
        <v>2.0893147914032872</v>
      </c>
      <c r="N200" s="217">
        <v>4.2328426666666665</v>
      </c>
      <c r="O200" s="157">
        <v>8635</v>
      </c>
      <c r="P200" s="157">
        <v>18041.233223767384</v>
      </c>
      <c r="Q200" s="208">
        <v>2.3152100673228426E-2</v>
      </c>
      <c r="R200" s="157">
        <v>2868</v>
      </c>
      <c r="S200" s="157">
        <v>1647</v>
      </c>
      <c r="T200" s="216">
        <v>0.57426778242677823</v>
      </c>
      <c r="U200" s="217">
        <v>1.8493752291926557</v>
      </c>
      <c r="V200" s="217">
        <v>4.3113737941206223</v>
      </c>
      <c r="W200" s="157">
        <v>85210</v>
      </c>
      <c r="X200" s="157">
        <v>387768.84182121296</v>
      </c>
      <c r="Y200" s="208">
        <v>3.4944538507100227E-2</v>
      </c>
    </row>
    <row r="201" spans="1:25" ht="15" customHeight="1" x14ac:dyDescent="0.25">
      <c r="A201" s="155" t="s">
        <v>219</v>
      </c>
      <c r="B201" s="158">
        <v>2416</v>
      </c>
      <c r="C201" s="158">
        <v>1477</v>
      </c>
      <c r="D201" s="218">
        <v>0.61134105960264906</v>
      </c>
      <c r="E201" s="219">
        <v>1.6094356669820244</v>
      </c>
      <c r="F201" s="219">
        <v>4.3204125833333329</v>
      </c>
      <c r="G201" s="158">
        <v>76575</v>
      </c>
      <c r="H201" s="158">
        <v>369727.60859744559</v>
      </c>
      <c r="I201" s="209">
        <v>3.5835188829634039E-2</v>
      </c>
      <c r="J201" s="158">
        <v>452</v>
      </c>
      <c r="K201" s="158">
        <v>170</v>
      </c>
      <c r="L201" s="218">
        <v>0.37610619469026546</v>
      </c>
      <c r="M201" s="219">
        <v>2.0893147914032872</v>
      </c>
      <c r="N201" s="219">
        <v>4.2328426666666665</v>
      </c>
      <c r="O201" s="158">
        <v>8635</v>
      </c>
      <c r="P201" s="158">
        <v>18041.233223767384</v>
      </c>
      <c r="Q201" s="209">
        <v>2.3152100673228426E-2</v>
      </c>
      <c r="R201" s="158">
        <v>2868</v>
      </c>
      <c r="S201" s="158">
        <v>1647</v>
      </c>
      <c r="T201" s="218">
        <v>0.57426778242677823</v>
      </c>
      <c r="U201" s="219">
        <v>1.8493752291926557</v>
      </c>
      <c r="V201" s="219">
        <v>4.3113737941206223</v>
      </c>
      <c r="W201" s="158">
        <v>85210</v>
      </c>
      <c r="X201" s="158">
        <v>387768.84182121296</v>
      </c>
      <c r="Y201" s="209">
        <v>3.4944538507100227E-2</v>
      </c>
    </row>
    <row r="202" spans="1:25" ht="15" customHeight="1" x14ac:dyDescent="0.25">
      <c r="A202" s="156" t="s">
        <v>99</v>
      </c>
      <c r="B202" s="157">
        <v>1976</v>
      </c>
      <c r="C202" s="157">
        <v>1103</v>
      </c>
      <c r="D202" s="216">
        <v>0.5581983805668016</v>
      </c>
      <c r="E202" s="217">
        <v>1.7178467322151532</v>
      </c>
      <c r="F202" s="217">
        <v>4.2558170000000004</v>
      </c>
      <c r="G202" s="157">
        <v>56330</v>
      </c>
      <c r="H202" s="157">
        <v>290298.91927703872</v>
      </c>
      <c r="I202" s="208">
        <v>2.813670482654685E-2</v>
      </c>
      <c r="J202" s="157">
        <v>423</v>
      </c>
      <c r="K202" s="157">
        <v>133</v>
      </c>
      <c r="L202" s="216">
        <v>0.31442080378250592</v>
      </c>
      <c r="M202" s="217">
        <v>2.2151529888551162</v>
      </c>
      <c r="N202" s="217">
        <v>4.3446109166666664</v>
      </c>
      <c r="O202" s="157">
        <v>6934</v>
      </c>
      <c r="P202" s="157">
        <v>15359.870824721376</v>
      </c>
      <c r="Q202" s="208">
        <v>1.9711140100625229E-2</v>
      </c>
      <c r="R202" s="157">
        <v>2399</v>
      </c>
      <c r="S202" s="157">
        <v>1236</v>
      </c>
      <c r="T202" s="216">
        <v>0.51521467278032518</v>
      </c>
      <c r="U202" s="217">
        <v>1.9664998605351347</v>
      </c>
      <c r="V202" s="217">
        <v>4.2653716852076586</v>
      </c>
      <c r="W202" s="157">
        <v>63264</v>
      </c>
      <c r="X202" s="157">
        <v>305658.79010176007</v>
      </c>
      <c r="Y202" s="208">
        <v>2.7545032526541457E-2</v>
      </c>
    </row>
    <row r="203" spans="1:25" ht="15" customHeight="1" x14ac:dyDescent="0.25">
      <c r="A203" s="155" t="s">
        <v>218</v>
      </c>
      <c r="B203" s="158">
        <v>1976</v>
      </c>
      <c r="C203" s="158">
        <v>1103</v>
      </c>
      <c r="D203" s="218">
        <v>0.5581983805668016</v>
      </c>
      <c r="E203" s="219">
        <v>1.7178467322151532</v>
      </c>
      <c r="F203" s="219">
        <v>4.2558170000000004</v>
      </c>
      <c r="G203" s="158">
        <v>56330</v>
      </c>
      <c r="H203" s="158">
        <v>290298.91927703872</v>
      </c>
      <c r="I203" s="209">
        <v>2.813670482654685E-2</v>
      </c>
      <c r="J203" s="158">
        <v>423</v>
      </c>
      <c r="K203" s="158">
        <v>133</v>
      </c>
      <c r="L203" s="218">
        <v>0.31442080378250592</v>
      </c>
      <c r="M203" s="219">
        <v>2.2151529888551162</v>
      </c>
      <c r="N203" s="219">
        <v>4.3446109166666664</v>
      </c>
      <c r="O203" s="158">
        <v>6934</v>
      </c>
      <c r="P203" s="158">
        <v>15359.870824721376</v>
      </c>
      <c r="Q203" s="209">
        <v>1.9711140100625229E-2</v>
      </c>
      <c r="R203" s="158">
        <v>2399</v>
      </c>
      <c r="S203" s="158">
        <v>1236</v>
      </c>
      <c r="T203" s="218">
        <v>0.51521467278032518</v>
      </c>
      <c r="U203" s="219">
        <v>1.9664998605351347</v>
      </c>
      <c r="V203" s="219">
        <v>4.2653716852076586</v>
      </c>
      <c r="W203" s="158">
        <v>63264</v>
      </c>
      <c r="X203" s="158">
        <v>305658.79010176007</v>
      </c>
      <c r="Y203" s="209">
        <v>2.7545032526541457E-2</v>
      </c>
    </row>
    <row r="204" spans="1:25" ht="15" customHeight="1" x14ac:dyDescent="0.25">
      <c r="A204" s="156" t="s">
        <v>100</v>
      </c>
      <c r="B204" s="157">
        <v>919</v>
      </c>
      <c r="C204" s="157">
        <v>466</v>
      </c>
      <c r="D204" s="216">
        <v>0.50707290533188243</v>
      </c>
      <c r="E204" s="217">
        <v>1.8221427016943883</v>
      </c>
      <c r="F204" s="217">
        <v>4.443669083333333</v>
      </c>
      <c r="G204" s="157">
        <v>24849</v>
      </c>
      <c r="H204" s="157">
        <v>135835.27198321157</v>
      </c>
      <c r="I204" s="208">
        <v>1.3165591392291594E-2</v>
      </c>
      <c r="J204" s="157">
        <v>241</v>
      </c>
      <c r="K204" s="157">
        <v>112</v>
      </c>
      <c r="L204" s="216">
        <v>0.46473029045643155</v>
      </c>
      <c r="M204" s="217">
        <v>1.9085216360403083</v>
      </c>
      <c r="N204" s="217">
        <v>4.4285709166666676</v>
      </c>
      <c r="O204" s="157">
        <v>5952</v>
      </c>
      <c r="P204" s="157">
        <v>11359.520777711916</v>
      </c>
      <c r="Q204" s="208">
        <v>1.4577538319206827E-2</v>
      </c>
      <c r="R204" s="157">
        <v>1160</v>
      </c>
      <c r="S204" s="157">
        <v>578</v>
      </c>
      <c r="T204" s="216">
        <v>0.49827586206896551</v>
      </c>
      <c r="U204" s="217">
        <v>1.8653321688673483</v>
      </c>
      <c r="V204" s="217">
        <v>4.4407434870242213</v>
      </c>
      <c r="W204" s="157">
        <v>30801</v>
      </c>
      <c r="X204" s="157">
        <v>147194.79276092348</v>
      </c>
      <c r="Y204" s="208">
        <v>1.3264743189578631E-2</v>
      </c>
    </row>
    <row r="205" spans="1:25" ht="15" customHeight="1" x14ac:dyDescent="0.25">
      <c r="A205" s="155" t="s">
        <v>217</v>
      </c>
      <c r="B205" s="158">
        <v>919</v>
      </c>
      <c r="C205" s="158">
        <v>466</v>
      </c>
      <c r="D205" s="218">
        <v>0.50707290533188243</v>
      </c>
      <c r="E205" s="219">
        <v>1.8221427016943883</v>
      </c>
      <c r="F205" s="219">
        <v>4.443669083333333</v>
      </c>
      <c r="G205" s="158">
        <v>24849</v>
      </c>
      <c r="H205" s="158">
        <v>135835.27198321157</v>
      </c>
      <c r="I205" s="209">
        <v>1.3165591392291594E-2</v>
      </c>
      <c r="J205" s="158">
        <v>241</v>
      </c>
      <c r="K205" s="158">
        <v>112</v>
      </c>
      <c r="L205" s="218">
        <v>0.46473029045643155</v>
      </c>
      <c r="M205" s="219">
        <v>1.9085216360403083</v>
      </c>
      <c r="N205" s="219">
        <v>4.4285709166666676</v>
      </c>
      <c r="O205" s="158">
        <v>5952</v>
      </c>
      <c r="P205" s="158">
        <v>11359.520777711916</v>
      </c>
      <c r="Q205" s="209">
        <v>1.4577538319206827E-2</v>
      </c>
      <c r="R205" s="158">
        <v>1160</v>
      </c>
      <c r="S205" s="158">
        <v>578</v>
      </c>
      <c r="T205" s="218">
        <v>0.49827586206896551</v>
      </c>
      <c r="U205" s="219">
        <v>1.8653321688673483</v>
      </c>
      <c r="V205" s="219">
        <v>4.4407434870242213</v>
      </c>
      <c r="W205" s="158">
        <v>30801</v>
      </c>
      <c r="X205" s="158">
        <v>147194.79276092348</v>
      </c>
      <c r="Y205" s="209">
        <v>1.3264743189578631E-2</v>
      </c>
    </row>
    <row r="206" spans="1:25" ht="15" customHeight="1" x14ac:dyDescent="0.25">
      <c r="A206" s="156" t="s">
        <v>101</v>
      </c>
      <c r="B206" s="157">
        <v>9</v>
      </c>
      <c r="C206" s="157">
        <v>6</v>
      </c>
      <c r="D206" s="216">
        <v>0.66666666666666663</v>
      </c>
      <c r="E206" s="217">
        <v>1.4965714285714287</v>
      </c>
      <c r="F206" s="217">
        <v>3.2777775000000005</v>
      </c>
      <c r="G206" s="157">
        <v>236</v>
      </c>
      <c r="H206" s="157">
        <v>1059.5725714285716</v>
      </c>
      <c r="I206" s="208">
        <v>1.0269718109470414E-4</v>
      </c>
      <c r="J206" s="222"/>
      <c r="K206" s="222"/>
      <c r="L206" s="222"/>
      <c r="M206" s="222"/>
      <c r="N206" s="222"/>
      <c r="O206" s="222"/>
      <c r="P206" s="222"/>
      <c r="Q206" s="222"/>
      <c r="R206" s="157">
        <v>9</v>
      </c>
      <c r="S206" s="157">
        <v>6</v>
      </c>
      <c r="T206" s="216">
        <v>0.66666666666666663</v>
      </c>
      <c r="U206" s="217">
        <v>1.4965714285714287</v>
      </c>
      <c r="V206" s="217">
        <v>3.2777775000000005</v>
      </c>
      <c r="W206" s="157">
        <v>236</v>
      </c>
      <c r="X206" s="157">
        <v>1059.5725714285716</v>
      </c>
      <c r="Y206" s="208">
        <v>9.5485429797437113E-5</v>
      </c>
    </row>
    <row r="207" spans="1:25" ht="15" customHeight="1" x14ac:dyDescent="0.25">
      <c r="A207" s="155" t="s">
        <v>214</v>
      </c>
      <c r="B207" s="158">
        <v>9</v>
      </c>
      <c r="C207" s="158">
        <v>6</v>
      </c>
      <c r="D207" s="218">
        <v>0.66666666666666663</v>
      </c>
      <c r="E207" s="219">
        <v>1.4965714285714287</v>
      </c>
      <c r="F207" s="219">
        <v>3.2777775000000005</v>
      </c>
      <c r="G207" s="158">
        <v>236</v>
      </c>
      <c r="H207" s="158">
        <v>1059.5725714285716</v>
      </c>
      <c r="I207" s="209">
        <v>1.0269718109470414E-4</v>
      </c>
      <c r="J207" s="223"/>
      <c r="K207" s="223"/>
      <c r="L207" s="223"/>
      <c r="M207" s="223"/>
      <c r="N207" s="223"/>
      <c r="O207" s="223"/>
      <c r="P207" s="223"/>
      <c r="Q207" s="223"/>
      <c r="R207" s="158">
        <v>9</v>
      </c>
      <c r="S207" s="158">
        <v>6</v>
      </c>
      <c r="T207" s="218">
        <v>0.66666666666666663</v>
      </c>
      <c r="U207" s="219">
        <v>1.4965714285714287</v>
      </c>
      <c r="V207" s="219">
        <v>3.2777775000000005</v>
      </c>
      <c r="W207" s="158">
        <v>236</v>
      </c>
      <c r="X207" s="158">
        <v>1059.5725714285716</v>
      </c>
      <c r="Y207" s="209">
        <v>9.5485429797437113E-5</v>
      </c>
    </row>
    <row r="208" spans="1:25" ht="15" customHeight="1" x14ac:dyDescent="0.25">
      <c r="A208" s="156" t="s">
        <v>130</v>
      </c>
      <c r="B208" s="157">
        <v>32</v>
      </c>
      <c r="C208" s="157">
        <v>25</v>
      </c>
      <c r="D208" s="216">
        <v>0.78125</v>
      </c>
      <c r="E208" s="217">
        <v>1.28</v>
      </c>
      <c r="F208" s="217">
        <v>4.54</v>
      </c>
      <c r="G208" s="157">
        <v>1362</v>
      </c>
      <c r="H208" s="157">
        <v>5230.08</v>
      </c>
      <c r="I208" s="208">
        <v>5.0691617297682996E-4</v>
      </c>
      <c r="J208" s="222"/>
      <c r="K208" s="222"/>
      <c r="L208" s="222"/>
      <c r="M208" s="222"/>
      <c r="N208" s="222"/>
      <c r="O208" s="222"/>
      <c r="P208" s="222"/>
      <c r="Q208" s="222"/>
      <c r="R208" s="157">
        <v>32</v>
      </c>
      <c r="S208" s="157">
        <v>25</v>
      </c>
      <c r="T208" s="216">
        <v>0.78125</v>
      </c>
      <c r="U208" s="217">
        <v>1.28</v>
      </c>
      <c r="V208" s="217">
        <v>4.54</v>
      </c>
      <c r="W208" s="157">
        <v>1362</v>
      </c>
      <c r="X208" s="157">
        <v>5230.08</v>
      </c>
      <c r="Y208" s="208">
        <v>4.7131876583183662E-4</v>
      </c>
    </row>
    <row r="209" spans="1:25" ht="15" customHeight="1" x14ac:dyDescent="0.25">
      <c r="A209" s="155" t="s">
        <v>213</v>
      </c>
      <c r="B209" s="158">
        <v>32</v>
      </c>
      <c r="C209" s="158">
        <v>25</v>
      </c>
      <c r="D209" s="218">
        <v>0.78125</v>
      </c>
      <c r="E209" s="219">
        <v>1.28</v>
      </c>
      <c r="F209" s="219">
        <v>4.54</v>
      </c>
      <c r="G209" s="158">
        <v>1362</v>
      </c>
      <c r="H209" s="158">
        <v>5230.08</v>
      </c>
      <c r="I209" s="209">
        <v>5.0691617297682996E-4</v>
      </c>
      <c r="J209" s="223"/>
      <c r="K209" s="223"/>
      <c r="L209" s="223"/>
      <c r="M209" s="223"/>
      <c r="N209" s="223"/>
      <c r="O209" s="223"/>
      <c r="P209" s="223"/>
      <c r="Q209" s="223"/>
      <c r="R209" s="158">
        <v>32</v>
      </c>
      <c r="S209" s="158">
        <v>25</v>
      </c>
      <c r="T209" s="218">
        <v>0.78125</v>
      </c>
      <c r="U209" s="219">
        <v>1.28</v>
      </c>
      <c r="V209" s="219">
        <v>4.54</v>
      </c>
      <c r="W209" s="158">
        <v>1362</v>
      </c>
      <c r="X209" s="158">
        <v>5230.08</v>
      </c>
      <c r="Y209" s="209">
        <v>4.7131876583183662E-4</v>
      </c>
    </row>
    <row r="210" spans="1:25" ht="15" customHeight="1" x14ac:dyDescent="0.25">
      <c r="A210" s="156" t="s">
        <v>467</v>
      </c>
      <c r="B210" s="157">
        <v>36</v>
      </c>
      <c r="C210" s="157">
        <v>19</v>
      </c>
      <c r="D210" s="216">
        <v>0.52777777777777779</v>
      </c>
      <c r="E210" s="217">
        <v>1.7799047619047621</v>
      </c>
      <c r="F210" s="217">
        <v>4.4736838333333342</v>
      </c>
      <c r="G210" s="157">
        <v>1020</v>
      </c>
      <c r="H210" s="157">
        <v>5446.5085714285724</v>
      </c>
      <c r="I210" s="208">
        <v>5.2789312613078061E-4</v>
      </c>
      <c r="J210" s="222"/>
      <c r="K210" s="222"/>
      <c r="L210" s="222"/>
      <c r="M210" s="222"/>
      <c r="N210" s="222"/>
      <c r="O210" s="222"/>
      <c r="P210" s="222"/>
      <c r="Q210" s="222"/>
      <c r="R210" s="157">
        <v>36</v>
      </c>
      <c r="S210" s="157">
        <v>19</v>
      </c>
      <c r="T210" s="216">
        <v>0.52777777777777779</v>
      </c>
      <c r="U210" s="217">
        <v>1.7799047619047621</v>
      </c>
      <c r="V210" s="217">
        <v>4.4736838333333342</v>
      </c>
      <c r="W210" s="157">
        <v>1020</v>
      </c>
      <c r="X210" s="157">
        <v>5446.5085714285724</v>
      </c>
      <c r="Y210" s="208">
        <v>4.9082264477373844E-4</v>
      </c>
    </row>
    <row r="211" spans="1:25" ht="15" customHeight="1" x14ac:dyDescent="0.25">
      <c r="A211" s="155" t="s">
        <v>212</v>
      </c>
      <c r="B211" s="158">
        <v>36</v>
      </c>
      <c r="C211" s="158">
        <v>19</v>
      </c>
      <c r="D211" s="218">
        <v>0.52777777777777779</v>
      </c>
      <c r="E211" s="219">
        <v>1.7799047619047621</v>
      </c>
      <c r="F211" s="219">
        <v>4.4736838333333342</v>
      </c>
      <c r="G211" s="158">
        <v>1020</v>
      </c>
      <c r="H211" s="158">
        <v>5446.5085714285724</v>
      </c>
      <c r="I211" s="209">
        <v>5.2789312613078061E-4</v>
      </c>
      <c r="J211" s="223"/>
      <c r="K211" s="223"/>
      <c r="L211" s="223"/>
      <c r="M211" s="223"/>
      <c r="N211" s="223"/>
      <c r="O211" s="223"/>
      <c r="P211" s="223"/>
      <c r="Q211" s="223"/>
      <c r="R211" s="158">
        <v>36</v>
      </c>
      <c r="S211" s="158">
        <v>19</v>
      </c>
      <c r="T211" s="218">
        <v>0.52777777777777779</v>
      </c>
      <c r="U211" s="219">
        <v>1.7799047619047621</v>
      </c>
      <c r="V211" s="219">
        <v>4.4736838333333342</v>
      </c>
      <c r="W211" s="158">
        <v>1020</v>
      </c>
      <c r="X211" s="158">
        <v>5446.5085714285724</v>
      </c>
      <c r="Y211" s="209">
        <v>4.9082264477373844E-4</v>
      </c>
    </row>
    <row r="212" spans="1:25" ht="15" customHeight="1" x14ac:dyDescent="0.25">
      <c r="A212" s="156" t="s">
        <v>103</v>
      </c>
      <c r="B212" s="157">
        <v>213</v>
      </c>
      <c r="C212" s="157">
        <v>101</v>
      </c>
      <c r="D212" s="216">
        <v>0.47417840375586856</v>
      </c>
      <c r="E212" s="217">
        <v>1.8892474849094567</v>
      </c>
      <c r="F212" s="217">
        <v>4.2367980000000003</v>
      </c>
      <c r="G212" s="157">
        <v>5135</v>
      </c>
      <c r="H212" s="157">
        <v>29103.857505030181</v>
      </c>
      <c r="I212" s="208">
        <v>2.8208394642745215E-3</v>
      </c>
      <c r="J212" s="157">
        <v>27</v>
      </c>
      <c r="K212" s="157">
        <v>12</v>
      </c>
      <c r="L212" s="216">
        <v>0.44444444444444442</v>
      </c>
      <c r="M212" s="217">
        <v>1.949904761904762</v>
      </c>
      <c r="N212" s="217">
        <v>4.131944166666667</v>
      </c>
      <c r="O212" s="157">
        <v>595</v>
      </c>
      <c r="P212" s="157">
        <v>1160.1933333333334</v>
      </c>
      <c r="Q212" s="208">
        <v>1.488862347744357E-3</v>
      </c>
      <c r="R212" s="157">
        <v>240</v>
      </c>
      <c r="S212" s="157">
        <v>113</v>
      </c>
      <c r="T212" s="216">
        <v>0.47083333333333333</v>
      </c>
      <c r="U212" s="217">
        <v>1.9195761234071094</v>
      </c>
      <c r="V212" s="217">
        <v>4.2256630796460168</v>
      </c>
      <c r="W212" s="157">
        <v>5730</v>
      </c>
      <c r="X212" s="157">
        <v>30264.050838363513</v>
      </c>
      <c r="Y212" s="208">
        <v>2.727303423697047E-3</v>
      </c>
    </row>
    <row r="213" spans="1:25" ht="15" customHeight="1" x14ac:dyDescent="0.25">
      <c r="A213" s="155" t="s">
        <v>211</v>
      </c>
      <c r="B213" s="158">
        <v>213</v>
      </c>
      <c r="C213" s="158">
        <v>101</v>
      </c>
      <c r="D213" s="218">
        <v>0.47417840375586856</v>
      </c>
      <c r="E213" s="219">
        <v>1.8892474849094567</v>
      </c>
      <c r="F213" s="219">
        <v>4.2367980000000003</v>
      </c>
      <c r="G213" s="158">
        <v>5135</v>
      </c>
      <c r="H213" s="158">
        <v>29103.857505030181</v>
      </c>
      <c r="I213" s="209">
        <v>2.8208394642745215E-3</v>
      </c>
      <c r="J213" s="158">
        <v>27</v>
      </c>
      <c r="K213" s="158">
        <v>12</v>
      </c>
      <c r="L213" s="218">
        <v>0.44444444444444442</v>
      </c>
      <c r="M213" s="219">
        <v>1.949904761904762</v>
      </c>
      <c r="N213" s="219">
        <v>4.131944166666667</v>
      </c>
      <c r="O213" s="158">
        <v>595</v>
      </c>
      <c r="P213" s="158">
        <v>1160.1933333333334</v>
      </c>
      <c r="Q213" s="209">
        <v>1.488862347744357E-3</v>
      </c>
      <c r="R213" s="158">
        <v>240</v>
      </c>
      <c r="S213" s="158">
        <v>113</v>
      </c>
      <c r="T213" s="218">
        <v>0.47083333333333333</v>
      </c>
      <c r="U213" s="219">
        <v>1.9195761234071094</v>
      </c>
      <c r="V213" s="219">
        <v>4.2256630796460168</v>
      </c>
      <c r="W213" s="158">
        <v>5730</v>
      </c>
      <c r="X213" s="158">
        <v>30264.050838363513</v>
      </c>
      <c r="Y213" s="209">
        <v>2.727303423697047E-3</v>
      </c>
    </row>
    <row r="214" spans="1:25" ht="15" customHeight="1" x14ac:dyDescent="0.25">
      <c r="A214" s="156" t="s">
        <v>104</v>
      </c>
      <c r="B214" s="157">
        <v>256</v>
      </c>
      <c r="C214" s="157">
        <v>188</v>
      </c>
      <c r="D214" s="216">
        <v>0.734375</v>
      </c>
      <c r="E214" s="217">
        <v>1.3617021276595744</v>
      </c>
      <c r="F214" s="217">
        <v>4.5088649166666661</v>
      </c>
      <c r="G214" s="157">
        <v>10172</v>
      </c>
      <c r="H214" s="157">
        <v>41553.702127659577</v>
      </c>
      <c r="I214" s="208">
        <v>4.0275184424659561E-3</v>
      </c>
      <c r="J214" s="157">
        <v>7</v>
      </c>
      <c r="K214" s="157">
        <v>2</v>
      </c>
      <c r="L214" s="216">
        <v>0.2857142857142857</v>
      </c>
      <c r="M214" s="217">
        <v>2.2737142857142856</v>
      </c>
      <c r="N214" s="217">
        <v>4.625</v>
      </c>
      <c r="O214" s="157">
        <v>111</v>
      </c>
      <c r="P214" s="157">
        <v>252.3822857142857</v>
      </c>
      <c r="Q214" s="208">
        <v>3.2387919464944793E-4</v>
      </c>
      <c r="R214" s="157">
        <v>263</v>
      </c>
      <c r="S214" s="157">
        <v>190</v>
      </c>
      <c r="T214" s="216">
        <v>0.72243346007604559</v>
      </c>
      <c r="U214" s="217">
        <v>1.8177082066869299</v>
      </c>
      <c r="V214" s="217">
        <v>4.510087391228069</v>
      </c>
      <c r="W214" s="157">
        <v>10283</v>
      </c>
      <c r="X214" s="157">
        <v>41806.084413373865</v>
      </c>
      <c r="Y214" s="208">
        <v>3.767436083190496E-3</v>
      </c>
    </row>
    <row r="215" spans="1:25" ht="15" customHeight="1" x14ac:dyDescent="0.25">
      <c r="A215" s="155" t="s">
        <v>210</v>
      </c>
      <c r="B215" s="158">
        <v>256</v>
      </c>
      <c r="C215" s="158">
        <v>188</v>
      </c>
      <c r="D215" s="218">
        <v>0.734375</v>
      </c>
      <c r="E215" s="219">
        <v>1.3617021276595744</v>
      </c>
      <c r="F215" s="219">
        <v>4.5088649166666661</v>
      </c>
      <c r="G215" s="158">
        <v>10172</v>
      </c>
      <c r="H215" s="158">
        <v>41553.702127659577</v>
      </c>
      <c r="I215" s="209">
        <v>4.0275184424659561E-3</v>
      </c>
      <c r="J215" s="158">
        <v>7</v>
      </c>
      <c r="K215" s="158">
        <v>2</v>
      </c>
      <c r="L215" s="218">
        <v>0.2857142857142857</v>
      </c>
      <c r="M215" s="219">
        <v>2.2737142857142856</v>
      </c>
      <c r="N215" s="219">
        <v>4.625</v>
      </c>
      <c r="O215" s="158">
        <v>111</v>
      </c>
      <c r="P215" s="158">
        <v>252.3822857142857</v>
      </c>
      <c r="Q215" s="209">
        <v>3.2387919464944793E-4</v>
      </c>
      <c r="R215" s="158">
        <v>263</v>
      </c>
      <c r="S215" s="158">
        <v>190</v>
      </c>
      <c r="T215" s="218">
        <v>0.72243346007604559</v>
      </c>
      <c r="U215" s="219">
        <v>1.8177082066869299</v>
      </c>
      <c r="V215" s="219">
        <v>4.510087391228069</v>
      </c>
      <c r="W215" s="158">
        <v>10283</v>
      </c>
      <c r="X215" s="158">
        <v>41806.084413373865</v>
      </c>
      <c r="Y215" s="209">
        <v>3.767436083190496E-3</v>
      </c>
    </row>
    <row r="216" spans="1:25" ht="15" customHeight="1" x14ac:dyDescent="0.25">
      <c r="A216" s="156" t="s">
        <v>433</v>
      </c>
      <c r="B216" s="157">
        <v>591</v>
      </c>
      <c r="C216" s="157">
        <v>390</v>
      </c>
      <c r="D216" s="216">
        <v>0.65989847715736039</v>
      </c>
      <c r="E216" s="217">
        <v>1.5103785351704133</v>
      </c>
      <c r="F216" s="217">
        <v>4.5775635000000001</v>
      </c>
      <c r="G216" s="157">
        <v>21423</v>
      </c>
      <c r="H216" s="157">
        <v>97070.518076867287</v>
      </c>
      <c r="I216" s="208">
        <v>9.4083867803941342E-3</v>
      </c>
      <c r="J216" s="157">
        <v>319</v>
      </c>
      <c r="K216" s="157">
        <v>205</v>
      </c>
      <c r="L216" s="216">
        <v>0.64263322884012541</v>
      </c>
      <c r="M216" s="217">
        <v>1.5455996417375728</v>
      </c>
      <c r="N216" s="217">
        <v>4.2715442499999998</v>
      </c>
      <c r="O216" s="157">
        <v>10508</v>
      </c>
      <c r="P216" s="157">
        <v>16241.161035378414</v>
      </c>
      <c r="Q216" s="208">
        <v>2.0842089378116012E-2</v>
      </c>
      <c r="R216" s="157">
        <v>910</v>
      </c>
      <c r="S216" s="157">
        <v>595</v>
      </c>
      <c r="T216" s="216">
        <v>0.65384615384615385</v>
      </c>
      <c r="U216" s="217">
        <v>1.5279890884539931</v>
      </c>
      <c r="V216" s="217">
        <v>4.4721282962184876</v>
      </c>
      <c r="W216" s="157">
        <v>31931</v>
      </c>
      <c r="X216" s="157">
        <v>113311.67911224571</v>
      </c>
      <c r="Y216" s="208">
        <v>1.0211300927235671E-2</v>
      </c>
    </row>
    <row r="217" spans="1:25" ht="15" customHeight="1" x14ac:dyDescent="0.25">
      <c r="A217" s="155" t="s">
        <v>209</v>
      </c>
      <c r="B217" s="158">
        <v>591</v>
      </c>
      <c r="C217" s="158">
        <v>390</v>
      </c>
      <c r="D217" s="218">
        <v>0.65989847715736039</v>
      </c>
      <c r="E217" s="219">
        <v>1.5103785351704133</v>
      </c>
      <c r="F217" s="219">
        <v>4.5775635000000001</v>
      </c>
      <c r="G217" s="158">
        <v>21423</v>
      </c>
      <c r="H217" s="158">
        <v>97070.518076867287</v>
      </c>
      <c r="I217" s="209">
        <v>9.4083867803941342E-3</v>
      </c>
      <c r="J217" s="158">
        <v>319</v>
      </c>
      <c r="K217" s="158">
        <v>205</v>
      </c>
      <c r="L217" s="218">
        <v>0.64263322884012541</v>
      </c>
      <c r="M217" s="219">
        <v>1.5455996417375728</v>
      </c>
      <c r="N217" s="219">
        <v>4.2715442499999998</v>
      </c>
      <c r="O217" s="158">
        <v>10508</v>
      </c>
      <c r="P217" s="158">
        <v>16241.161035378414</v>
      </c>
      <c r="Q217" s="209">
        <v>2.0842089378116012E-2</v>
      </c>
      <c r="R217" s="158">
        <v>910</v>
      </c>
      <c r="S217" s="158">
        <v>595</v>
      </c>
      <c r="T217" s="218">
        <v>0.65384615384615385</v>
      </c>
      <c r="U217" s="219">
        <v>1.5279890884539931</v>
      </c>
      <c r="V217" s="219">
        <v>4.4721282962184876</v>
      </c>
      <c r="W217" s="158">
        <v>31931</v>
      </c>
      <c r="X217" s="158">
        <v>113311.67911224571</v>
      </c>
      <c r="Y217" s="209">
        <v>1.0211300927235671E-2</v>
      </c>
    </row>
    <row r="218" spans="1:25" ht="15" customHeight="1" x14ac:dyDescent="0.25">
      <c r="A218" s="156" t="s">
        <v>105</v>
      </c>
      <c r="B218" s="157">
        <v>142</v>
      </c>
      <c r="C218" s="157">
        <v>106</v>
      </c>
      <c r="D218" s="216">
        <v>0.74647887323943662</v>
      </c>
      <c r="E218" s="217">
        <v>1.3396226415094339</v>
      </c>
      <c r="F218" s="217">
        <v>4.2594334999999992</v>
      </c>
      <c r="G218" s="157">
        <v>5418</v>
      </c>
      <c r="H218" s="157">
        <v>21774.226415094337</v>
      </c>
      <c r="I218" s="208">
        <v>2.1104280477297903E-3</v>
      </c>
      <c r="J218" s="157">
        <v>60</v>
      </c>
      <c r="K218" s="157">
        <v>24</v>
      </c>
      <c r="L218" s="216">
        <v>0.4</v>
      </c>
      <c r="M218" s="217">
        <v>2.0405714285714285</v>
      </c>
      <c r="N218" s="217">
        <v>4.0972218333333332</v>
      </c>
      <c r="O218" s="157">
        <v>1180</v>
      </c>
      <c r="P218" s="157">
        <v>2407.8742857142856</v>
      </c>
      <c r="Q218" s="208">
        <v>3.0899965196333696E-3</v>
      </c>
      <c r="R218" s="157">
        <v>202</v>
      </c>
      <c r="S218" s="157">
        <v>130</v>
      </c>
      <c r="T218" s="216">
        <v>0.64356435643564358</v>
      </c>
      <c r="U218" s="217">
        <v>1.6900970350404312</v>
      </c>
      <c r="V218" s="217">
        <v>4.2294867307692314</v>
      </c>
      <c r="W218" s="157">
        <v>6598</v>
      </c>
      <c r="X218" s="157">
        <v>24182.100700808624</v>
      </c>
      <c r="Y218" s="208">
        <v>2.1792167342614857E-3</v>
      </c>
    </row>
    <row r="219" spans="1:25" ht="15" customHeight="1" x14ac:dyDescent="0.25">
      <c r="A219" s="155" t="s">
        <v>208</v>
      </c>
      <c r="B219" s="158">
        <v>142</v>
      </c>
      <c r="C219" s="158">
        <v>106</v>
      </c>
      <c r="D219" s="218">
        <v>0.74647887323943662</v>
      </c>
      <c r="E219" s="219">
        <v>1.3396226415094339</v>
      </c>
      <c r="F219" s="219">
        <v>4.2594334999999992</v>
      </c>
      <c r="G219" s="158">
        <v>5418</v>
      </c>
      <c r="H219" s="158">
        <v>21774.226415094337</v>
      </c>
      <c r="I219" s="209">
        <v>2.1104280477297903E-3</v>
      </c>
      <c r="J219" s="158">
        <v>60</v>
      </c>
      <c r="K219" s="158">
        <v>24</v>
      </c>
      <c r="L219" s="218">
        <v>0.4</v>
      </c>
      <c r="M219" s="219">
        <v>2.0405714285714285</v>
      </c>
      <c r="N219" s="219">
        <v>4.0972218333333332</v>
      </c>
      <c r="O219" s="158">
        <v>1180</v>
      </c>
      <c r="P219" s="158">
        <v>2407.8742857142856</v>
      </c>
      <c r="Q219" s="209">
        <v>3.0899965196333696E-3</v>
      </c>
      <c r="R219" s="158">
        <v>202</v>
      </c>
      <c r="S219" s="158">
        <v>130</v>
      </c>
      <c r="T219" s="218">
        <v>0.64356435643564358</v>
      </c>
      <c r="U219" s="219">
        <v>1.6900970350404312</v>
      </c>
      <c r="V219" s="219">
        <v>4.2294867307692314</v>
      </c>
      <c r="W219" s="158">
        <v>6598</v>
      </c>
      <c r="X219" s="158">
        <v>24182.100700808624</v>
      </c>
      <c r="Y219" s="209">
        <v>2.1792167342614857E-3</v>
      </c>
    </row>
    <row r="220" spans="1:25" ht="15" customHeight="1" x14ac:dyDescent="0.25">
      <c r="A220" s="156" t="s">
        <v>106</v>
      </c>
      <c r="B220" s="157">
        <v>304</v>
      </c>
      <c r="C220" s="157">
        <v>226</v>
      </c>
      <c r="D220" s="216">
        <v>0.74342105263157898</v>
      </c>
      <c r="E220" s="217">
        <v>1.345132743362832</v>
      </c>
      <c r="F220" s="217">
        <v>4.0726396666666664</v>
      </c>
      <c r="G220" s="157">
        <v>11045</v>
      </c>
      <c r="H220" s="157">
        <v>44570.973451327438</v>
      </c>
      <c r="I220" s="208">
        <v>4.3199620823770948E-3</v>
      </c>
      <c r="J220" s="157">
        <v>29</v>
      </c>
      <c r="K220" s="157">
        <v>9</v>
      </c>
      <c r="L220" s="216">
        <v>0.31034482758620691</v>
      </c>
      <c r="M220" s="217">
        <v>2.2234679802955668</v>
      </c>
      <c r="N220" s="217">
        <v>4.2499996666666666</v>
      </c>
      <c r="O220" s="157">
        <v>459</v>
      </c>
      <c r="P220" s="157">
        <v>1020.5718029556651</v>
      </c>
      <c r="Q220" s="208">
        <v>1.3096876933645508E-3</v>
      </c>
      <c r="R220" s="157">
        <v>333</v>
      </c>
      <c r="S220" s="157">
        <v>235</v>
      </c>
      <c r="T220" s="216">
        <v>0.70570570570570568</v>
      </c>
      <c r="U220" s="217">
        <v>1.7843003618291995</v>
      </c>
      <c r="V220" s="217">
        <v>4.0794321773049651</v>
      </c>
      <c r="W220" s="157">
        <v>11504</v>
      </c>
      <c r="X220" s="157">
        <v>45591.545254283104</v>
      </c>
      <c r="Y220" s="208">
        <v>4.1085702019118334E-3</v>
      </c>
    </row>
    <row r="221" spans="1:25" ht="15" customHeight="1" x14ac:dyDescent="0.25">
      <c r="A221" s="155" t="s">
        <v>207</v>
      </c>
      <c r="B221" s="158">
        <v>304</v>
      </c>
      <c r="C221" s="158">
        <v>226</v>
      </c>
      <c r="D221" s="218">
        <v>0.74342105263157898</v>
      </c>
      <c r="E221" s="219">
        <v>1.345132743362832</v>
      </c>
      <c r="F221" s="219">
        <v>4.0726396666666664</v>
      </c>
      <c r="G221" s="158">
        <v>11045</v>
      </c>
      <c r="H221" s="158">
        <v>44570.973451327438</v>
      </c>
      <c r="I221" s="209">
        <v>4.3199620823770948E-3</v>
      </c>
      <c r="J221" s="158">
        <v>29</v>
      </c>
      <c r="K221" s="158">
        <v>9</v>
      </c>
      <c r="L221" s="218">
        <v>0.31034482758620691</v>
      </c>
      <c r="M221" s="219">
        <v>2.2234679802955668</v>
      </c>
      <c r="N221" s="219">
        <v>4.2499996666666666</v>
      </c>
      <c r="O221" s="158">
        <v>459</v>
      </c>
      <c r="P221" s="158">
        <v>1020.5718029556651</v>
      </c>
      <c r="Q221" s="209">
        <v>1.3096876933645508E-3</v>
      </c>
      <c r="R221" s="158">
        <v>333</v>
      </c>
      <c r="S221" s="158">
        <v>235</v>
      </c>
      <c r="T221" s="218">
        <v>0.70570570570570568</v>
      </c>
      <c r="U221" s="219">
        <v>1.7843003618291995</v>
      </c>
      <c r="V221" s="219">
        <v>4.0794321773049651</v>
      </c>
      <c r="W221" s="158">
        <v>11504</v>
      </c>
      <c r="X221" s="158">
        <v>45591.545254283104</v>
      </c>
      <c r="Y221" s="209">
        <v>4.1085702019118334E-3</v>
      </c>
    </row>
    <row r="222" spans="1:25" ht="15" customHeight="1" x14ac:dyDescent="0.25">
      <c r="A222" s="156" t="s">
        <v>107</v>
      </c>
      <c r="B222" s="157">
        <v>569</v>
      </c>
      <c r="C222" s="157">
        <v>274</v>
      </c>
      <c r="D222" s="216">
        <v>0.48154657293497366</v>
      </c>
      <c r="E222" s="217">
        <v>1.8742164197840823</v>
      </c>
      <c r="F222" s="217">
        <v>4.2940993333333335</v>
      </c>
      <c r="G222" s="157">
        <v>14119</v>
      </c>
      <c r="H222" s="157">
        <v>79386.184892794379</v>
      </c>
      <c r="I222" s="208">
        <v>7.6943643372733034E-3</v>
      </c>
      <c r="J222" s="157">
        <v>160</v>
      </c>
      <c r="K222" s="157">
        <v>62</v>
      </c>
      <c r="L222" s="216">
        <v>0.38750000000000001</v>
      </c>
      <c r="M222" s="217">
        <v>2.0660714285714286</v>
      </c>
      <c r="N222" s="217">
        <v>4.3844081666666668</v>
      </c>
      <c r="O222" s="157">
        <v>3262</v>
      </c>
      <c r="P222" s="157">
        <v>6739.5249999999996</v>
      </c>
      <c r="Q222" s="208">
        <v>8.6487525189897548E-3</v>
      </c>
      <c r="R222" s="157">
        <v>729</v>
      </c>
      <c r="S222" s="157">
        <v>336</v>
      </c>
      <c r="T222" s="216">
        <v>0.46090534979423869</v>
      </c>
      <c r="U222" s="217">
        <v>1.9701439241777554</v>
      </c>
      <c r="V222" s="217">
        <v>4.3107634632936502</v>
      </c>
      <c r="W222" s="157">
        <v>17381</v>
      </c>
      <c r="X222" s="157">
        <v>86125.709892794373</v>
      </c>
      <c r="Y222" s="208">
        <v>7.7613847767266739E-3</v>
      </c>
    </row>
    <row r="223" spans="1:25" ht="15" customHeight="1" x14ac:dyDescent="0.25">
      <c r="A223" s="155" t="s">
        <v>206</v>
      </c>
      <c r="B223" s="158">
        <v>569</v>
      </c>
      <c r="C223" s="158">
        <v>274</v>
      </c>
      <c r="D223" s="218">
        <v>0.48154657293497366</v>
      </c>
      <c r="E223" s="219">
        <v>1.8742164197840823</v>
      </c>
      <c r="F223" s="219">
        <v>4.2940993333333335</v>
      </c>
      <c r="G223" s="158">
        <v>14119</v>
      </c>
      <c r="H223" s="158">
        <v>79386.184892794379</v>
      </c>
      <c r="I223" s="209">
        <v>7.6943643372733034E-3</v>
      </c>
      <c r="J223" s="158">
        <v>160</v>
      </c>
      <c r="K223" s="158">
        <v>62</v>
      </c>
      <c r="L223" s="218">
        <v>0.38750000000000001</v>
      </c>
      <c r="M223" s="219">
        <v>2.0660714285714286</v>
      </c>
      <c r="N223" s="219">
        <v>4.3844081666666668</v>
      </c>
      <c r="O223" s="158">
        <v>3262</v>
      </c>
      <c r="P223" s="158">
        <v>6739.5249999999996</v>
      </c>
      <c r="Q223" s="209">
        <v>8.6487525189897548E-3</v>
      </c>
      <c r="R223" s="158">
        <v>729</v>
      </c>
      <c r="S223" s="158">
        <v>336</v>
      </c>
      <c r="T223" s="218">
        <v>0.46090534979423869</v>
      </c>
      <c r="U223" s="219">
        <v>1.9701439241777554</v>
      </c>
      <c r="V223" s="219">
        <v>4.3107634632936502</v>
      </c>
      <c r="W223" s="158">
        <v>17381</v>
      </c>
      <c r="X223" s="158">
        <v>86125.709892794373</v>
      </c>
      <c r="Y223" s="209">
        <v>7.7613847767266739E-3</v>
      </c>
    </row>
    <row r="224" spans="1:25" ht="15" customHeight="1" x14ac:dyDescent="0.25">
      <c r="A224" s="156" t="s">
        <v>108</v>
      </c>
      <c r="B224" s="157">
        <v>1423</v>
      </c>
      <c r="C224" s="157">
        <v>627</v>
      </c>
      <c r="D224" s="216">
        <v>0.44061841180604355</v>
      </c>
      <c r="E224" s="217">
        <v>1.9577098684870997</v>
      </c>
      <c r="F224" s="217">
        <v>4.3789203333333333</v>
      </c>
      <c r="G224" s="157">
        <v>32947</v>
      </c>
      <c r="H224" s="157">
        <v>193502.00111113343</v>
      </c>
      <c r="I224" s="208">
        <v>1.8754836229391149E-2</v>
      </c>
      <c r="J224" s="157">
        <v>1429</v>
      </c>
      <c r="K224" s="157">
        <v>294</v>
      </c>
      <c r="L224" s="216">
        <v>0.20573827851644508</v>
      </c>
      <c r="M224" s="217">
        <v>2.4368653403978806</v>
      </c>
      <c r="N224" s="217">
        <v>4.2899654166666661</v>
      </c>
      <c r="O224" s="157">
        <v>15135</v>
      </c>
      <c r="P224" s="157">
        <v>36881.956926921921</v>
      </c>
      <c r="Q224" s="208">
        <v>4.7330177998744366E-2</v>
      </c>
      <c r="R224" s="157">
        <v>2852</v>
      </c>
      <c r="S224" s="157">
        <v>921</v>
      </c>
      <c r="T224" s="216">
        <v>0.3229312762973352</v>
      </c>
      <c r="U224" s="217">
        <v>2.19728760444249</v>
      </c>
      <c r="V224" s="217">
        <v>4.3505243013029311</v>
      </c>
      <c r="W224" s="157">
        <v>48082</v>
      </c>
      <c r="X224" s="157">
        <v>230383.95803805534</v>
      </c>
      <c r="Y224" s="208">
        <v>2.0761495573671889E-2</v>
      </c>
    </row>
    <row r="225" spans="1:25" ht="15" customHeight="1" x14ac:dyDescent="0.25">
      <c r="A225" s="155" t="s">
        <v>205</v>
      </c>
      <c r="B225" s="158">
        <v>1423</v>
      </c>
      <c r="C225" s="158">
        <v>627</v>
      </c>
      <c r="D225" s="218">
        <v>0.44061841180604355</v>
      </c>
      <c r="E225" s="219">
        <v>1.9577098684870997</v>
      </c>
      <c r="F225" s="219">
        <v>4.3789203333333333</v>
      </c>
      <c r="G225" s="158">
        <v>32947</v>
      </c>
      <c r="H225" s="158">
        <v>193502.00111113343</v>
      </c>
      <c r="I225" s="209">
        <v>1.8754836229391149E-2</v>
      </c>
      <c r="J225" s="158">
        <v>1429</v>
      </c>
      <c r="K225" s="158">
        <v>294</v>
      </c>
      <c r="L225" s="218">
        <v>0.20573827851644508</v>
      </c>
      <c r="M225" s="219">
        <v>2.4368653403978806</v>
      </c>
      <c r="N225" s="219">
        <v>4.2899654166666661</v>
      </c>
      <c r="O225" s="158">
        <v>15135</v>
      </c>
      <c r="P225" s="158">
        <v>36881.956926921921</v>
      </c>
      <c r="Q225" s="209">
        <v>4.7330177998744366E-2</v>
      </c>
      <c r="R225" s="158">
        <v>2852</v>
      </c>
      <c r="S225" s="158">
        <v>921</v>
      </c>
      <c r="T225" s="218">
        <v>0.3229312762973352</v>
      </c>
      <c r="U225" s="219">
        <v>2.19728760444249</v>
      </c>
      <c r="V225" s="219">
        <v>4.3505243013029311</v>
      </c>
      <c r="W225" s="158">
        <v>48082</v>
      </c>
      <c r="X225" s="158">
        <v>230383.95803805534</v>
      </c>
      <c r="Y225" s="209">
        <v>2.0761495573671889E-2</v>
      </c>
    </row>
    <row r="226" spans="1:25" ht="15" customHeight="1" x14ac:dyDescent="0.25">
      <c r="A226" s="156" t="s">
        <v>109</v>
      </c>
      <c r="B226" s="157">
        <v>3025</v>
      </c>
      <c r="C226" s="157">
        <v>1392</v>
      </c>
      <c r="D226" s="216">
        <v>0.46016528925619837</v>
      </c>
      <c r="E226" s="217">
        <v>1.9178342384887839</v>
      </c>
      <c r="F226" s="217">
        <v>4.1294895</v>
      </c>
      <c r="G226" s="157">
        <v>68979</v>
      </c>
      <c r="H226" s="157">
        <v>396870.86381015345</v>
      </c>
      <c r="I226" s="208">
        <v>3.8466000414649808E-2</v>
      </c>
      <c r="J226" s="157">
        <v>766</v>
      </c>
      <c r="K226" s="157">
        <v>222</v>
      </c>
      <c r="L226" s="216">
        <v>0.28981723237597912</v>
      </c>
      <c r="M226" s="217">
        <v>2.265344274524431</v>
      </c>
      <c r="N226" s="217">
        <v>4.2372367499999992</v>
      </c>
      <c r="O226" s="157">
        <v>11288</v>
      </c>
      <c r="P226" s="157">
        <v>25571.206170831778</v>
      </c>
      <c r="Q226" s="208">
        <v>3.2815225669997172E-2</v>
      </c>
      <c r="R226" s="157">
        <v>3791</v>
      </c>
      <c r="S226" s="157">
        <v>1614</v>
      </c>
      <c r="T226" s="216">
        <v>0.42574518596676336</v>
      </c>
      <c r="U226" s="217">
        <v>2.0915892565066074</v>
      </c>
      <c r="V226" s="217">
        <v>4.1443097537174722</v>
      </c>
      <c r="W226" s="157">
        <v>80267</v>
      </c>
      <c r="X226" s="157">
        <v>422442.06998098525</v>
      </c>
      <c r="Y226" s="208">
        <v>3.8069183465431568E-2</v>
      </c>
    </row>
    <row r="227" spans="1:25" ht="15" customHeight="1" x14ac:dyDescent="0.25">
      <c r="A227" s="155" t="s">
        <v>204</v>
      </c>
      <c r="B227" s="158">
        <v>3025</v>
      </c>
      <c r="C227" s="158">
        <v>1392</v>
      </c>
      <c r="D227" s="218">
        <v>0.46016528925619837</v>
      </c>
      <c r="E227" s="219">
        <v>1.9178342384887839</v>
      </c>
      <c r="F227" s="219">
        <v>4.1294895</v>
      </c>
      <c r="G227" s="158">
        <v>68979</v>
      </c>
      <c r="H227" s="158">
        <v>396870.86381015345</v>
      </c>
      <c r="I227" s="209">
        <v>3.8466000414649808E-2</v>
      </c>
      <c r="J227" s="158">
        <v>766</v>
      </c>
      <c r="K227" s="158">
        <v>222</v>
      </c>
      <c r="L227" s="218">
        <v>0.28981723237597912</v>
      </c>
      <c r="M227" s="219">
        <v>2.265344274524431</v>
      </c>
      <c r="N227" s="219">
        <v>4.2372367499999992</v>
      </c>
      <c r="O227" s="158">
        <v>11288</v>
      </c>
      <c r="P227" s="158">
        <v>25571.206170831778</v>
      </c>
      <c r="Q227" s="209">
        <v>3.2815225669997172E-2</v>
      </c>
      <c r="R227" s="158">
        <v>3791</v>
      </c>
      <c r="S227" s="158">
        <v>1614</v>
      </c>
      <c r="T227" s="218">
        <v>0.42574518596676336</v>
      </c>
      <c r="U227" s="219">
        <v>2.0915892565066074</v>
      </c>
      <c r="V227" s="219">
        <v>4.1443097537174722</v>
      </c>
      <c r="W227" s="158">
        <v>80267</v>
      </c>
      <c r="X227" s="158">
        <v>422442.06998098525</v>
      </c>
      <c r="Y227" s="209">
        <v>3.8069183465431568E-2</v>
      </c>
    </row>
    <row r="228" spans="1:25" ht="15" customHeight="1" x14ac:dyDescent="0.25">
      <c r="A228" s="156" t="s">
        <v>110</v>
      </c>
      <c r="B228" s="157">
        <v>24</v>
      </c>
      <c r="C228" s="157">
        <v>13</v>
      </c>
      <c r="D228" s="216">
        <v>0.54166666666666663</v>
      </c>
      <c r="E228" s="217">
        <v>1.7515714285714286</v>
      </c>
      <c r="F228" s="217">
        <v>3.9615381666666667</v>
      </c>
      <c r="G228" s="157">
        <v>618</v>
      </c>
      <c r="H228" s="157">
        <v>3247.4134285714285</v>
      </c>
      <c r="I228" s="208">
        <v>3.1474975283073961E-4</v>
      </c>
      <c r="J228" s="222"/>
      <c r="K228" s="222"/>
      <c r="L228" s="222"/>
      <c r="M228" s="222"/>
      <c r="N228" s="222"/>
      <c r="O228" s="222"/>
      <c r="P228" s="222"/>
      <c r="Q228" s="222"/>
      <c r="R228" s="157">
        <v>24</v>
      </c>
      <c r="S228" s="157">
        <v>13</v>
      </c>
      <c r="T228" s="216">
        <v>0.54166666666666663</v>
      </c>
      <c r="U228" s="217">
        <v>1.7515714285714286</v>
      </c>
      <c r="V228" s="217">
        <v>3.9615381666666667</v>
      </c>
      <c r="W228" s="157">
        <v>618</v>
      </c>
      <c r="X228" s="157">
        <v>3247.4134285714285</v>
      </c>
      <c r="Y228" s="208">
        <v>2.926469364330983E-4</v>
      </c>
    </row>
    <row r="229" spans="1:25" ht="15" customHeight="1" x14ac:dyDescent="0.25">
      <c r="A229" s="155" t="s">
        <v>203</v>
      </c>
      <c r="B229" s="158">
        <v>24</v>
      </c>
      <c r="C229" s="158">
        <v>13</v>
      </c>
      <c r="D229" s="218">
        <v>0.54166666666666663</v>
      </c>
      <c r="E229" s="219">
        <v>1.7515714285714286</v>
      </c>
      <c r="F229" s="219">
        <v>3.9615381666666667</v>
      </c>
      <c r="G229" s="158">
        <v>618</v>
      </c>
      <c r="H229" s="158">
        <v>3247.4134285714285</v>
      </c>
      <c r="I229" s="209">
        <v>3.1474975283073961E-4</v>
      </c>
      <c r="J229" s="223"/>
      <c r="K229" s="223"/>
      <c r="L229" s="223"/>
      <c r="M229" s="223"/>
      <c r="N229" s="223"/>
      <c r="O229" s="223"/>
      <c r="P229" s="223"/>
      <c r="Q229" s="223"/>
      <c r="R229" s="158">
        <v>24</v>
      </c>
      <c r="S229" s="158">
        <v>13</v>
      </c>
      <c r="T229" s="218">
        <v>0.54166666666666663</v>
      </c>
      <c r="U229" s="219">
        <v>1.7515714285714286</v>
      </c>
      <c r="V229" s="219">
        <v>3.9615381666666667</v>
      </c>
      <c r="W229" s="158">
        <v>618</v>
      </c>
      <c r="X229" s="158">
        <v>3247.4134285714285</v>
      </c>
      <c r="Y229" s="209">
        <v>2.926469364330983E-4</v>
      </c>
    </row>
    <row r="230" spans="1:25" ht="15" customHeight="1" x14ac:dyDescent="0.25">
      <c r="A230" s="156" t="s">
        <v>111</v>
      </c>
      <c r="B230" s="157">
        <v>32</v>
      </c>
      <c r="C230" s="157">
        <v>27</v>
      </c>
      <c r="D230" s="216">
        <v>0.84375</v>
      </c>
      <c r="E230" s="217">
        <v>1.1851851851851851</v>
      </c>
      <c r="F230" s="217">
        <v>3.9537032500000002</v>
      </c>
      <c r="G230" s="157">
        <v>1281</v>
      </c>
      <c r="H230" s="157">
        <v>4554.6666666666661</v>
      </c>
      <c r="I230" s="208">
        <v>4.4145294065325982E-4</v>
      </c>
      <c r="J230" s="157">
        <v>13</v>
      </c>
      <c r="K230" s="157">
        <v>10</v>
      </c>
      <c r="L230" s="216">
        <v>0.76923076923076927</v>
      </c>
      <c r="M230" s="217">
        <v>1.3</v>
      </c>
      <c r="N230" s="217">
        <v>4.041666666666667</v>
      </c>
      <c r="O230" s="157">
        <v>485</v>
      </c>
      <c r="P230" s="157">
        <v>630.5</v>
      </c>
      <c r="Q230" s="208">
        <v>8.0911317388436728E-4</v>
      </c>
      <c r="R230" s="157">
        <v>45</v>
      </c>
      <c r="S230" s="157">
        <v>37</v>
      </c>
      <c r="T230" s="216">
        <v>0.82222222222222219</v>
      </c>
      <c r="U230" s="217">
        <v>1.2425925925925925</v>
      </c>
      <c r="V230" s="217">
        <v>3.9774771463963972</v>
      </c>
      <c r="W230" s="157">
        <v>1766</v>
      </c>
      <c r="X230" s="157">
        <v>5185.1666666666661</v>
      </c>
      <c r="Y230" s="208">
        <v>4.672713140077611E-4</v>
      </c>
    </row>
    <row r="231" spans="1:25" ht="15" customHeight="1" x14ac:dyDescent="0.25">
      <c r="A231" s="155" t="s">
        <v>202</v>
      </c>
      <c r="B231" s="158">
        <v>32</v>
      </c>
      <c r="C231" s="158">
        <v>27</v>
      </c>
      <c r="D231" s="218">
        <v>0.84375</v>
      </c>
      <c r="E231" s="219">
        <v>1.1851851851851851</v>
      </c>
      <c r="F231" s="219">
        <v>3.9537032500000002</v>
      </c>
      <c r="G231" s="158">
        <v>1281</v>
      </c>
      <c r="H231" s="158">
        <v>4554.6666666666661</v>
      </c>
      <c r="I231" s="209">
        <v>4.4145294065325982E-4</v>
      </c>
      <c r="J231" s="158">
        <v>13</v>
      </c>
      <c r="K231" s="158">
        <v>10</v>
      </c>
      <c r="L231" s="218">
        <v>0.76923076923076927</v>
      </c>
      <c r="M231" s="219">
        <v>1.3</v>
      </c>
      <c r="N231" s="219">
        <v>4.041666666666667</v>
      </c>
      <c r="O231" s="158">
        <v>485</v>
      </c>
      <c r="P231" s="158">
        <v>630.5</v>
      </c>
      <c r="Q231" s="209">
        <v>8.0911317388436728E-4</v>
      </c>
      <c r="R231" s="158">
        <v>45</v>
      </c>
      <c r="S231" s="158">
        <v>37</v>
      </c>
      <c r="T231" s="218">
        <v>0.82222222222222219</v>
      </c>
      <c r="U231" s="219">
        <v>1.2425925925925925</v>
      </c>
      <c r="V231" s="219">
        <v>3.9774771463963972</v>
      </c>
      <c r="W231" s="158">
        <v>1766</v>
      </c>
      <c r="X231" s="158">
        <v>5185.1666666666661</v>
      </c>
      <c r="Y231" s="209">
        <v>4.672713140077611E-4</v>
      </c>
    </row>
    <row r="232" spans="1:25" ht="15" customHeight="1" x14ac:dyDescent="0.25">
      <c r="A232" s="156" t="s">
        <v>112</v>
      </c>
      <c r="B232" s="157">
        <v>77</v>
      </c>
      <c r="C232" s="157">
        <v>36</v>
      </c>
      <c r="D232" s="216">
        <v>0.46753246753246752</v>
      </c>
      <c r="E232" s="217">
        <v>1.9028051948051947</v>
      </c>
      <c r="F232" s="217">
        <v>4.2986106666666677</v>
      </c>
      <c r="G232" s="157">
        <v>1857</v>
      </c>
      <c r="H232" s="157">
        <v>10600.52774025974</v>
      </c>
      <c r="I232" s="208">
        <v>1.0274372387472448E-3</v>
      </c>
      <c r="J232" s="222"/>
      <c r="K232" s="222"/>
      <c r="L232" s="222"/>
      <c r="M232" s="222"/>
      <c r="N232" s="222"/>
      <c r="O232" s="222"/>
      <c r="P232" s="222"/>
      <c r="Q232" s="222"/>
      <c r="R232" s="157">
        <v>77</v>
      </c>
      <c r="S232" s="157">
        <v>36</v>
      </c>
      <c r="T232" s="216">
        <v>0.46753246753246752</v>
      </c>
      <c r="U232" s="217">
        <v>1.9028051948051947</v>
      </c>
      <c r="V232" s="217">
        <v>4.2986106666666677</v>
      </c>
      <c r="W232" s="157">
        <v>1857</v>
      </c>
      <c r="X232" s="157">
        <v>10600.52774025974</v>
      </c>
      <c r="Y232" s="208">
        <v>9.5528704182447854E-4</v>
      </c>
    </row>
    <row r="233" spans="1:25" ht="15" customHeight="1" x14ac:dyDescent="0.25">
      <c r="A233" s="155" t="s">
        <v>198</v>
      </c>
      <c r="B233" s="158">
        <v>77</v>
      </c>
      <c r="C233" s="158">
        <v>36</v>
      </c>
      <c r="D233" s="218">
        <v>0.46753246753246752</v>
      </c>
      <c r="E233" s="219">
        <v>1.9028051948051947</v>
      </c>
      <c r="F233" s="219">
        <v>4.2986106666666677</v>
      </c>
      <c r="G233" s="158">
        <v>1857</v>
      </c>
      <c r="H233" s="158">
        <v>10600.52774025974</v>
      </c>
      <c r="I233" s="209">
        <v>1.0274372387472448E-3</v>
      </c>
      <c r="J233" s="223"/>
      <c r="K233" s="223"/>
      <c r="L233" s="223"/>
      <c r="M233" s="223"/>
      <c r="N233" s="223"/>
      <c r="O233" s="223"/>
      <c r="P233" s="223"/>
      <c r="Q233" s="223"/>
      <c r="R233" s="158">
        <v>77</v>
      </c>
      <c r="S233" s="158">
        <v>36</v>
      </c>
      <c r="T233" s="218">
        <v>0.46753246753246752</v>
      </c>
      <c r="U233" s="219">
        <v>1.9028051948051947</v>
      </c>
      <c r="V233" s="219">
        <v>4.2986106666666677</v>
      </c>
      <c r="W233" s="158">
        <v>1857</v>
      </c>
      <c r="X233" s="158">
        <v>10600.52774025974</v>
      </c>
      <c r="Y233" s="209">
        <v>9.5528704182447854E-4</v>
      </c>
    </row>
    <row r="234" spans="1:25" ht="15" customHeight="1" x14ac:dyDescent="0.25">
      <c r="A234" s="156" t="s">
        <v>113</v>
      </c>
      <c r="B234" s="222"/>
      <c r="C234" s="222"/>
      <c r="D234" s="222"/>
      <c r="E234" s="222"/>
      <c r="F234" s="222"/>
      <c r="G234" s="222"/>
      <c r="H234" s="222"/>
      <c r="I234" s="222"/>
      <c r="J234" s="157">
        <v>68</v>
      </c>
      <c r="K234" s="157">
        <v>44</v>
      </c>
      <c r="L234" s="216">
        <v>0.6470588235294118</v>
      </c>
      <c r="M234" s="217">
        <v>1.5365714285714287</v>
      </c>
      <c r="N234" s="217">
        <v>4.1306812500000003</v>
      </c>
      <c r="O234" s="157">
        <v>2181</v>
      </c>
      <c r="P234" s="157">
        <v>3351.262285714286</v>
      </c>
      <c r="Q234" s="208">
        <v>4.300635153867193E-3</v>
      </c>
      <c r="R234" s="157">
        <v>68</v>
      </c>
      <c r="S234" s="157">
        <v>44</v>
      </c>
      <c r="T234" s="216">
        <v>0.6470588235294118</v>
      </c>
      <c r="U234" s="217">
        <v>1.5365714285714287</v>
      </c>
      <c r="V234" s="217">
        <v>4.1306812500000003</v>
      </c>
      <c r="W234" s="157">
        <v>2181</v>
      </c>
      <c r="X234" s="157">
        <v>3351.262285714286</v>
      </c>
      <c r="Y234" s="208">
        <v>3.0200547687255972E-4</v>
      </c>
    </row>
    <row r="235" spans="1:25" ht="15" customHeight="1" x14ac:dyDescent="0.25">
      <c r="A235" s="155" t="s">
        <v>199</v>
      </c>
      <c r="B235" s="223"/>
      <c r="C235" s="223"/>
      <c r="D235" s="223"/>
      <c r="E235" s="223"/>
      <c r="F235" s="223"/>
      <c r="G235" s="223"/>
      <c r="H235" s="223"/>
      <c r="I235" s="223"/>
      <c r="J235" s="158">
        <v>68</v>
      </c>
      <c r="K235" s="158">
        <v>44</v>
      </c>
      <c r="L235" s="218">
        <v>0.6470588235294118</v>
      </c>
      <c r="M235" s="219">
        <v>1.5365714285714287</v>
      </c>
      <c r="N235" s="219">
        <v>4.1306812500000003</v>
      </c>
      <c r="O235" s="158">
        <v>2181</v>
      </c>
      <c r="P235" s="158">
        <v>3351.262285714286</v>
      </c>
      <c r="Q235" s="209">
        <v>4.300635153867193E-3</v>
      </c>
      <c r="R235" s="158">
        <v>68</v>
      </c>
      <c r="S235" s="158">
        <v>44</v>
      </c>
      <c r="T235" s="218">
        <v>0.6470588235294118</v>
      </c>
      <c r="U235" s="219">
        <v>1.5365714285714287</v>
      </c>
      <c r="V235" s="219">
        <v>4.1306812500000003</v>
      </c>
      <c r="W235" s="158">
        <v>2181</v>
      </c>
      <c r="X235" s="158">
        <v>3351.262285714286</v>
      </c>
      <c r="Y235" s="209">
        <v>3.0200547687255972E-4</v>
      </c>
    </row>
    <row r="236" spans="1:25" ht="15" customHeight="1" x14ac:dyDescent="0.25">
      <c r="A236" s="156" t="s">
        <v>114</v>
      </c>
      <c r="B236" s="157">
        <v>548</v>
      </c>
      <c r="C236" s="157">
        <v>334</v>
      </c>
      <c r="D236" s="216">
        <v>0.60948905109489049</v>
      </c>
      <c r="E236" s="217">
        <v>1.6132137643378519</v>
      </c>
      <c r="F236" s="217">
        <v>4.3979535833333339</v>
      </c>
      <c r="G236" s="157">
        <v>17627</v>
      </c>
      <c r="H236" s="157">
        <v>85308.35707194994</v>
      </c>
      <c r="I236" s="208">
        <v>8.2683603099481754E-3</v>
      </c>
      <c r="J236" s="157">
        <v>366</v>
      </c>
      <c r="K236" s="157">
        <v>130</v>
      </c>
      <c r="L236" s="216">
        <v>0.3551912568306011</v>
      </c>
      <c r="M236" s="217">
        <v>2.1319812646370027</v>
      </c>
      <c r="N236" s="217">
        <v>4.0416662500000005</v>
      </c>
      <c r="O236" s="157">
        <v>6305</v>
      </c>
      <c r="P236" s="157">
        <v>13442.141873536302</v>
      </c>
      <c r="Q236" s="208">
        <v>1.7250141276924525E-2</v>
      </c>
      <c r="R236" s="157">
        <v>914</v>
      </c>
      <c r="S236" s="157">
        <v>464</v>
      </c>
      <c r="T236" s="216">
        <v>0.50765864332603938</v>
      </c>
      <c r="U236" s="217">
        <v>1.8725975144874272</v>
      </c>
      <c r="V236" s="217">
        <v>4.2981317011494262</v>
      </c>
      <c r="W236" s="157">
        <v>23932</v>
      </c>
      <c r="X236" s="157">
        <v>98750.498945486237</v>
      </c>
      <c r="Y236" s="208">
        <v>8.8990920384133046E-3</v>
      </c>
    </row>
    <row r="237" spans="1:25" ht="15" customHeight="1" x14ac:dyDescent="0.25">
      <c r="A237" s="155" t="s">
        <v>196</v>
      </c>
      <c r="B237" s="158">
        <v>548</v>
      </c>
      <c r="C237" s="158">
        <v>334</v>
      </c>
      <c r="D237" s="218">
        <v>0.60948905109489049</v>
      </c>
      <c r="E237" s="219">
        <v>1.6132137643378519</v>
      </c>
      <c r="F237" s="219">
        <v>4.3979535833333339</v>
      </c>
      <c r="G237" s="158">
        <v>17627</v>
      </c>
      <c r="H237" s="158">
        <v>85308.35707194994</v>
      </c>
      <c r="I237" s="209">
        <v>8.2683603099481754E-3</v>
      </c>
      <c r="J237" s="158">
        <v>366</v>
      </c>
      <c r="K237" s="158">
        <v>130</v>
      </c>
      <c r="L237" s="218">
        <v>0.3551912568306011</v>
      </c>
      <c r="M237" s="219">
        <v>2.1319812646370027</v>
      </c>
      <c r="N237" s="219">
        <v>4.0416662500000005</v>
      </c>
      <c r="O237" s="158">
        <v>6305</v>
      </c>
      <c r="P237" s="158">
        <v>13442.141873536302</v>
      </c>
      <c r="Q237" s="209">
        <v>1.7250141276924525E-2</v>
      </c>
      <c r="R237" s="158">
        <v>914</v>
      </c>
      <c r="S237" s="158">
        <v>464</v>
      </c>
      <c r="T237" s="218">
        <v>0.50765864332603938</v>
      </c>
      <c r="U237" s="219">
        <v>1.8725975144874272</v>
      </c>
      <c r="V237" s="219">
        <v>4.2981317011494262</v>
      </c>
      <c r="W237" s="158">
        <v>23932</v>
      </c>
      <c r="X237" s="158">
        <v>98750.498945486237</v>
      </c>
      <c r="Y237" s="209">
        <v>8.8990920384133046E-3</v>
      </c>
    </row>
    <row r="238" spans="1:25" ht="15" customHeight="1" x14ac:dyDescent="0.25">
      <c r="A238" s="156" t="s">
        <v>115</v>
      </c>
      <c r="B238" s="157">
        <v>89</v>
      </c>
      <c r="C238" s="157">
        <v>41</v>
      </c>
      <c r="D238" s="216">
        <v>0.4606741573033708</v>
      </c>
      <c r="E238" s="217">
        <v>1.9167961476725524</v>
      </c>
      <c r="F238" s="217">
        <v>4.1910563333333331</v>
      </c>
      <c r="G238" s="157">
        <v>2062</v>
      </c>
      <c r="H238" s="157">
        <v>11857.300969502408</v>
      </c>
      <c r="I238" s="208">
        <v>1.1492477417734751E-3</v>
      </c>
      <c r="J238" s="157">
        <v>35</v>
      </c>
      <c r="K238" s="157">
        <v>7</v>
      </c>
      <c r="L238" s="216">
        <v>0.2</v>
      </c>
      <c r="M238" s="217">
        <v>2.4485709999999998</v>
      </c>
      <c r="N238" s="217">
        <v>3.4523804166666672</v>
      </c>
      <c r="O238" s="157">
        <v>290</v>
      </c>
      <c r="P238" s="157">
        <v>710.08558999999991</v>
      </c>
      <c r="Q238" s="208">
        <v>9.1124441785004511E-4</v>
      </c>
      <c r="R238" s="157">
        <v>124</v>
      </c>
      <c r="S238" s="157">
        <v>48</v>
      </c>
      <c r="T238" s="216">
        <v>0.38709677419354838</v>
      </c>
      <c r="U238" s="217">
        <v>2.1826835738362762</v>
      </c>
      <c r="V238" s="217">
        <v>4.0833327621527769</v>
      </c>
      <c r="W238" s="157">
        <v>2352</v>
      </c>
      <c r="X238" s="157">
        <v>12567.386559502409</v>
      </c>
      <c r="Y238" s="208">
        <v>1.1325343250880074E-3</v>
      </c>
    </row>
    <row r="239" spans="1:25" ht="15" customHeight="1" x14ac:dyDescent="0.25">
      <c r="A239" s="155" t="s">
        <v>195</v>
      </c>
      <c r="B239" s="158">
        <v>89</v>
      </c>
      <c r="C239" s="158">
        <v>41</v>
      </c>
      <c r="D239" s="218">
        <v>0.4606741573033708</v>
      </c>
      <c r="E239" s="219">
        <v>1.9167961476725524</v>
      </c>
      <c r="F239" s="219">
        <v>4.1910563333333331</v>
      </c>
      <c r="G239" s="158">
        <v>2062</v>
      </c>
      <c r="H239" s="158">
        <v>11857.300969502408</v>
      </c>
      <c r="I239" s="209">
        <v>1.1492477417734751E-3</v>
      </c>
      <c r="J239" s="158">
        <v>35</v>
      </c>
      <c r="K239" s="158">
        <v>7</v>
      </c>
      <c r="L239" s="218">
        <v>0.2</v>
      </c>
      <c r="M239" s="219">
        <v>2.4485709999999998</v>
      </c>
      <c r="N239" s="219">
        <v>3.4523804166666672</v>
      </c>
      <c r="O239" s="158">
        <v>290</v>
      </c>
      <c r="P239" s="158">
        <v>710.08558999999991</v>
      </c>
      <c r="Q239" s="209">
        <v>9.1124441785004511E-4</v>
      </c>
      <c r="R239" s="158">
        <v>124</v>
      </c>
      <c r="S239" s="158">
        <v>48</v>
      </c>
      <c r="T239" s="218">
        <v>0.38709677419354838</v>
      </c>
      <c r="U239" s="219">
        <v>2.1826835738362762</v>
      </c>
      <c r="V239" s="219">
        <v>4.0833327621527769</v>
      </c>
      <c r="W239" s="158">
        <v>2352</v>
      </c>
      <c r="X239" s="158">
        <v>12567.386559502409</v>
      </c>
      <c r="Y239" s="209">
        <v>1.1325343250880074E-3</v>
      </c>
    </row>
    <row r="240" spans="1:25" ht="15" customHeight="1" x14ac:dyDescent="0.25">
      <c r="A240" s="156" t="s">
        <v>116</v>
      </c>
      <c r="B240" s="157">
        <v>1769</v>
      </c>
      <c r="C240" s="157">
        <v>843</v>
      </c>
      <c r="D240" s="216">
        <v>0.47654041831543242</v>
      </c>
      <c r="E240" s="217">
        <v>1.8844289752079464</v>
      </c>
      <c r="F240" s="217">
        <v>4.1927634166666667</v>
      </c>
      <c r="G240" s="157">
        <v>42414</v>
      </c>
      <c r="H240" s="157">
        <v>239778.5116634095</v>
      </c>
      <c r="I240" s="208">
        <v>2.3240104452416737E-2</v>
      </c>
      <c r="J240" s="157">
        <v>319</v>
      </c>
      <c r="K240" s="157">
        <v>110</v>
      </c>
      <c r="L240" s="216">
        <v>0.34482758620689657</v>
      </c>
      <c r="M240" s="217">
        <v>2.1531231527093597</v>
      </c>
      <c r="N240" s="217">
        <v>4.3401509999999996</v>
      </c>
      <c r="O240" s="157">
        <v>5729</v>
      </c>
      <c r="P240" s="157">
        <v>12335.242541871921</v>
      </c>
      <c r="Q240" s="208">
        <v>1.5829670489591531E-2</v>
      </c>
      <c r="R240" s="157">
        <v>2088</v>
      </c>
      <c r="S240" s="157">
        <v>953</v>
      </c>
      <c r="T240" s="216">
        <v>0.45641762452107282</v>
      </c>
      <c r="U240" s="217">
        <v>2.0187760639586529</v>
      </c>
      <c r="V240" s="217">
        <v>4.2097756246065066</v>
      </c>
      <c r="W240" s="157">
        <v>48143</v>
      </c>
      <c r="X240" s="157">
        <v>252113.75420528144</v>
      </c>
      <c r="Y240" s="208">
        <v>2.2719718146044468E-2</v>
      </c>
    </row>
    <row r="241" spans="1:25" ht="15" customHeight="1" x14ac:dyDescent="0.25">
      <c r="A241" s="155" t="s">
        <v>194</v>
      </c>
      <c r="B241" s="158">
        <v>1769</v>
      </c>
      <c r="C241" s="158">
        <v>843</v>
      </c>
      <c r="D241" s="218">
        <v>0.47654041831543242</v>
      </c>
      <c r="E241" s="219">
        <v>1.8844289752079464</v>
      </c>
      <c r="F241" s="219">
        <v>4.1927634166666667</v>
      </c>
      <c r="G241" s="158">
        <v>42414</v>
      </c>
      <c r="H241" s="158">
        <v>239778.5116634095</v>
      </c>
      <c r="I241" s="209">
        <v>2.3240104452416737E-2</v>
      </c>
      <c r="J241" s="158">
        <v>319</v>
      </c>
      <c r="K241" s="158">
        <v>110</v>
      </c>
      <c r="L241" s="218">
        <v>0.34482758620689657</v>
      </c>
      <c r="M241" s="219">
        <v>2.1531231527093597</v>
      </c>
      <c r="N241" s="219">
        <v>4.3401509999999996</v>
      </c>
      <c r="O241" s="158">
        <v>5729</v>
      </c>
      <c r="P241" s="158">
        <v>12335.242541871921</v>
      </c>
      <c r="Q241" s="209">
        <v>1.5829670489591531E-2</v>
      </c>
      <c r="R241" s="158">
        <v>2088</v>
      </c>
      <c r="S241" s="158">
        <v>953</v>
      </c>
      <c r="T241" s="218">
        <v>0.45641762452107282</v>
      </c>
      <c r="U241" s="219">
        <v>2.0187760639586529</v>
      </c>
      <c r="V241" s="219">
        <v>4.2097756246065066</v>
      </c>
      <c r="W241" s="158">
        <v>48143</v>
      </c>
      <c r="X241" s="158">
        <v>252113.75420528144</v>
      </c>
      <c r="Y241" s="209">
        <v>2.2719718146044468E-2</v>
      </c>
    </row>
    <row r="242" spans="1:25" ht="15" customHeight="1" x14ac:dyDescent="0.25">
      <c r="A242" s="156" t="s">
        <v>538</v>
      </c>
      <c r="B242" s="157">
        <v>27</v>
      </c>
      <c r="C242" s="157">
        <v>9</v>
      </c>
      <c r="D242" s="216">
        <v>0.33333333333333331</v>
      </c>
      <c r="E242" s="217">
        <v>2.1765714285714286</v>
      </c>
      <c r="F242" s="217">
        <v>3.8611105000000006</v>
      </c>
      <c r="G242" s="157">
        <v>417</v>
      </c>
      <c r="H242" s="157">
        <v>2722.8908571428574</v>
      </c>
      <c r="I242" s="208">
        <v>2.6391133839950007E-4</v>
      </c>
      <c r="J242" s="157">
        <v>20</v>
      </c>
      <c r="K242" s="157">
        <v>8</v>
      </c>
      <c r="L242" s="216">
        <v>0.4</v>
      </c>
      <c r="M242" s="217">
        <v>2.0405714285714285</v>
      </c>
      <c r="N242" s="217">
        <v>4.364583333333333</v>
      </c>
      <c r="O242" s="157">
        <v>419</v>
      </c>
      <c r="P242" s="157">
        <v>854.99942857142855</v>
      </c>
      <c r="Q242" s="208">
        <v>1.0972106285816795E-3</v>
      </c>
      <c r="R242" s="157">
        <v>47</v>
      </c>
      <c r="S242" s="157">
        <v>17</v>
      </c>
      <c r="T242" s="216">
        <v>0.36170212765957449</v>
      </c>
      <c r="U242" s="217">
        <v>2.1085714285714285</v>
      </c>
      <c r="V242" s="217">
        <v>4.0980388921568629</v>
      </c>
      <c r="W242" s="157">
        <v>836</v>
      </c>
      <c r="X242" s="157">
        <v>3577.8902857142857</v>
      </c>
      <c r="Y242" s="208">
        <v>3.2242849702960078E-4</v>
      </c>
    </row>
    <row r="243" spans="1:25" ht="15" customHeight="1" x14ac:dyDescent="0.25">
      <c r="A243" s="155" t="s">
        <v>381</v>
      </c>
      <c r="B243" s="158">
        <v>27</v>
      </c>
      <c r="C243" s="158">
        <v>9</v>
      </c>
      <c r="D243" s="218">
        <v>0.33333333333333331</v>
      </c>
      <c r="E243" s="219">
        <v>2.1765714285714286</v>
      </c>
      <c r="F243" s="219">
        <v>3.8611105000000006</v>
      </c>
      <c r="G243" s="158">
        <v>417</v>
      </c>
      <c r="H243" s="158">
        <v>2722.8908571428574</v>
      </c>
      <c r="I243" s="209">
        <v>2.6391133839950007E-4</v>
      </c>
      <c r="J243" s="158">
        <v>20</v>
      </c>
      <c r="K243" s="158">
        <v>8</v>
      </c>
      <c r="L243" s="218">
        <v>0.4</v>
      </c>
      <c r="M243" s="219">
        <v>2.0405714285714285</v>
      </c>
      <c r="N243" s="219">
        <v>4.364583333333333</v>
      </c>
      <c r="O243" s="158">
        <v>419</v>
      </c>
      <c r="P243" s="158">
        <v>854.99942857142855</v>
      </c>
      <c r="Q243" s="209">
        <v>1.0972106285816795E-3</v>
      </c>
      <c r="R243" s="158">
        <v>47</v>
      </c>
      <c r="S243" s="158">
        <v>17</v>
      </c>
      <c r="T243" s="218">
        <v>0.36170212765957449</v>
      </c>
      <c r="U243" s="219">
        <v>2.1085714285714285</v>
      </c>
      <c r="V243" s="219">
        <v>4.0980388921568629</v>
      </c>
      <c r="W243" s="158">
        <v>836</v>
      </c>
      <c r="X243" s="158">
        <v>3577.8902857142857</v>
      </c>
      <c r="Y243" s="209">
        <v>3.2242849702960078E-4</v>
      </c>
    </row>
    <row r="244" spans="1:25" ht="15" customHeight="1" x14ac:dyDescent="0.25">
      <c r="A244" s="156" t="s">
        <v>117</v>
      </c>
      <c r="B244" s="157">
        <v>77</v>
      </c>
      <c r="C244" s="157">
        <v>35</v>
      </c>
      <c r="D244" s="216">
        <v>0.45454545454545453</v>
      </c>
      <c r="E244" s="217">
        <v>1.9292987012987013</v>
      </c>
      <c r="F244" s="217">
        <v>4.4666661666666672</v>
      </c>
      <c r="G244" s="157">
        <v>1876</v>
      </c>
      <c r="H244" s="157">
        <v>10858.093090909091</v>
      </c>
      <c r="I244" s="208">
        <v>1.0524013008347472E-3</v>
      </c>
      <c r="J244" s="157">
        <v>30</v>
      </c>
      <c r="K244" s="157">
        <v>10</v>
      </c>
      <c r="L244" s="216">
        <v>0.33333333333333331</v>
      </c>
      <c r="M244" s="217">
        <v>2.1765714285714286</v>
      </c>
      <c r="N244" s="217">
        <v>3.9083333333333332</v>
      </c>
      <c r="O244" s="157">
        <v>469</v>
      </c>
      <c r="P244" s="157">
        <v>1020.812</v>
      </c>
      <c r="Q244" s="208">
        <v>1.3099959353834239E-3</v>
      </c>
      <c r="R244" s="157">
        <v>107</v>
      </c>
      <c r="S244" s="157">
        <v>45</v>
      </c>
      <c r="T244" s="216">
        <v>0.42056074766355139</v>
      </c>
      <c r="U244" s="217">
        <v>2.0529350649350651</v>
      </c>
      <c r="V244" s="217">
        <v>4.3425922037037044</v>
      </c>
      <c r="W244" s="157">
        <v>2345</v>
      </c>
      <c r="X244" s="157">
        <v>11878.905090909091</v>
      </c>
      <c r="Y244" s="208">
        <v>1.0704904871208076E-3</v>
      </c>
    </row>
    <row r="245" spans="1:25" ht="15" customHeight="1" x14ac:dyDescent="0.25">
      <c r="A245" s="155" t="s">
        <v>193</v>
      </c>
      <c r="B245" s="158">
        <v>77</v>
      </c>
      <c r="C245" s="158">
        <v>35</v>
      </c>
      <c r="D245" s="218">
        <v>0.45454545454545453</v>
      </c>
      <c r="E245" s="219">
        <v>1.9292987012987013</v>
      </c>
      <c r="F245" s="219">
        <v>4.4666661666666672</v>
      </c>
      <c r="G245" s="158">
        <v>1876</v>
      </c>
      <c r="H245" s="158">
        <v>10858.093090909091</v>
      </c>
      <c r="I245" s="209">
        <v>1.0524013008347472E-3</v>
      </c>
      <c r="J245" s="158">
        <v>30</v>
      </c>
      <c r="K245" s="158">
        <v>10</v>
      </c>
      <c r="L245" s="218">
        <v>0.33333333333333331</v>
      </c>
      <c r="M245" s="219">
        <v>2.1765714285714286</v>
      </c>
      <c r="N245" s="219">
        <v>3.9083333333333332</v>
      </c>
      <c r="O245" s="158">
        <v>469</v>
      </c>
      <c r="P245" s="158">
        <v>1020.812</v>
      </c>
      <c r="Q245" s="209">
        <v>1.3099959353834239E-3</v>
      </c>
      <c r="R245" s="158">
        <v>107</v>
      </c>
      <c r="S245" s="158">
        <v>45</v>
      </c>
      <c r="T245" s="218">
        <v>0.42056074766355139</v>
      </c>
      <c r="U245" s="219">
        <v>2.0529350649350651</v>
      </c>
      <c r="V245" s="219">
        <v>4.3425922037037044</v>
      </c>
      <c r="W245" s="158">
        <v>2345</v>
      </c>
      <c r="X245" s="158">
        <v>11878.905090909091</v>
      </c>
      <c r="Y245" s="209">
        <v>1.0704904871208076E-3</v>
      </c>
    </row>
    <row r="246" spans="1:25" ht="15" customHeight="1" x14ac:dyDescent="0.25">
      <c r="A246" s="156" t="s">
        <v>131</v>
      </c>
      <c r="B246" s="157">
        <v>21</v>
      </c>
      <c r="C246" s="157">
        <v>5</v>
      </c>
      <c r="D246" s="216">
        <v>0.23809523809523808</v>
      </c>
      <c r="E246" s="217">
        <v>2.370857142857143</v>
      </c>
      <c r="F246" s="217">
        <v>4.5999999999999996</v>
      </c>
      <c r="G246" s="157">
        <v>276</v>
      </c>
      <c r="H246" s="157">
        <v>1963.0697142857143</v>
      </c>
      <c r="I246" s="208">
        <v>1.9026702973041202E-4</v>
      </c>
      <c r="J246" s="222"/>
      <c r="K246" s="222"/>
      <c r="L246" s="222"/>
      <c r="M246" s="222"/>
      <c r="N246" s="222"/>
      <c r="O246" s="222"/>
      <c r="P246" s="222"/>
      <c r="Q246" s="222"/>
      <c r="R246" s="157">
        <v>21</v>
      </c>
      <c r="S246" s="157">
        <v>5</v>
      </c>
      <c r="T246" s="216">
        <v>0.23809523809523808</v>
      </c>
      <c r="U246" s="217">
        <v>2.370857142857143</v>
      </c>
      <c r="V246" s="217">
        <v>4.5999999999999996</v>
      </c>
      <c r="W246" s="157">
        <v>276</v>
      </c>
      <c r="X246" s="157">
        <v>1963.0697142857143</v>
      </c>
      <c r="Y246" s="208">
        <v>1.769058207482484E-4</v>
      </c>
    </row>
    <row r="247" spans="1:25" ht="15" customHeight="1" x14ac:dyDescent="0.25">
      <c r="A247" s="155" t="s">
        <v>252</v>
      </c>
      <c r="B247" s="158">
        <v>21</v>
      </c>
      <c r="C247" s="158">
        <v>5</v>
      </c>
      <c r="D247" s="218">
        <v>0.23809523809523808</v>
      </c>
      <c r="E247" s="219">
        <v>2.370857142857143</v>
      </c>
      <c r="F247" s="219">
        <v>4.5999999999999996</v>
      </c>
      <c r="G247" s="158">
        <v>276</v>
      </c>
      <c r="H247" s="158">
        <v>1963.0697142857143</v>
      </c>
      <c r="I247" s="209">
        <v>1.9026702973041202E-4</v>
      </c>
      <c r="J247" s="223"/>
      <c r="K247" s="223"/>
      <c r="L247" s="223"/>
      <c r="M247" s="223"/>
      <c r="N247" s="223"/>
      <c r="O247" s="223"/>
      <c r="P247" s="223"/>
      <c r="Q247" s="223"/>
      <c r="R247" s="158">
        <v>21</v>
      </c>
      <c r="S247" s="158">
        <v>5</v>
      </c>
      <c r="T247" s="218">
        <v>0.23809523809523808</v>
      </c>
      <c r="U247" s="219">
        <v>2.370857142857143</v>
      </c>
      <c r="V247" s="219">
        <v>4.5999999999999996</v>
      </c>
      <c r="W247" s="158">
        <v>276</v>
      </c>
      <c r="X247" s="158">
        <v>1963.0697142857143</v>
      </c>
      <c r="Y247" s="209">
        <v>1.769058207482484E-4</v>
      </c>
    </row>
    <row r="248" spans="1:25" ht="15" customHeight="1" x14ac:dyDescent="0.25">
      <c r="A248" s="156" t="s">
        <v>439</v>
      </c>
      <c r="B248" s="157">
        <v>557</v>
      </c>
      <c r="C248" s="157">
        <v>322</v>
      </c>
      <c r="D248" s="216">
        <v>0.57809694793536803</v>
      </c>
      <c r="E248" s="217">
        <v>1.6772536547832777</v>
      </c>
      <c r="F248" s="217">
        <v>4.3703413333333341</v>
      </c>
      <c r="G248" s="157">
        <v>16887</v>
      </c>
      <c r="H248" s="157">
        <v>84971.347404975633</v>
      </c>
      <c r="I248" s="208">
        <v>8.2356962492380493E-3</v>
      </c>
      <c r="J248" s="157">
        <v>561</v>
      </c>
      <c r="K248" s="157">
        <v>251</v>
      </c>
      <c r="L248" s="216">
        <v>0.44741532976827092</v>
      </c>
      <c r="M248" s="217">
        <v>1.9438441558441559</v>
      </c>
      <c r="N248" s="217">
        <v>4.2539834166666672</v>
      </c>
      <c r="O248" s="157">
        <v>12813</v>
      </c>
      <c r="P248" s="157">
        <v>24906.47516883117</v>
      </c>
      <c r="Q248" s="208">
        <v>3.1962184257137462E-2</v>
      </c>
      <c r="R248" s="157">
        <v>1118</v>
      </c>
      <c r="S248" s="157">
        <v>573</v>
      </c>
      <c r="T248" s="216">
        <v>0.51252236135957063</v>
      </c>
      <c r="U248" s="217">
        <v>1.8105489053137167</v>
      </c>
      <c r="V248" s="217">
        <v>4.3193712860674811</v>
      </c>
      <c r="W248" s="157">
        <v>29700</v>
      </c>
      <c r="X248" s="157">
        <v>109877.8225738068</v>
      </c>
      <c r="Y248" s="208">
        <v>9.9018523096733001E-3</v>
      </c>
    </row>
    <row r="249" spans="1:25" ht="15" customHeight="1" x14ac:dyDescent="0.25">
      <c r="A249" s="155" t="s">
        <v>192</v>
      </c>
      <c r="B249" s="158">
        <v>557</v>
      </c>
      <c r="C249" s="158">
        <v>322</v>
      </c>
      <c r="D249" s="218">
        <v>0.57809694793536803</v>
      </c>
      <c r="E249" s="219">
        <v>1.6772536547832777</v>
      </c>
      <c r="F249" s="219">
        <v>4.3703413333333341</v>
      </c>
      <c r="G249" s="158">
        <v>16887</v>
      </c>
      <c r="H249" s="158">
        <v>84971.347404975633</v>
      </c>
      <c r="I249" s="209">
        <v>8.2356962492380493E-3</v>
      </c>
      <c r="J249" s="158">
        <v>561</v>
      </c>
      <c r="K249" s="158">
        <v>251</v>
      </c>
      <c r="L249" s="218">
        <v>0.44741532976827092</v>
      </c>
      <c r="M249" s="219">
        <v>1.9438441558441559</v>
      </c>
      <c r="N249" s="219">
        <v>4.2539834166666672</v>
      </c>
      <c r="O249" s="158">
        <v>12813</v>
      </c>
      <c r="P249" s="158">
        <v>24906.47516883117</v>
      </c>
      <c r="Q249" s="209">
        <v>3.1962184257137462E-2</v>
      </c>
      <c r="R249" s="158">
        <v>1118</v>
      </c>
      <c r="S249" s="158">
        <v>573</v>
      </c>
      <c r="T249" s="218">
        <v>0.51252236135957063</v>
      </c>
      <c r="U249" s="219">
        <v>1.8105489053137167</v>
      </c>
      <c r="V249" s="219">
        <v>4.3193712860674811</v>
      </c>
      <c r="W249" s="158">
        <v>29700</v>
      </c>
      <c r="X249" s="158">
        <v>109877.8225738068</v>
      </c>
      <c r="Y249" s="209">
        <v>9.9018523096733001E-3</v>
      </c>
    </row>
    <row r="250" spans="1:25" ht="15" customHeight="1" x14ac:dyDescent="0.25">
      <c r="A250" s="156" t="s">
        <v>119</v>
      </c>
      <c r="B250" s="157">
        <v>899</v>
      </c>
      <c r="C250" s="157">
        <v>295</v>
      </c>
      <c r="D250" s="216">
        <v>0.32814238042269189</v>
      </c>
      <c r="E250" s="217">
        <v>2.1871609725091372</v>
      </c>
      <c r="F250" s="217">
        <v>4.2129936666666667</v>
      </c>
      <c r="G250" s="157">
        <v>14914</v>
      </c>
      <c r="H250" s="157">
        <v>97857.956232003824</v>
      </c>
      <c r="I250" s="208">
        <v>9.4847078187066929E-3</v>
      </c>
      <c r="J250" s="157">
        <v>245</v>
      </c>
      <c r="K250" s="157">
        <v>56</v>
      </c>
      <c r="L250" s="216">
        <v>0.22857142857142856</v>
      </c>
      <c r="M250" s="217">
        <v>2.3902857142857146</v>
      </c>
      <c r="N250" s="217">
        <v>4.1681542500000006</v>
      </c>
      <c r="O250" s="157">
        <v>2801</v>
      </c>
      <c r="P250" s="157">
        <v>6695.1902857142868</v>
      </c>
      <c r="Q250" s="208">
        <v>8.591858305843093E-3</v>
      </c>
      <c r="R250" s="157">
        <v>1144</v>
      </c>
      <c r="S250" s="157">
        <v>351</v>
      </c>
      <c r="T250" s="216">
        <v>0.30681818181818182</v>
      </c>
      <c r="U250" s="217">
        <v>2.2887233433974261</v>
      </c>
      <c r="V250" s="217">
        <v>4.2058397996201329</v>
      </c>
      <c r="W250" s="157">
        <v>17715</v>
      </c>
      <c r="X250" s="157">
        <v>104553.14651771811</v>
      </c>
      <c r="Y250" s="208">
        <v>9.422008837449156E-3</v>
      </c>
    </row>
    <row r="251" spans="1:25" ht="15" customHeight="1" x14ac:dyDescent="0.25">
      <c r="A251" s="155" t="s">
        <v>191</v>
      </c>
      <c r="B251" s="158">
        <v>899</v>
      </c>
      <c r="C251" s="158">
        <v>295</v>
      </c>
      <c r="D251" s="218">
        <v>0.32814238042269189</v>
      </c>
      <c r="E251" s="219">
        <v>2.1871609725091372</v>
      </c>
      <c r="F251" s="219">
        <v>4.2129936666666667</v>
      </c>
      <c r="G251" s="158">
        <v>14914</v>
      </c>
      <c r="H251" s="158">
        <v>97857.956232003824</v>
      </c>
      <c r="I251" s="209">
        <v>9.4847078187066929E-3</v>
      </c>
      <c r="J251" s="158">
        <v>245</v>
      </c>
      <c r="K251" s="158">
        <v>56</v>
      </c>
      <c r="L251" s="218">
        <v>0.22857142857142856</v>
      </c>
      <c r="M251" s="219">
        <v>2.3902857142857146</v>
      </c>
      <c r="N251" s="219">
        <v>4.1681542500000006</v>
      </c>
      <c r="O251" s="158">
        <v>2801</v>
      </c>
      <c r="P251" s="158">
        <v>6695.1902857142868</v>
      </c>
      <c r="Q251" s="209">
        <v>8.591858305843093E-3</v>
      </c>
      <c r="R251" s="158">
        <v>1144</v>
      </c>
      <c r="S251" s="158">
        <v>351</v>
      </c>
      <c r="T251" s="218">
        <v>0.30681818181818182</v>
      </c>
      <c r="U251" s="219">
        <v>2.2887233433974261</v>
      </c>
      <c r="V251" s="219">
        <v>4.2058397996201329</v>
      </c>
      <c r="W251" s="158">
        <v>17715</v>
      </c>
      <c r="X251" s="158">
        <v>104553.14651771811</v>
      </c>
      <c r="Y251" s="209">
        <v>9.422008837449156E-3</v>
      </c>
    </row>
    <row r="252" spans="1:25" ht="15" customHeight="1" x14ac:dyDescent="0.25">
      <c r="A252" s="156" t="s">
        <v>120</v>
      </c>
      <c r="B252" s="157">
        <v>388</v>
      </c>
      <c r="C252" s="157">
        <v>229</v>
      </c>
      <c r="D252" s="216">
        <v>0.59020618556701032</v>
      </c>
      <c r="E252" s="217">
        <v>1.6525508100147275</v>
      </c>
      <c r="F252" s="217">
        <v>4.4395918333333322</v>
      </c>
      <c r="G252" s="157">
        <v>12200</v>
      </c>
      <c r="H252" s="157">
        <v>60483.359646539029</v>
      </c>
      <c r="I252" s="208">
        <v>5.8622417249458506E-3</v>
      </c>
      <c r="J252" s="157">
        <v>50</v>
      </c>
      <c r="K252" s="157">
        <v>27</v>
      </c>
      <c r="L252" s="216">
        <v>0.54</v>
      </c>
      <c r="M252" s="217">
        <v>1.7549714285714284</v>
      </c>
      <c r="N252" s="217">
        <v>4.4475302499999998</v>
      </c>
      <c r="O252" s="157">
        <v>1441</v>
      </c>
      <c r="P252" s="157">
        <v>2528.9138285714284</v>
      </c>
      <c r="Q252" s="208">
        <v>3.2453251297628791E-3</v>
      </c>
      <c r="R252" s="157">
        <v>438</v>
      </c>
      <c r="S252" s="157">
        <v>256</v>
      </c>
      <c r="T252" s="216">
        <v>0.58447488584474883</v>
      </c>
      <c r="U252" s="217">
        <v>1.7037611192930779</v>
      </c>
      <c r="V252" s="217">
        <v>4.4404290882161455</v>
      </c>
      <c r="W252" s="157">
        <v>13641</v>
      </c>
      <c r="X252" s="157">
        <v>63012.273475110458</v>
      </c>
      <c r="Y252" s="208">
        <v>5.6784727894309906E-3</v>
      </c>
    </row>
    <row r="253" spans="1:25" ht="15" customHeight="1" x14ac:dyDescent="0.25">
      <c r="A253" s="155" t="s">
        <v>190</v>
      </c>
      <c r="B253" s="158">
        <v>388</v>
      </c>
      <c r="C253" s="158">
        <v>229</v>
      </c>
      <c r="D253" s="218">
        <v>0.59020618556701032</v>
      </c>
      <c r="E253" s="219">
        <v>1.6525508100147275</v>
      </c>
      <c r="F253" s="219">
        <v>4.4395918333333322</v>
      </c>
      <c r="G253" s="158">
        <v>12200</v>
      </c>
      <c r="H253" s="158">
        <v>60483.359646539029</v>
      </c>
      <c r="I253" s="209">
        <v>5.8622417249458506E-3</v>
      </c>
      <c r="J253" s="158">
        <v>50</v>
      </c>
      <c r="K253" s="158">
        <v>27</v>
      </c>
      <c r="L253" s="218">
        <v>0.54</v>
      </c>
      <c r="M253" s="219">
        <v>1.7549714285714284</v>
      </c>
      <c r="N253" s="219">
        <v>4.4475302499999998</v>
      </c>
      <c r="O253" s="158">
        <v>1441</v>
      </c>
      <c r="P253" s="158">
        <v>2528.9138285714284</v>
      </c>
      <c r="Q253" s="209">
        <v>3.2453251297628791E-3</v>
      </c>
      <c r="R253" s="158">
        <v>438</v>
      </c>
      <c r="S253" s="158">
        <v>256</v>
      </c>
      <c r="T253" s="218">
        <v>0.58447488584474883</v>
      </c>
      <c r="U253" s="219">
        <v>1.7037611192930779</v>
      </c>
      <c r="V253" s="219">
        <v>4.4404290882161455</v>
      </c>
      <c r="W253" s="158">
        <v>13641</v>
      </c>
      <c r="X253" s="158">
        <v>63012.273475110458</v>
      </c>
      <c r="Y253" s="209">
        <v>5.6784727894309906E-3</v>
      </c>
    </row>
    <row r="254" spans="1:25" ht="15" customHeight="1" x14ac:dyDescent="0.25">
      <c r="A254" s="156" t="s">
        <v>499</v>
      </c>
      <c r="B254" s="157">
        <v>6</v>
      </c>
      <c r="C254" s="157">
        <v>6</v>
      </c>
      <c r="D254" s="216">
        <v>1</v>
      </c>
      <c r="E254" s="217">
        <v>1</v>
      </c>
      <c r="F254" s="217">
        <v>4.6944442500000001</v>
      </c>
      <c r="G254" s="157">
        <v>338</v>
      </c>
      <c r="H254" s="157">
        <v>1014</v>
      </c>
      <c r="I254" s="208">
        <v>9.8280140915340785E-5</v>
      </c>
      <c r="J254" s="222"/>
      <c r="K254" s="222"/>
      <c r="L254" s="222"/>
      <c r="M254" s="222"/>
      <c r="N254" s="222"/>
      <c r="O254" s="222"/>
      <c r="P254" s="222"/>
      <c r="Q254" s="222"/>
      <c r="R254" s="157">
        <v>6</v>
      </c>
      <c r="S254" s="157">
        <v>6</v>
      </c>
      <c r="T254" s="216">
        <v>1</v>
      </c>
      <c r="U254" s="217">
        <v>1</v>
      </c>
      <c r="V254" s="217">
        <v>4.6944442500000001</v>
      </c>
      <c r="W254" s="157">
        <v>338</v>
      </c>
      <c r="X254" s="157">
        <v>1014</v>
      </c>
      <c r="Y254" s="208">
        <v>9.1378569458494389E-5</v>
      </c>
    </row>
    <row r="255" spans="1:25" ht="15" customHeight="1" x14ac:dyDescent="0.25">
      <c r="A255" s="155" t="s">
        <v>189</v>
      </c>
      <c r="B255" s="158">
        <v>6</v>
      </c>
      <c r="C255" s="158">
        <v>6</v>
      </c>
      <c r="D255" s="218">
        <v>1</v>
      </c>
      <c r="E255" s="219">
        <v>1</v>
      </c>
      <c r="F255" s="219">
        <v>4.6944442500000001</v>
      </c>
      <c r="G255" s="158">
        <v>338</v>
      </c>
      <c r="H255" s="158">
        <v>1014</v>
      </c>
      <c r="I255" s="209">
        <v>9.8280140915340785E-5</v>
      </c>
      <c r="J255" s="223"/>
      <c r="K255" s="223"/>
      <c r="L255" s="223"/>
      <c r="M255" s="223"/>
      <c r="N255" s="223"/>
      <c r="O255" s="223"/>
      <c r="P255" s="223"/>
      <c r="Q255" s="223"/>
      <c r="R255" s="158">
        <v>6</v>
      </c>
      <c r="S255" s="158">
        <v>6</v>
      </c>
      <c r="T255" s="218">
        <v>1</v>
      </c>
      <c r="U255" s="219">
        <v>1</v>
      </c>
      <c r="V255" s="219">
        <v>4.6944442500000001</v>
      </c>
      <c r="W255" s="158">
        <v>338</v>
      </c>
      <c r="X255" s="158">
        <v>1014</v>
      </c>
      <c r="Y255" s="209">
        <v>9.1378569458494389E-5</v>
      </c>
    </row>
    <row r="256" spans="1:25" ht="15" customHeight="1" x14ac:dyDescent="0.25">
      <c r="A256" s="156" t="s">
        <v>122</v>
      </c>
      <c r="B256" s="157">
        <v>1426</v>
      </c>
      <c r="C256" s="157">
        <v>584</v>
      </c>
      <c r="D256" s="216">
        <v>0.40953716690042075</v>
      </c>
      <c r="E256" s="217">
        <v>2.0211156080945702</v>
      </c>
      <c r="F256" s="217">
        <v>4.3768544999999994</v>
      </c>
      <c r="G256" s="157">
        <v>30673</v>
      </c>
      <c r="H256" s="157">
        <v>185981.03714125426</v>
      </c>
      <c r="I256" s="208">
        <v>1.802588021481627E-2</v>
      </c>
      <c r="J256" s="157">
        <v>585</v>
      </c>
      <c r="K256" s="157">
        <v>138</v>
      </c>
      <c r="L256" s="216">
        <v>0.23589743589743589</v>
      </c>
      <c r="M256" s="217">
        <v>2.3753406593406594</v>
      </c>
      <c r="N256" s="217">
        <v>4.2173908333333339</v>
      </c>
      <c r="O256" s="157">
        <v>6984</v>
      </c>
      <c r="P256" s="157">
        <v>16589.379164835165</v>
      </c>
      <c r="Q256" s="208">
        <v>2.1288953574672441E-2</v>
      </c>
      <c r="R256" s="157">
        <v>2011</v>
      </c>
      <c r="S256" s="157">
        <v>722</v>
      </c>
      <c r="T256" s="216">
        <v>0.35902536051715567</v>
      </c>
      <c r="U256" s="217">
        <v>2.1982281337176151</v>
      </c>
      <c r="V256" s="217">
        <v>4.3463752950138499</v>
      </c>
      <c r="W256" s="157">
        <v>37657</v>
      </c>
      <c r="X256" s="157">
        <v>202570.41630608944</v>
      </c>
      <c r="Y256" s="208">
        <v>1.8255024513473488E-2</v>
      </c>
    </row>
    <row r="257" spans="1:25" ht="15" customHeight="1" x14ac:dyDescent="0.25">
      <c r="A257" s="155" t="s">
        <v>185</v>
      </c>
      <c r="B257" s="158">
        <v>1426</v>
      </c>
      <c r="C257" s="158">
        <v>584</v>
      </c>
      <c r="D257" s="218">
        <v>0.40953716690042075</v>
      </c>
      <c r="E257" s="219">
        <v>2.0211156080945702</v>
      </c>
      <c r="F257" s="219">
        <v>4.3768544999999994</v>
      </c>
      <c r="G257" s="158">
        <v>30673</v>
      </c>
      <c r="H257" s="158">
        <v>185981.03714125426</v>
      </c>
      <c r="I257" s="209">
        <v>1.802588021481627E-2</v>
      </c>
      <c r="J257" s="158">
        <v>585</v>
      </c>
      <c r="K257" s="158">
        <v>138</v>
      </c>
      <c r="L257" s="218">
        <v>0.23589743589743589</v>
      </c>
      <c r="M257" s="219">
        <v>2.3753406593406594</v>
      </c>
      <c r="N257" s="219">
        <v>4.2173908333333339</v>
      </c>
      <c r="O257" s="158">
        <v>6984</v>
      </c>
      <c r="P257" s="158">
        <v>16589.379164835165</v>
      </c>
      <c r="Q257" s="209">
        <v>2.1288953574672441E-2</v>
      </c>
      <c r="R257" s="158">
        <v>2011</v>
      </c>
      <c r="S257" s="158">
        <v>722</v>
      </c>
      <c r="T257" s="218">
        <v>0.35902536051715567</v>
      </c>
      <c r="U257" s="219">
        <v>2.1982281337176151</v>
      </c>
      <c r="V257" s="219">
        <v>4.3463752950138499</v>
      </c>
      <c r="W257" s="158">
        <v>37657</v>
      </c>
      <c r="X257" s="158">
        <v>202570.41630608944</v>
      </c>
      <c r="Y257" s="209">
        <v>1.8255024513473488E-2</v>
      </c>
    </row>
    <row r="258" spans="1:25" ht="15" customHeight="1" x14ac:dyDescent="0.25">
      <c r="A258" s="156" t="s">
        <v>123</v>
      </c>
      <c r="B258" s="157">
        <v>123</v>
      </c>
      <c r="C258" s="157">
        <v>91</v>
      </c>
      <c r="D258" s="216">
        <v>0.73983739837398377</v>
      </c>
      <c r="E258" s="217">
        <v>1.3516483516483517</v>
      </c>
      <c r="F258" s="217">
        <v>4.4697797499999998</v>
      </c>
      <c r="G258" s="157">
        <v>4881</v>
      </c>
      <c r="H258" s="157">
        <v>19792.186813186814</v>
      </c>
      <c r="I258" s="208">
        <v>1.9183223954859466E-3</v>
      </c>
      <c r="J258" s="222"/>
      <c r="K258" s="222"/>
      <c r="L258" s="222"/>
      <c r="M258" s="222"/>
      <c r="N258" s="222"/>
      <c r="O258" s="222"/>
      <c r="P258" s="222"/>
      <c r="Q258" s="222"/>
      <c r="R258" s="157">
        <v>123</v>
      </c>
      <c r="S258" s="157">
        <v>91</v>
      </c>
      <c r="T258" s="216">
        <v>0.73983739837398377</v>
      </c>
      <c r="U258" s="217">
        <v>1.3516483516483517</v>
      </c>
      <c r="V258" s="217">
        <v>4.4697797499999998</v>
      </c>
      <c r="W258" s="157">
        <v>4881</v>
      </c>
      <c r="X258" s="157">
        <v>19792.186813186814</v>
      </c>
      <c r="Y258" s="208">
        <v>1.7836111611876607E-3</v>
      </c>
    </row>
    <row r="259" spans="1:25" ht="15" customHeight="1" x14ac:dyDescent="0.25">
      <c r="A259" s="155" t="s">
        <v>184</v>
      </c>
      <c r="B259" s="158">
        <v>123</v>
      </c>
      <c r="C259" s="158">
        <v>91</v>
      </c>
      <c r="D259" s="218">
        <v>0.73983739837398377</v>
      </c>
      <c r="E259" s="219">
        <v>1.3516483516483517</v>
      </c>
      <c r="F259" s="219">
        <v>4.4697797499999998</v>
      </c>
      <c r="G259" s="158">
        <v>4881</v>
      </c>
      <c r="H259" s="158">
        <v>19792.186813186814</v>
      </c>
      <c r="I259" s="209">
        <v>1.9183223954859466E-3</v>
      </c>
      <c r="J259" s="223"/>
      <c r="K259" s="223"/>
      <c r="L259" s="223"/>
      <c r="M259" s="223"/>
      <c r="N259" s="223"/>
      <c r="O259" s="223"/>
      <c r="P259" s="223"/>
      <c r="Q259" s="223"/>
      <c r="R259" s="158">
        <v>123</v>
      </c>
      <c r="S259" s="158">
        <v>91</v>
      </c>
      <c r="T259" s="218">
        <v>0.73983739837398377</v>
      </c>
      <c r="U259" s="219">
        <v>1.3516483516483517</v>
      </c>
      <c r="V259" s="219">
        <v>4.4697797499999998</v>
      </c>
      <c r="W259" s="158">
        <v>4881</v>
      </c>
      <c r="X259" s="158">
        <v>19792.186813186814</v>
      </c>
      <c r="Y259" s="209">
        <v>1.7836111611876607E-3</v>
      </c>
    </row>
    <row r="260" spans="1:25" ht="15" customHeight="1" x14ac:dyDescent="0.25">
      <c r="A260" s="156" t="s">
        <v>124</v>
      </c>
      <c r="B260" s="157">
        <v>601</v>
      </c>
      <c r="C260" s="157">
        <v>559</v>
      </c>
      <c r="D260" s="216">
        <v>0.93011647254575702</v>
      </c>
      <c r="E260" s="217">
        <v>1.075134168157424</v>
      </c>
      <c r="F260" s="217">
        <v>4.393708583333332</v>
      </c>
      <c r="G260" s="157">
        <v>29473</v>
      </c>
      <c r="H260" s="157">
        <v>95062.288014311271</v>
      </c>
      <c r="I260" s="208">
        <v>9.2137426644785247E-3</v>
      </c>
      <c r="J260" s="157">
        <v>278</v>
      </c>
      <c r="K260" s="157">
        <v>223</v>
      </c>
      <c r="L260" s="216">
        <v>0.80215827338129497</v>
      </c>
      <c r="M260" s="217">
        <v>1.2466367713004485</v>
      </c>
      <c r="N260" s="217">
        <v>4.1397603333333333</v>
      </c>
      <c r="O260" s="157">
        <v>11078</v>
      </c>
      <c r="P260" s="157">
        <v>13810.242152466368</v>
      </c>
      <c r="Q260" s="208">
        <v>1.7722520000148675E-2</v>
      </c>
      <c r="R260" s="157">
        <v>879</v>
      </c>
      <c r="S260" s="157">
        <v>782</v>
      </c>
      <c r="T260" s="216">
        <v>0.88964732650739475</v>
      </c>
      <c r="U260" s="217">
        <v>1.1608854697289361</v>
      </c>
      <c r="V260" s="217">
        <v>4.3212911156223361</v>
      </c>
      <c r="W260" s="157">
        <v>40551</v>
      </c>
      <c r="X260" s="157">
        <v>108872.53016677764</v>
      </c>
      <c r="Y260" s="208">
        <v>9.8112584417819684E-3</v>
      </c>
    </row>
    <row r="261" spans="1:25" ht="15" customHeight="1" x14ac:dyDescent="0.25">
      <c r="A261" s="155" t="s">
        <v>179</v>
      </c>
      <c r="B261" s="158">
        <v>601</v>
      </c>
      <c r="C261" s="158">
        <v>559</v>
      </c>
      <c r="D261" s="218">
        <v>0.93011647254575702</v>
      </c>
      <c r="E261" s="219">
        <v>1.075134168157424</v>
      </c>
      <c r="F261" s="219">
        <v>4.393708583333332</v>
      </c>
      <c r="G261" s="158">
        <v>29473</v>
      </c>
      <c r="H261" s="158">
        <v>95062.288014311271</v>
      </c>
      <c r="I261" s="209">
        <v>9.2137426644785247E-3</v>
      </c>
      <c r="J261" s="158">
        <v>278</v>
      </c>
      <c r="K261" s="158">
        <v>223</v>
      </c>
      <c r="L261" s="218">
        <v>0.80215827338129497</v>
      </c>
      <c r="M261" s="219">
        <v>1.2466367713004485</v>
      </c>
      <c r="N261" s="219">
        <v>4.1397603333333333</v>
      </c>
      <c r="O261" s="158">
        <v>11078</v>
      </c>
      <c r="P261" s="158">
        <v>13810.242152466368</v>
      </c>
      <c r="Q261" s="209">
        <v>1.7722520000148675E-2</v>
      </c>
      <c r="R261" s="158">
        <v>879</v>
      </c>
      <c r="S261" s="158">
        <v>782</v>
      </c>
      <c r="T261" s="218">
        <v>0.88964732650739475</v>
      </c>
      <c r="U261" s="219">
        <v>1.1608854697289361</v>
      </c>
      <c r="V261" s="219">
        <v>4.3212911156223361</v>
      </c>
      <c r="W261" s="158">
        <v>40551</v>
      </c>
      <c r="X261" s="158">
        <v>108872.53016677764</v>
      </c>
      <c r="Y261" s="209">
        <v>9.8112584417819684E-3</v>
      </c>
    </row>
    <row r="262" spans="1:25" ht="15" customHeight="1" x14ac:dyDescent="0.25">
      <c r="A262" s="156" t="s">
        <v>125</v>
      </c>
      <c r="B262" s="157">
        <v>643</v>
      </c>
      <c r="C262" s="157">
        <v>451</v>
      </c>
      <c r="D262" s="216">
        <v>0.7013996889580093</v>
      </c>
      <c r="E262" s="217">
        <v>1.4257206208425721</v>
      </c>
      <c r="F262" s="217">
        <v>4.262009916666667</v>
      </c>
      <c r="G262" s="157">
        <v>23066</v>
      </c>
      <c r="H262" s="157">
        <v>98657.015521064299</v>
      </c>
      <c r="I262" s="208">
        <v>9.5621552146914826E-3</v>
      </c>
      <c r="J262" s="157">
        <v>253</v>
      </c>
      <c r="K262" s="157">
        <v>157</v>
      </c>
      <c r="L262" s="216">
        <v>0.62055335968379444</v>
      </c>
      <c r="M262" s="217">
        <v>1.5906425748164879</v>
      </c>
      <c r="N262" s="217">
        <v>4.3933115833333334</v>
      </c>
      <c r="O262" s="157">
        <v>8277</v>
      </c>
      <c r="P262" s="157">
        <v>13165.74859175607</v>
      </c>
      <c r="Q262" s="208">
        <v>1.6895449055732582E-2</v>
      </c>
      <c r="R262" s="157">
        <v>896</v>
      </c>
      <c r="S262" s="157">
        <v>608</v>
      </c>
      <c r="T262" s="216">
        <v>0.6785714285714286</v>
      </c>
      <c r="U262" s="217">
        <v>1.5081815978295299</v>
      </c>
      <c r="V262" s="217">
        <v>4.2959151167763148</v>
      </c>
      <c r="W262" s="157">
        <v>31343</v>
      </c>
      <c r="X262" s="157">
        <v>111822.76411282037</v>
      </c>
      <c r="Y262" s="208">
        <v>1.0077124474875927E-2</v>
      </c>
    </row>
    <row r="263" spans="1:25" ht="15" customHeight="1" x14ac:dyDescent="0.25">
      <c r="A263" s="155" t="s">
        <v>177</v>
      </c>
      <c r="B263" s="158">
        <v>643</v>
      </c>
      <c r="C263" s="158">
        <v>451</v>
      </c>
      <c r="D263" s="218">
        <v>0.7013996889580093</v>
      </c>
      <c r="E263" s="219">
        <v>1.4257206208425721</v>
      </c>
      <c r="F263" s="219">
        <v>4.262009916666667</v>
      </c>
      <c r="G263" s="158">
        <v>23066</v>
      </c>
      <c r="H263" s="158">
        <v>98657.015521064299</v>
      </c>
      <c r="I263" s="209">
        <v>9.5621552146914826E-3</v>
      </c>
      <c r="J263" s="158">
        <v>253</v>
      </c>
      <c r="K263" s="158">
        <v>157</v>
      </c>
      <c r="L263" s="218">
        <v>0.62055335968379444</v>
      </c>
      <c r="M263" s="219">
        <v>1.5906425748164879</v>
      </c>
      <c r="N263" s="219">
        <v>4.3933115833333334</v>
      </c>
      <c r="O263" s="158">
        <v>8277</v>
      </c>
      <c r="P263" s="158">
        <v>13165.74859175607</v>
      </c>
      <c r="Q263" s="209">
        <v>1.6895449055732582E-2</v>
      </c>
      <c r="R263" s="158">
        <v>896</v>
      </c>
      <c r="S263" s="158">
        <v>608</v>
      </c>
      <c r="T263" s="218">
        <v>0.6785714285714286</v>
      </c>
      <c r="U263" s="219">
        <v>1.5081815978295299</v>
      </c>
      <c r="V263" s="219">
        <v>4.2959151167763148</v>
      </c>
      <c r="W263" s="158">
        <v>31343</v>
      </c>
      <c r="X263" s="158">
        <v>111822.76411282037</v>
      </c>
      <c r="Y263" s="209">
        <v>1.0077124474875927E-2</v>
      </c>
    </row>
    <row r="264" spans="1:25" ht="15.75" customHeight="1" x14ac:dyDescent="0.25">
      <c r="A264" s="37" t="s">
        <v>13</v>
      </c>
      <c r="B264" s="159">
        <v>70980</v>
      </c>
      <c r="C264" s="159">
        <v>40249</v>
      </c>
      <c r="D264" s="220">
        <v>0.56704705550859402</v>
      </c>
      <c r="E264" s="221">
        <v>1.6319061719655357</v>
      </c>
      <c r="F264" s="221">
        <v>4.3170061854879478</v>
      </c>
      <c r="G264" s="159">
        <v>2087226</v>
      </c>
      <c r="H264" s="159">
        <v>10317445.524151891</v>
      </c>
      <c r="I264" s="210">
        <v>1</v>
      </c>
      <c r="J264" s="159">
        <v>19780</v>
      </c>
      <c r="K264" s="159">
        <v>7944</v>
      </c>
      <c r="L264" s="220">
        <v>0.40161779575328616</v>
      </c>
      <c r="M264" s="221">
        <v>1.8866862224100323</v>
      </c>
      <c r="N264" s="221">
        <v>4.25436341357209</v>
      </c>
      <c r="O264" s="159">
        <v>405560</v>
      </c>
      <c r="P264" s="159">
        <v>779248.21934750327</v>
      </c>
      <c r="Q264" s="210">
        <v>1</v>
      </c>
      <c r="R264" s="159">
        <v>90760</v>
      </c>
      <c r="S264" s="159">
        <v>48193</v>
      </c>
      <c r="T264" s="220">
        <v>0.53099382988100485</v>
      </c>
      <c r="U264" s="221">
        <v>1.73996021121655</v>
      </c>
      <c r="V264" s="221">
        <v>4.306809181674585</v>
      </c>
      <c r="W264" s="159">
        <v>2492786</v>
      </c>
      <c r="X264" s="159">
        <v>11096693.7434994</v>
      </c>
      <c r="Y264" s="210">
        <v>1</v>
      </c>
    </row>
    <row r="266" spans="1:25" x14ac:dyDescent="0.25">
      <c r="A266" s="6"/>
    </row>
    <row r="267" spans="1:25" x14ac:dyDescent="0.25">
      <c r="A267" s="144" t="s">
        <v>486</v>
      </c>
    </row>
  </sheetData>
  <mergeCells count="10">
    <mergeCell ref="B2:I2"/>
    <mergeCell ref="J2:Q2"/>
    <mergeCell ref="R2:R3"/>
    <mergeCell ref="S2:S3"/>
    <mergeCell ref="T2:T3"/>
    <mergeCell ref="U2:U3"/>
    <mergeCell ref="V2:V3"/>
    <mergeCell ref="X2:X3"/>
    <mergeCell ref="W2:W3"/>
    <mergeCell ref="Y2:Y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59999389629810485"/>
  </sheetPr>
  <dimension ref="A1:I253"/>
  <sheetViews>
    <sheetView zoomScale="90" zoomScaleNormal="90" workbookViewId="0">
      <pane xSplit="1" ySplit="1" topLeftCell="B234" activePane="bottomRight" state="frozen"/>
      <selection pane="topRight" activeCell="B1" sqref="B1"/>
      <selection pane="bottomLeft" activeCell="A5" sqref="A5"/>
      <selection pane="bottomRight"/>
    </sheetView>
  </sheetViews>
  <sheetFormatPr defaultColWidth="19.5703125" defaultRowHeight="15" x14ac:dyDescent="0.25"/>
  <cols>
    <col min="1" max="1" width="34.28515625" style="144" customWidth="1"/>
    <col min="2" max="7" width="17.42578125" style="144" customWidth="1"/>
    <col min="8" max="16384" width="19.5703125" style="144"/>
  </cols>
  <sheetData>
    <row r="1" spans="1:9" ht="24" x14ac:dyDescent="0.25">
      <c r="A1" s="307" t="s">
        <v>12</v>
      </c>
      <c r="B1" s="307" t="s">
        <v>405</v>
      </c>
      <c r="C1" s="307" t="s">
        <v>406</v>
      </c>
      <c r="D1" s="307" t="s">
        <v>407</v>
      </c>
      <c r="E1" s="307" t="s">
        <v>519</v>
      </c>
      <c r="F1" s="307" t="s">
        <v>409</v>
      </c>
      <c r="G1" s="307" t="s">
        <v>410</v>
      </c>
      <c r="H1" s="307" t="s">
        <v>411</v>
      </c>
      <c r="I1" s="307" t="s">
        <v>412</v>
      </c>
    </row>
    <row r="2" spans="1:9" x14ac:dyDescent="0.25">
      <c r="A2" s="308" t="s">
        <v>380</v>
      </c>
      <c r="B2" s="311">
        <v>425993</v>
      </c>
      <c r="C2" s="311">
        <v>91355</v>
      </c>
      <c r="D2" s="312">
        <v>0.21445188066470575</v>
      </c>
      <c r="E2" s="313">
        <v>2.4190895920154287</v>
      </c>
      <c r="F2" s="314">
        <v>4.1570015324831697</v>
      </c>
      <c r="G2" s="311">
        <v>3038103</v>
      </c>
      <c r="H2" s="311">
        <v>7349443.34677085</v>
      </c>
      <c r="I2" s="315">
        <v>2.1416532336131704E-2</v>
      </c>
    </row>
    <row r="3" spans="1:9" x14ac:dyDescent="0.25">
      <c r="A3" s="309" t="s">
        <v>379</v>
      </c>
      <c r="B3" s="316">
        <v>425993</v>
      </c>
      <c r="C3" s="316">
        <v>91355</v>
      </c>
      <c r="D3" s="317">
        <v>0.21445188066470575</v>
      </c>
      <c r="E3" s="318">
        <v>2.4190895920154287</v>
      </c>
      <c r="F3" s="319">
        <v>4.1570015324831697</v>
      </c>
      <c r="G3" s="316">
        <v>3038103</v>
      </c>
      <c r="H3" s="316">
        <v>7349443.34677085</v>
      </c>
      <c r="I3" s="320">
        <v>2.1416532336131704E-2</v>
      </c>
    </row>
    <row r="4" spans="1:9" x14ac:dyDescent="0.25">
      <c r="A4" s="308" t="s">
        <v>15</v>
      </c>
      <c r="B4" s="311">
        <v>24871</v>
      </c>
      <c r="C4" s="311">
        <v>6061</v>
      </c>
      <c r="D4" s="312">
        <v>0.24369747899159663</v>
      </c>
      <c r="E4" s="313">
        <v>2.3594285714285714</v>
      </c>
      <c r="F4" s="314">
        <v>4.278027553209041</v>
      </c>
      <c r="G4" s="311">
        <v>207433</v>
      </c>
      <c r="H4" s="311">
        <v>489423.34685714287</v>
      </c>
      <c r="I4" s="315">
        <v>1.4261965756398689E-3</v>
      </c>
    </row>
    <row r="5" spans="1:9" x14ac:dyDescent="0.25">
      <c r="A5" s="309" t="s">
        <v>321</v>
      </c>
      <c r="B5" s="316">
        <v>24871</v>
      </c>
      <c r="C5" s="316">
        <v>6061</v>
      </c>
      <c r="D5" s="317">
        <v>0.24369747899159663</v>
      </c>
      <c r="E5" s="318">
        <v>2.3594285714285714</v>
      </c>
      <c r="F5" s="319">
        <v>4.278027553209041</v>
      </c>
      <c r="G5" s="316">
        <v>207433</v>
      </c>
      <c r="H5" s="316">
        <v>489423.34685714287</v>
      </c>
      <c r="I5" s="320">
        <v>1.4261965756398689E-3</v>
      </c>
    </row>
    <row r="6" spans="1:9" x14ac:dyDescent="0.25">
      <c r="A6" s="308" t="s">
        <v>16</v>
      </c>
      <c r="B6" s="311">
        <v>1077</v>
      </c>
      <c r="C6" s="311">
        <v>418</v>
      </c>
      <c r="D6" s="312">
        <v>0.38811513463324049</v>
      </c>
      <c r="E6" s="313">
        <v>2.0648165539196182</v>
      </c>
      <c r="F6" s="314">
        <v>4.4650119617224879</v>
      </c>
      <c r="G6" s="311">
        <v>14931</v>
      </c>
      <c r="H6" s="311">
        <v>30829.775966573819</v>
      </c>
      <c r="I6" s="315">
        <v>8.9839034434346384E-5</v>
      </c>
    </row>
    <row r="7" spans="1:9" x14ac:dyDescent="0.25">
      <c r="A7" s="309" t="s">
        <v>320</v>
      </c>
      <c r="B7" s="316">
        <v>1077</v>
      </c>
      <c r="C7" s="316">
        <v>418</v>
      </c>
      <c r="D7" s="317">
        <v>0.38811513463324049</v>
      </c>
      <c r="E7" s="318">
        <v>2.0648165539196182</v>
      </c>
      <c r="F7" s="319">
        <v>4.4650119617224879</v>
      </c>
      <c r="G7" s="316">
        <v>14931</v>
      </c>
      <c r="H7" s="316">
        <v>30829.775966573819</v>
      </c>
      <c r="I7" s="320">
        <v>8.9839034434346384E-5</v>
      </c>
    </row>
    <row r="8" spans="1:9" x14ac:dyDescent="0.25">
      <c r="A8" s="308" t="s">
        <v>488</v>
      </c>
      <c r="B8" s="311">
        <v>68646</v>
      </c>
      <c r="C8" s="311">
        <v>19712</v>
      </c>
      <c r="D8" s="312">
        <v>0.28715438627159628</v>
      </c>
      <c r="E8" s="313">
        <v>2.2707764805773722</v>
      </c>
      <c r="F8" s="314">
        <v>4.3547331574675328</v>
      </c>
      <c r="G8" s="311">
        <v>686724</v>
      </c>
      <c r="H8" s="311">
        <v>1559396.7078480155</v>
      </c>
      <c r="I8" s="315">
        <v>4.544135989994133E-3</v>
      </c>
    </row>
    <row r="9" spans="1:9" x14ac:dyDescent="0.25">
      <c r="A9" s="309" t="s">
        <v>487</v>
      </c>
      <c r="B9" s="316">
        <v>68646</v>
      </c>
      <c r="C9" s="316">
        <v>19712</v>
      </c>
      <c r="D9" s="317">
        <v>0.28715438627159628</v>
      </c>
      <c r="E9" s="318">
        <v>2.2707764805773722</v>
      </c>
      <c r="F9" s="319">
        <v>4.3547331574675328</v>
      </c>
      <c r="G9" s="316">
        <v>686724</v>
      </c>
      <c r="H9" s="316">
        <v>1559396.7078480155</v>
      </c>
      <c r="I9" s="320">
        <v>4.544135989994133E-3</v>
      </c>
    </row>
    <row r="10" spans="1:9" x14ac:dyDescent="0.25">
      <c r="A10" s="308" t="s">
        <v>17</v>
      </c>
      <c r="B10" s="311">
        <v>30204</v>
      </c>
      <c r="C10" s="311">
        <v>8154</v>
      </c>
      <c r="D10" s="312">
        <v>0.26996424314660311</v>
      </c>
      <c r="E10" s="313">
        <v>2.3058443725523583</v>
      </c>
      <c r="F10" s="314">
        <v>4.4193647289673779</v>
      </c>
      <c r="G10" s="311">
        <v>288284</v>
      </c>
      <c r="H10" s="311">
        <v>664738.03909688408</v>
      </c>
      <c r="I10" s="315">
        <v>1.9370696578850817E-3</v>
      </c>
    </row>
    <row r="11" spans="1:9" x14ac:dyDescent="0.25">
      <c r="A11" s="309" t="s">
        <v>319</v>
      </c>
      <c r="B11" s="316">
        <v>30204</v>
      </c>
      <c r="C11" s="316">
        <v>8154</v>
      </c>
      <c r="D11" s="317">
        <v>0.26996424314660311</v>
      </c>
      <c r="E11" s="318">
        <v>2.3058443725523583</v>
      </c>
      <c r="F11" s="319">
        <v>4.4193647289673779</v>
      </c>
      <c r="G11" s="316">
        <v>288284</v>
      </c>
      <c r="H11" s="316">
        <v>664738.03909688408</v>
      </c>
      <c r="I11" s="320">
        <v>1.9370696578850817E-3</v>
      </c>
    </row>
    <row r="12" spans="1:9" x14ac:dyDescent="0.25">
      <c r="A12" s="308" t="s">
        <v>493</v>
      </c>
      <c r="B12" s="311">
        <v>18757</v>
      </c>
      <c r="C12" s="311">
        <v>4722</v>
      </c>
      <c r="D12" s="312">
        <v>0.25174601482113346</v>
      </c>
      <c r="E12" s="313">
        <v>2.3430095583363162</v>
      </c>
      <c r="F12" s="314">
        <v>4.2895489199491736</v>
      </c>
      <c r="G12" s="311">
        <v>162042</v>
      </c>
      <c r="H12" s="311">
        <v>379665.95485193335</v>
      </c>
      <c r="I12" s="315">
        <v>1.1063597357461573E-3</v>
      </c>
    </row>
    <row r="13" spans="1:9" x14ac:dyDescent="0.25">
      <c r="A13" s="309" t="s">
        <v>317</v>
      </c>
      <c r="B13" s="316">
        <v>18757</v>
      </c>
      <c r="C13" s="316">
        <v>4722</v>
      </c>
      <c r="D13" s="317">
        <v>0.25174601482113346</v>
      </c>
      <c r="E13" s="318">
        <v>2.3430095583363162</v>
      </c>
      <c r="F13" s="319">
        <v>4.2895489199491736</v>
      </c>
      <c r="G13" s="316">
        <v>162042</v>
      </c>
      <c r="H13" s="316">
        <v>379665.95485193335</v>
      </c>
      <c r="I13" s="320">
        <v>1.1063597357461573E-3</v>
      </c>
    </row>
    <row r="14" spans="1:9" x14ac:dyDescent="0.25">
      <c r="A14" s="308" t="s">
        <v>19</v>
      </c>
      <c r="B14" s="311">
        <v>83916</v>
      </c>
      <c r="C14" s="311">
        <v>23802</v>
      </c>
      <c r="D14" s="312">
        <v>0.28364078364078366</v>
      </c>
      <c r="E14" s="313">
        <v>2.2779442299442296</v>
      </c>
      <c r="F14" s="314">
        <v>4.079431350306697</v>
      </c>
      <c r="G14" s="311">
        <v>776789</v>
      </c>
      <c r="H14" s="311">
        <v>1769482.0204341481</v>
      </c>
      <c r="I14" s="315">
        <v>5.1563318636209596E-3</v>
      </c>
    </row>
    <row r="15" spans="1:9" x14ac:dyDescent="0.25">
      <c r="A15" s="309" t="s">
        <v>316</v>
      </c>
      <c r="B15" s="316">
        <v>83916</v>
      </c>
      <c r="C15" s="316">
        <v>23802</v>
      </c>
      <c r="D15" s="317">
        <v>0.28364078364078366</v>
      </c>
      <c r="E15" s="318">
        <v>2.2779442299442296</v>
      </c>
      <c r="F15" s="319">
        <v>4.079431350306697</v>
      </c>
      <c r="G15" s="316">
        <v>776789</v>
      </c>
      <c r="H15" s="316">
        <v>1769482.0204341481</v>
      </c>
      <c r="I15" s="320">
        <v>5.1563318636209596E-3</v>
      </c>
    </row>
    <row r="16" spans="1:9" x14ac:dyDescent="0.25">
      <c r="A16" s="308" t="s">
        <v>148</v>
      </c>
      <c r="B16" s="311">
        <v>207240</v>
      </c>
      <c r="C16" s="311">
        <v>59881</v>
      </c>
      <c r="D16" s="312">
        <v>0.28894518432734995</v>
      </c>
      <c r="E16" s="313">
        <v>2.2671232525436347</v>
      </c>
      <c r="F16" s="314">
        <v>4.2258416693107996</v>
      </c>
      <c r="G16" s="311">
        <v>2024381</v>
      </c>
      <c r="H16" s="311">
        <v>4589521.2371075358</v>
      </c>
      <c r="I16" s="315">
        <v>1.3374023765359516E-2</v>
      </c>
    </row>
    <row r="17" spans="1:9" x14ac:dyDescent="0.25">
      <c r="A17" s="309" t="s">
        <v>175</v>
      </c>
      <c r="B17" s="316">
        <v>207240</v>
      </c>
      <c r="C17" s="316">
        <v>59881</v>
      </c>
      <c r="D17" s="317">
        <v>0.28894518432734995</v>
      </c>
      <c r="E17" s="318">
        <v>2.2671232525436347</v>
      </c>
      <c r="F17" s="319">
        <v>4.2258416693107996</v>
      </c>
      <c r="G17" s="316">
        <v>2024381</v>
      </c>
      <c r="H17" s="316">
        <v>4589521.2371075358</v>
      </c>
      <c r="I17" s="320">
        <v>1.3374023765359516E-2</v>
      </c>
    </row>
    <row r="18" spans="1:9" x14ac:dyDescent="0.25">
      <c r="A18" s="308" t="s">
        <v>20</v>
      </c>
      <c r="B18" s="311">
        <v>276</v>
      </c>
      <c r="C18" s="311">
        <v>58</v>
      </c>
      <c r="D18" s="312">
        <v>0.21014492753623187</v>
      </c>
      <c r="E18" s="313">
        <v>2.4278757763975154</v>
      </c>
      <c r="F18" s="314">
        <v>4.1875</v>
      </c>
      <c r="G18" s="311">
        <v>1943</v>
      </c>
      <c r="H18" s="311">
        <v>4717.3626335403724</v>
      </c>
      <c r="I18" s="315">
        <v>1.3746558020188903E-5</v>
      </c>
    </row>
    <row r="19" spans="1:9" x14ac:dyDescent="0.25">
      <c r="A19" s="309" t="s">
        <v>315</v>
      </c>
      <c r="B19" s="316">
        <v>276</v>
      </c>
      <c r="C19" s="316">
        <v>58</v>
      </c>
      <c r="D19" s="317">
        <v>0.21014492753623187</v>
      </c>
      <c r="E19" s="318">
        <v>2.4278757763975154</v>
      </c>
      <c r="F19" s="319">
        <v>4.1875</v>
      </c>
      <c r="G19" s="316">
        <v>1943</v>
      </c>
      <c r="H19" s="316">
        <v>4717.3626335403724</v>
      </c>
      <c r="I19" s="320">
        <v>1.3746558020188903E-5</v>
      </c>
    </row>
    <row r="20" spans="1:9" ht="24" x14ac:dyDescent="0.25">
      <c r="A20" s="308" t="s">
        <v>21</v>
      </c>
      <c r="B20" s="311">
        <v>476935</v>
      </c>
      <c r="C20" s="311">
        <v>133468</v>
      </c>
      <c r="D20" s="312">
        <v>0.27984526193296783</v>
      </c>
      <c r="E20" s="313">
        <v>2.285687094228174</v>
      </c>
      <c r="F20" s="314">
        <v>4.2215615353492968</v>
      </c>
      <c r="G20" s="311">
        <v>4507547</v>
      </c>
      <c r="H20" s="311">
        <v>10302842.004526922</v>
      </c>
      <c r="I20" s="315">
        <v>3.0022838265833438E-2</v>
      </c>
    </row>
    <row r="21" spans="1:9" x14ac:dyDescent="0.25">
      <c r="A21" s="309" t="s">
        <v>314</v>
      </c>
      <c r="B21" s="316">
        <v>476935</v>
      </c>
      <c r="C21" s="316">
        <v>133468</v>
      </c>
      <c r="D21" s="317">
        <v>0.27984526193296783</v>
      </c>
      <c r="E21" s="318">
        <v>2.285687094228174</v>
      </c>
      <c r="F21" s="319">
        <v>4.2215615353492968</v>
      </c>
      <c r="G21" s="316">
        <v>4507547</v>
      </c>
      <c r="H21" s="316">
        <v>10302842.004526922</v>
      </c>
      <c r="I21" s="320">
        <v>3.0022838265833438E-2</v>
      </c>
    </row>
    <row r="22" spans="1:9" x14ac:dyDescent="0.25">
      <c r="A22" s="308" t="s">
        <v>22</v>
      </c>
      <c r="B22" s="311">
        <v>177369</v>
      </c>
      <c r="C22" s="311">
        <v>42103</v>
      </c>
      <c r="D22" s="312">
        <v>0.23737518957653253</v>
      </c>
      <c r="E22" s="313">
        <v>2.372326041835302</v>
      </c>
      <c r="F22" s="314">
        <v>4.0681839773887845</v>
      </c>
      <c r="G22" s="311">
        <v>1370262</v>
      </c>
      <c r="H22" s="311">
        <v>3250708.2267373246</v>
      </c>
      <c r="I22" s="315">
        <v>9.4726763060005038E-3</v>
      </c>
    </row>
    <row r="23" spans="1:9" x14ac:dyDescent="0.25">
      <c r="A23" s="309" t="s">
        <v>313</v>
      </c>
      <c r="B23" s="316">
        <v>177369</v>
      </c>
      <c r="C23" s="316">
        <v>42103</v>
      </c>
      <c r="D23" s="317">
        <v>0.23737518957653253</v>
      </c>
      <c r="E23" s="318">
        <v>2.372326041835302</v>
      </c>
      <c r="F23" s="319">
        <v>4.0681839773887845</v>
      </c>
      <c r="G23" s="316">
        <v>1370262</v>
      </c>
      <c r="H23" s="316">
        <v>3250708.2267373246</v>
      </c>
      <c r="I23" s="320">
        <v>9.4726763060005038E-3</v>
      </c>
    </row>
    <row r="24" spans="1:9" x14ac:dyDescent="0.25">
      <c r="A24" s="308" t="s">
        <v>23</v>
      </c>
      <c r="B24" s="311">
        <v>196902</v>
      </c>
      <c r="C24" s="311">
        <v>78496</v>
      </c>
      <c r="D24" s="312">
        <v>0.39865516856101002</v>
      </c>
      <c r="E24" s="313">
        <v>2.0433148847069682</v>
      </c>
      <c r="F24" s="314">
        <v>4.0475963743375463</v>
      </c>
      <c r="G24" s="311">
        <v>2541761</v>
      </c>
      <c r="H24" s="311">
        <v>5193618.0846676677</v>
      </c>
      <c r="I24" s="315">
        <v>1.5134382891824687E-2</v>
      </c>
    </row>
    <row r="25" spans="1:9" x14ac:dyDescent="0.25">
      <c r="A25" s="309" t="s">
        <v>311</v>
      </c>
      <c r="B25" s="316">
        <v>196902</v>
      </c>
      <c r="C25" s="316">
        <v>78496</v>
      </c>
      <c r="D25" s="317">
        <v>0.39865516856101002</v>
      </c>
      <c r="E25" s="318">
        <v>2.0433148847069682</v>
      </c>
      <c r="F25" s="319">
        <v>4.0475963743375463</v>
      </c>
      <c r="G25" s="316">
        <v>2541761</v>
      </c>
      <c r="H25" s="316">
        <v>5193618.0846676677</v>
      </c>
      <c r="I25" s="320">
        <v>1.5134382891824687E-2</v>
      </c>
    </row>
    <row r="26" spans="1:9" ht="24" x14ac:dyDescent="0.25">
      <c r="A26" s="308" t="s">
        <v>24</v>
      </c>
      <c r="B26" s="311">
        <v>532</v>
      </c>
      <c r="C26" s="311">
        <v>234</v>
      </c>
      <c r="D26" s="312">
        <v>0.43984962406015038</v>
      </c>
      <c r="E26" s="313">
        <v>1.9592781954887217</v>
      </c>
      <c r="F26" s="314">
        <v>4.607905982905983</v>
      </c>
      <c r="G26" s="311">
        <v>8626</v>
      </c>
      <c r="H26" s="311">
        <v>16900.733714285714</v>
      </c>
      <c r="I26" s="315">
        <v>4.9249323114434882E-5</v>
      </c>
    </row>
    <row r="27" spans="1:9" x14ac:dyDescent="0.25">
      <c r="A27" s="309" t="s">
        <v>310</v>
      </c>
      <c r="B27" s="316">
        <v>532</v>
      </c>
      <c r="C27" s="316">
        <v>234</v>
      </c>
      <c r="D27" s="317">
        <v>0.43984962406015038</v>
      </c>
      <c r="E27" s="318">
        <v>1.9592781954887217</v>
      </c>
      <c r="F27" s="319">
        <v>4.607905982905983</v>
      </c>
      <c r="G27" s="316">
        <v>8626</v>
      </c>
      <c r="H27" s="316">
        <v>16900.733714285714</v>
      </c>
      <c r="I27" s="320">
        <v>4.9249323114434882E-5</v>
      </c>
    </row>
    <row r="28" spans="1:9" x14ac:dyDescent="0.25">
      <c r="A28" s="308" t="s">
        <v>25</v>
      </c>
      <c r="B28" s="311">
        <v>2278</v>
      </c>
      <c r="C28" s="311">
        <v>1395</v>
      </c>
      <c r="D28" s="312">
        <v>0.61237928007023701</v>
      </c>
      <c r="E28" s="313">
        <v>1.6073176972281451</v>
      </c>
      <c r="F28" s="314">
        <v>4.025537634408602</v>
      </c>
      <c r="G28" s="311">
        <v>44925</v>
      </c>
      <c r="H28" s="311">
        <v>72208.747547974417</v>
      </c>
      <c r="I28" s="315">
        <v>2.1041879008322977E-4</v>
      </c>
    </row>
    <row r="29" spans="1:9" x14ac:dyDescent="0.25">
      <c r="A29" s="309" t="s">
        <v>309</v>
      </c>
      <c r="B29" s="316">
        <v>2278</v>
      </c>
      <c r="C29" s="316">
        <v>1395</v>
      </c>
      <c r="D29" s="317">
        <v>0.61237928007023701</v>
      </c>
      <c r="E29" s="318">
        <v>1.6073176972281451</v>
      </c>
      <c r="F29" s="319">
        <v>4.025537634408602</v>
      </c>
      <c r="G29" s="316">
        <v>44925</v>
      </c>
      <c r="H29" s="316">
        <v>72208.747547974417</v>
      </c>
      <c r="I29" s="320">
        <v>2.1041879008322977E-4</v>
      </c>
    </row>
    <row r="30" spans="1:9" ht="24" x14ac:dyDescent="0.25">
      <c r="A30" s="308" t="s">
        <v>128</v>
      </c>
      <c r="B30" s="311">
        <v>864</v>
      </c>
      <c r="C30" s="311"/>
      <c r="D30" s="312"/>
      <c r="E30" s="313"/>
      <c r="F30" s="314"/>
      <c r="G30" s="311"/>
      <c r="H30" s="311"/>
      <c r="I30" s="315"/>
    </row>
    <row r="31" spans="1:9" x14ac:dyDescent="0.25">
      <c r="A31" s="309" t="s">
        <v>307</v>
      </c>
      <c r="B31" s="316">
        <v>864</v>
      </c>
      <c r="C31" s="316"/>
      <c r="D31" s="317"/>
      <c r="E31" s="318"/>
      <c r="F31" s="319"/>
      <c r="G31" s="316"/>
      <c r="H31" s="316"/>
      <c r="I31" s="320"/>
    </row>
    <row r="32" spans="1:9" ht="24" x14ac:dyDescent="0.25">
      <c r="A32" s="308" t="s">
        <v>494</v>
      </c>
      <c r="B32" s="311">
        <v>20814</v>
      </c>
      <c r="C32" s="311">
        <v>7982</v>
      </c>
      <c r="D32" s="312">
        <v>0.3834918804650716</v>
      </c>
      <c r="E32" s="313">
        <v>2.0742479924226824</v>
      </c>
      <c r="F32" s="314">
        <v>4.2033324981207718</v>
      </c>
      <c r="G32" s="311">
        <v>268408</v>
      </c>
      <c r="H32" s="311">
        <v>556744.75515018729</v>
      </c>
      <c r="I32" s="315">
        <v>1.6223734899439156E-3</v>
      </c>
    </row>
    <row r="33" spans="1:9" x14ac:dyDescent="0.25">
      <c r="A33" s="309" t="s">
        <v>306</v>
      </c>
      <c r="B33" s="316">
        <v>20814</v>
      </c>
      <c r="C33" s="316">
        <v>7982</v>
      </c>
      <c r="D33" s="317">
        <v>0.3834918804650716</v>
      </c>
      <c r="E33" s="318">
        <v>2.0742479924226824</v>
      </c>
      <c r="F33" s="319">
        <v>4.2033324981207718</v>
      </c>
      <c r="G33" s="316">
        <v>268408</v>
      </c>
      <c r="H33" s="316">
        <v>556744.75515018729</v>
      </c>
      <c r="I33" s="320">
        <v>1.6223734899439156E-3</v>
      </c>
    </row>
    <row r="34" spans="1:9" x14ac:dyDescent="0.25">
      <c r="A34" s="308" t="s">
        <v>27</v>
      </c>
      <c r="B34" s="311">
        <v>24082</v>
      </c>
      <c r="C34" s="311">
        <v>8319</v>
      </c>
      <c r="D34" s="312">
        <v>0.34544473050411095</v>
      </c>
      <c r="E34" s="313">
        <v>2.1518641783430423</v>
      </c>
      <c r="F34" s="314">
        <v>4.1475688183675921</v>
      </c>
      <c r="G34" s="311">
        <v>276029</v>
      </c>
      <c r="H34" s="311">
        <v>593976.91728385165</v>
      </c>
      <c r="I34" s="315">
        <v>1.730869299307501E-3</v>
      </c>
    </row>
    <row r="35" spans="1:9" x14ac:dyDescent="0.25">
      <c r="A35" s="309" t="s">
        <v>305</v>
      </c>
      <c r="B35" s="316">
        <v>24082</v>
      </c>
      <c r="C35" s="316">
        <v>8319</v>
      </c>
      <c r="D35" s="317">
        <v>0.34544473050411095</v>
      </c>
      <c r="E35" s="318">
        <v>2.1518641783430423</v>
      </c>
      <c r="F35" s="319">
        <v>4.1475688183675921</v>
      </c>
      <c r="G35" s="316">
        <v>276029</v>
      </c>
      <c r="H35" s="316">
        <v>593976.91728385165</v>
      </c>
      <c r="I35" s="320">
        <v>1.730869299307501E-3</v>
      </c>
    </row>
    <row r="36" spans="1:9" x14ac:dyDescent="0.25">
      <c r="A36" s="308" t="s">
        <v>143</v>
      </c>
      <c r="B36" s="311">
        <v>8016</v>
      </c>
      <c r="C36" s="311">
        <v>1452</v>
      </c>
      <c r="D36" s="312">
        <v>0.18113772455089822</v>
      </c>
      <c r="E36" s="313">
        <v>2.4485714285714284</v>
      </c>
      <c r="F36" s="314">
        <v>4.2745351239669418</v>
      </c>
      <c r="G36" s="311">
        <v>49653</v>
      </c>
      <c r="H36" s="311">
        <v>121578.91714285713</v>
      </c>
      <c r="I36" s="315">
        <v>3.5428517338335794E-4</v>
      </c>
    </row>
    <row r="37" spans="1:9" x14ac:dyDescent="0.25">
      <c r="A37" s="309" t="s">
        <v>304</v>
      </c>
      <c r="B37" s="316">
        <v>8016</v>
      </c>
      <c r="C37" s="316">
        <v>1452</v>
      </c>
      <c r="D37" s="317">
        <v>0.18113772455089822</v>
      </c>
      <c r="E37" s="318">
        <v>2.4485714285714284</v>
      </c>
      <c r="F37" s="319">
        <v>4.2745351239669418</v>
      </c>
      <c r="G37" s="316">
        <v>49653</v>
      </c>
      <c r="H37" s="316">
        <v>121578.91714285713</v>
      </c>
      <c r="I37" s="320">
        <v>3.5428517338335794E-4</v>
      </c>
    </row>
    <row r="38" spans="1:9" x14ac:dyDescent="0.25">
      <c r="A38" s="308" t="s">
        <v>28</v>
      </c>
      <c r="B38" s="311">
        <v>621867</v>
      </c>
      <c r="C38" s="311">
        <v>161860</v>
      </c>
      <c r="D38" s="312">
        <v>0.26028073526976025</v>
      </c>
      <c r="E38" s="313">
        <v>2.3255987286211175</v>
      </c>
      <c r="F38" s="314">
        <v>4.1432140430001239</v>
      </c>
      <c r="G38" s="311">
        <v>5364965</v>
      </c>
      <c r="H38" s="311">
        <v>12476755.783096794</v>
      </c>
      <c r="I38" s="315">
        <v>3.6357698273314157E-2</v>
      </c>
    </row>
    <row r="39" spans="1:9" x14ac:dyDescent="0.25">
      <c r="A39" s="309" t="s">
        <v>303</v>
      </c>
      <c r="B39" s="316">
        <v>621867</v>
      </c>
      <c r="C39" s="316">
        <v>161860</v>
      </c>
      <c r="D39" s="317">
        <v>0.26028073526976025</v>
      </c>
      <c r="E39" s="318">
        <v>2.3255987286211175</v>
      </c>
      <c r="F39" s="319">
        <v>4.1432140430001239</v>
      </c>
      <c r="G39" s="316">
        <v>5364965</v>
      </c>
      <c r="H39" s="316">
        <v>12476755.783096794</v>
      </c>
      <c r="I39" s="320">
        <v>3.6357698273314157E-2</v>
      </c>
    </row>
    <row r="40" spans="1:9" x14ac:dyDescent="0.25">
      <c r="A40" s="308" t="s">
        <v>29</v>
      </c>
      <c r="B40" s="311">
        <v>362</v>
      </c>
      <c r="C40" s="311">
        <v>218</v>
      </c>
      <c r="D40" s="312">
        <v>0.60220994475138123</v>
      </c>
      <c r="E40" s="313">
        <v>1.6280631412786108</v>
      </c>
      <c r="F40" s="314">
        <v>4.6152522935779814</v>
      </c>
      <c r="G40" s="311">
        <v>8049</v>
      </c>
      <c r="H40" s="311">
        <v>13104.280224151538</v>
      </c>
      <c r="I40" s="315">
        <v>3.8186326218241009E-5</v>
      </c>
    </row>
    <row r="41" spans="1:9" x14ac:dyDescent="0.25">
      <c r="A41" s="309" t="s">
        <v>300</v>
      </c>
      <c r="B41" s="316">
        <v>362</v>
      </c>
      <c r="C41" s="316">
        <v>218</v>
      </c>
      <c r="D41" s="317">
        <v>0.60220994475138123</v>
      </c>
      <c r="E41" s="318">
        <v>1.6280631412786108</v>
      </c>
      <c r="F41" s="319">
        <v>4.6152522935779814</v>
      </c>
      <c r="G41" s="316">
        <v>8049</v>
      </c>
      <c r="H41" s="316">
        <v>13104.280224151538</v>
      </c>
      <c r="I41" s="320">
        <v>3.8186326218241009E-5</v>
      </c>
    </row>
    <row r="42" spans="1:9" x14ac:dyDescent="0.25">
      <c r="A42" s="308" t="s">
        <v>30</v>
      </c>
      <c r="B42" s="311">
        <v>167198</v>
      </c>
      <c r="C42" s="311">
        <v>47141</v>
      </c>
      <c r="D42" s="312">
        <v>0.28194715247790048</v>
      </c>
      <c r="E42" s="313">
        <v>2.2813992375165117</v>
      </c>
      <c r="F42" s="314">
        <v>4.2481836405676585</v>
      </c>
      <c r="G42" s="311">
        <v>1602109</v>
      </c>
      <c r="H42" s="311">
        <v>3655050.2510183412</v>
      </c>
      <c r="I42" s="315">
        <v>1.0650942962301234E-2</v>
      </c>
    </row>
    <row r="43" spans="1:9" x14ac:dyDescent="0.25">
      <c r="A43" s="309" t="s">
        <v>302</v>
      </c>
      <c r="B43" s="316">
        <v>167198</v>
      </c>
      <c r="C43" s="316">
        <v>47141</v>
      </c>
      <c r="D43" s="317">
        <v>0.28194715247790048</v>
      </c>
      <c r="E43" s="318">
        <v>2.2813992375165117</v>
      </c>
      <c r="F43" s="319">
        <v>4.2481836405676585</v>
      </c>
      <c r="G43" s="316">
        <v>1602109</v>
      </c>
      <c r="H43" s="316">
        <v>3655050.2510183412</v>
      </c>
      <c r="I43" s="320">
        <v>1.0650942962301234E-2</v>
      </c>
    </row>
    <row r="44" spans="1:9" x14ac:dyDescent="0.25">
      <c r="A44" s="308" t="s">
        <v>31</v>
      </c>
      <c r="B44" s="311">
        <v>28927</v>
      </c>
      <c r="C44" s="311">
        <v>12228</v>
      </c>
      <c r="D44" s="312">
        <v>0.42271925882393613</v>
      </c>
      <c r="E44" s="313">
        <v>1.9942241405705987</v>
      </c>
      <c r="F44" s="314">
        <v>3.9152866372260386</v>
      </c>
      <c r="G44" s="311">
        <v>383009</v>
      </c>
      <c r="H44" s="311">
        <v>763805.79385580448</v>
      </c>
      <c r="I44" s="315">
        <v>2.2257565247883549E-3</v>
      </c>
    </row>
    <row r="45" spans="1:9" x14ac:dyDescent="0.25">
      <c r="A45" s="309" t="s">
        <v>301</v>
      </c>
      <c r="B45" s="316">
        <v>28927</v>
      </c>
      <c r="C45" s="316">
        <v>12228</v>
      </c>
      <c r="D45" s="317">
        <v>0.42271925882393613</v>
      </c>
      <c r="E45" s="318">
        <v>1.9942241405705987</v>
      </c>
      <c r="F45" s="319">
        <v>3.9152866372260386</v>
      </c>
      <c r="G45" s="316">
        <v>383009</v>
      </c>
      <c r="H45" s="316">
        <v>763805.79385580448</v>
      </c>
      <c r="I45" s="320">
        <v>2.2257565247883549E-3</v>
      </c>
    </row>
    <row r="46" spans="1:9" x14ac:dyDescent="0.25">
      <c r="A46" s="308" t="s">
        <v>32</v>
      </c>
      <c r="B46" s="311">
        <v>183609</v>
      </c>
      <c r="C46" s="311">
        <v>49497</v>
      </c>
      <c r="D46" s="312">
        <v>0.26957828864598138</v>
      </c>
      <c r="E46" s="313">
        <v>2.3066317197336264</v>
      </c>
      <c r="F46" s="314">
        <v>4.1517617229327026</v>
      </c>
      <c r="G46" s="311">
        <v>1643998</v>
      </c>
      <c r="H46" s="311">
        <v>3792097.9339786423</v>
      </c>
      <c r="I46" s="315">
        <v>1.1050304654775646E-2</v>
      </c>
    </row>
    <row r="47" spans="1:9" x14ac:dyDescent="0.25">
      <c r="A47" s="309" t="s">
        <v>298</v>
      </c>
      <c r="B47" s="316">
        <v>183609</v>
      </c>
      <c r="C47" s="316">
        <v>49497</v>
      </c>
      <c r="D47" s="317">
        <v>0.26957828864598138</v>
      </c>
      <c r="E47" s="318">
        <v>2.3066317197336264</v>
      </c>
      <c r="F47" s="319">
        <v>4.1517617229327026</v>
      </c>
      <c r="G47" s="316">
        <v>1643998</v>
      </c>
      <c r="H47" s="316">
        <v>3792097.9339786423</v>
      </c>
      <c r="I47" s="320">
        <v>1.1050304654775646E-2</v>
      </c>
    </row>
    <row r="48" spans="1:9" x14ac:dyDescent="0.25">
      <c r="A48" s="308" t="s">
        <v>33</v>
      </c>
      <c r="B48" s="311">
        <v>59875</v>
      </c>
      <c r="C48" s="311">
        <v>18003</v>
      </c>
      <c r="D48" s="312">
        <v>0.30067640918580374</v>
      </c>
      <c r="E48" s="313">
        <v>2.2431915538323888</v>
      </c>
      <c r="F48" s="314">
        <v>4.0210103871576957</v>
      </c>
      <c r="G48" s="311">
        <v>579122</v>
      </c>
      <c r="H48" s="311">
        <v>1299081.5790385206</v>
      </c>
      <c r="I48" s="315">
        <v>3.7855686930324704E-3</v>
      </c>
    </row>
    <row r="49" spans="1:9" x14ac:dyDescent="0.25">
      <c r="A49" s="309" t="s">
        <v>297</v>
      </c>
      <c r="B49" s="316">
        <v>59875</v>
      </c>
      <c r="C49" s="316">
        <v>18003</v>
      </c>
      <c r="D49" s="317">
        <v>0.30067640918580374</v>
      </c>
      <c r="E49" s="318">
        <v>2.2431915538323888</v>
      </c>
      <c r="F49" s="319">
        <v>4.0210103871576957</v>
      </c>
      <c r="G49" s="316">
        <v>579122</v>
      </c>
      <c r="H49" s="316">
        <v>1299081.5790385206</v>
      </c>
      <c r="I49" s="320">
        <v>3.7855686930324704E-3</v>
      </c>
    </row>
    <row r="50" spans="1:9" x14ac:dyDescent="0.25">
      <c r="A50" s="308" t="s">
        <v>34</v>
      </c>
      <c r="B50" s="311">
        <v>1026</v>
      </c>
      <c r="C50" s="311">
        <v>231</v>
      </c>
      <c r="D50" s="312">
        <v>0.22514619883040934</v>
      </c>
      <c r="E50" s="313">
        <v>2.3972731829573934</v>
      </c>
      <c r="F50" s="314">
        <v>4.1715367965367962</v>
      </c>
      <c r="G50" s="311">
        <v>7709</v>
      </c>
      <c r="H50" s="311">
        <v>18480.578967418547</v>
      </c>
      <c r="I50" s="315">
        <v>5.3853046873278419E-5</v>
      </c>
    </row>
    <row r="51" spans="1:9" x14ac:dyDescent="0.25">
      <c r="A51" s="309" t="s">
        <v>295</v>
      </c>
      <c r="B51" s="316">
        <v>1026</v>
      </c>
      <c r="C51" s="316">
        <v>231</v>
      </c>
      <c r="D51" s="317">
        <v>0.22514619883040934</v>
      </c>
      <c r="E51" s="318">
        <v>2.3972731829573934</v>
      </c>
      <c r="F51" s="319">
        <v>4.1715367965367962</v>
      </c>
      <c r="G51" s="316">
        <v>7709</v>
      </c>
      <c r="H51" s="316">
        <v>18480.578967418547</v>
      </c>
      <c r="I51" s="320">
        <v>5.3853046873278419E-5</v>
      </c>
    </row>
    <row r="52" spans="1:9" x14ac:dyDescent="0.25">
      <c r="A52" s="308" t="s">
        <v>35</v>
      </c>
      <c r="B52" s="311">
        <v>122529</v>
      </c>
      <c r="C52" s="311">
        <v>33369</v>
      </c>
      <c r="D52" s="312">
        <v>0.27233552873197364</v>
      </c>
      <c r="E52" s="313">
        <v>2.3010069499582024</v>
      </c>
      <c r="F52" s="314">
        <v>4.0176885732266472</v>
      </c>
      <c r="G52" s="311">
        <v>1072530</v>
      </c>
      <c r="H52" s="311">
        <v>2467898.984038671</v>
      </c>
      <c r="I52" s="315">
        <v>7.191543073421112E-3</v>
      </c>
    </row>
    <row r="53" spans="1:9" x14ac:dyDescent="0.25">
      <c r="A53" s="309" t="s">
        <v>294</v>
      </c>
      <c r="B53" s="316">
        <v>122529</v>
      </c>
      <c r="C53" s="316">
        <v>33369</v>
      </c>
      <c r="D53" s="317">
        <v>0.27233552873197364</v>
      </c>
      <c r="E53" s="318">
        <v>2.3010069499582024</v>
      </c>
      <c r="F53" s="319">
        <v>4.0176885732266472</v>
      </c>
      <c r="G53" s="316">
        <v>1072530</v>
      </c>
      <c r="H53" s="316">
        <v>2467898.984038671</v>
      </c>
      <c r="I53" s="320">
        <v>7.191543073421112E-3</v>
      </c>
    </row>
    <row r="54" spans="1:9" x14ac:dyDescent="0.25">
      <c r="A54" s="308" t="s">
        <v>36</v>
      </c>
      <c r="B54" s="311">
        <v>1529</v>
      </c>
      <c r="C54" s="311">
        <v>803</v>
      </c>
      <c r="D54" s="312">
        <v>0.52517985611510787</v>
      </c>
      <c r="E54" s="313">
        <v>1.7852045220966084</v>
      </c>
      <c r="F54" s="314">
        <v>3.816936488169365</v>
      </c>
      <c r="G54" s="311">
        <v>24520</v>
      </c>
      <c r="H54" s="311">
        <v>43773.214881808839</v>
      </c>
      <c r="I54" s="315">
        <v>1.2755666351038685E-4</v>
      </c>
    </row>
    <row r="55" spans="1:9" x14ac:dyDescent="0.25">
      <c r="A55" s="309" t="s">
        <v>293</v>
      </c>
      <c r="B55" s="316">
        <v>1529</v>
      </c>
      <c r="C55" s="316">
        <v>803</v>
      </c>
      <c r="D55" s="317">
        <v>0.52517985611510787</v>
      </c>
      <c r="E55" s="318">
        <v>1.7852045220966084</v>
      </c>
      <c r="F55" s="319">
        <v>3.816936488169365</v>
      </c>
      <c r="G55" s="316">
        <v>24520</v>
      </c>
      <c r="H55" s="316">
        <v>43773.214881808839</v>
      </c>
      <c r="I55" s="320">
        <v>1.2755666351038685E-4</v>
      </c>
    </row>
    <row r="56" spans="1:9" x14ac:dyDescent="0.25">
      <c r="A56" s="308" t="s">
        <v>37</v>
      </c>
      <c r="B56" s="311">
        <v>691</v>
      </c>
      <c r="C56" s="311">
        <v>691</v>
      </c>
      <c r="D56" s="312">
        <v>1</v>
      </c>
      <c r="E56" s="313">
        <v>1</v>
      </c>
      <c r="F56" s="314">
        <v>4.7543415340086828</v>
      </c>
      <c r="G56" s="311">
        <v>26282</v>
      </c>
      <c r="H56" s="311">
        <v>26282</v>
      </c>
      <c r="I56" s="315">
        <v>7.6586657832463363E-5</v>
      </c>
    </row>
    <row r="57" spans="1:9" x14ac:dyDescent="0.25">
      <c r="A57" s="309" t="s">
        <v>290</v>
      </c>
      <c r="B57" s="316">
        <v>691</v>
      </c>
      <c r="C57" s="316">
        <v>691</v>
      </c>
      <c r="D57" s="317">
        <v>1</v>
      </c>
      <c r="E57" s="318">
        <v>1</v>
      </c>
      <c r="F57" s="319">
        <v>4.7543415340086828</v>
      </c>
      <c r="G57" s="316">
        <v>26282</v>
      </c>
      <c r="H57" s="316">
        <v>26282</v>
      </c>
      <c r="I57" s="320">
        <v>7.6586657832463363E-5</v>
      </c>
    </row>
    <row r="58" spans="1:9" x14ac:dyDescent="0.25">
      <c r="A58" s="308" t="s">
        <v>38</v>
      </c>
      <c r="B58" s="311">
        <v>270994</v>
      </c>
      <c r="C58" s="311">
        <v>85023</v>
      </c>
      <c r="D58" s="312">
        <v>0.31374495376281392</v>
      </c>
      <c r="E58" s="313">
        <v>2.2165317228952883</v>
      </c>
      <c r="F58" s="314">
        <v>4.0589678675182013</v>
      </c>
      <c r="G58" s="311">
        <v>2760845</v>
      </c>
      <c r="H58" s="311">
        <v>6119500.5244968422</v>
      </c>
      <c r="I58" s="315">
        <v>1.7832436373762261E-2</v>
      </c>
    </row>
    <row r="59" spans="1:9" x14ac:dyDescent="0.25">
      <c r="A59" s="309" t="s">
        <v>289</v>
      </c>
      <c r="B59" s="316">
        <v>270994</v>
      </c>
      <c r="C59" s="316">
        <v>85023</v>
      </c>
      <c r="D59" s="317">
        <v>0.31374495376281392</v>
      </c>
      <c r="E59" s="318">
        <v>2.2165317228952883</v>
      </c>
      <c r="F59" s="319">
        <v>4.0589678675182013</v>
      </c>
      <c r="G59" s="316">
        <v>2760845</v>
      </c>
      <c r="H59" s="316">
        <v>6119500.5244968422</v>
      </c>
      <c r="I59" s="320">
        <v>1.7832436373762261E-2</v>
      </c>
    </row>
    <row r="60" spans="1:9" x14ac:dyDescent="0.25">
      <c r="A60" s="308" t="s">
        <v>39</v>
      </c>
      <c r="B60" s="311">
        <v>13331</v>
      </c>
      <c r="C60" s="311">
        <v>4359</v>
      </c>
      <c r="D60" s="312">
        <v>0.32698222188883053</v>
      </c>
      <c r="E60" s="313">
        <v>2.1895276959182142</v>
      </c>
      <c r="F60" s="314">
        <v>4.5768238128011012</v>
      </c>
      <c r="G60" s="311">
        <v>159603</v>
      </c>
      <c r="H60" s="311">
        <v>349455.18885163474</v>
      </c>
      <c r="I60" s="315">
        <v>1.0183245177824752E-3</v>
      </c>
    </row>
    <row r="61" spans="1:9" x14ac:dyDescent="0.25">
      <c r="A61" s="309" t="s">
        <v>288</v>
      </c>
      <c r="B61" s="316">
        <v>13331</v>
      </c>
      <c r="C61" s="316">
        <v>4359</v>
      </c>
      <c r="D61" s="317">
        <v>0.32698222188883053</v>
      </c>
      <c r="E61" s="318">
        <v>2.1895276959182142</v>
      </c>
      <c r="F61" s="319">
        <v>4.5768238128011012</v>
      </c>
      <c r="G61" s="316">
        <v>159603</v>
      </c>
      <c r="H61" s="316">
        <v>349455.18885163474</v>
      </c>
      <c r="I61" s="320">
        <v>1.0183245177824752E-3</v>
      </c>
    </row>
    <row r="62" spans="1:9" x14ac:dyDescent="0.25">
      <c r="A62" s="308" t="s">
        <v>440</v>
      </c>
      <c r="B62" s="311">
        <v>470324</v>
      </c>
      <c r="C62" s="311">
        <v>148280</v>
      </c>
      <c r="D62" s="312">
        <v>0.31527202524217346</v>
      </c>
      <c r="E62" s="313">
        <v>2.2134164970773949</v>
      </c>
      <c r="F62" s="314">
        <v>4.1381592257890478</v>
      </c>
      <c r="G62" s="311">
        <v>4908850</v>
      </c>
      <c r="H62" s="311">
        <v>10865329.57167837</v>
      </c>
      <c r="I62" s="315">
        <v>3.1661946508754167E-2</v>
      </c>
    </row>
    <row r="63" spans="1:9" x14ac:dyDescent="0.25">
      <c r="A63" s="309" t="s">
        <v>287</v>
      </c>
      <c r="B63" s="316">
        <v>470324</v>
      </c>
      <c r="C63" s="316">
        <v>148280</v>
      </c>
      <c r="D63" s="317">
        <v>0.31527202524217346</v>
      </c>
      <c r="E63" s="318">
        <v>2.2134164970773949</v>
      </c>
      <c r="F63" s="319">
        <v>4.1381592257890478</v>
      </c>
      <c r="G63" s="316">
        <v>4908850</v>
      </c>
      <c r="H63" s="316">
        <v>10865329.57167837</v>
      </c>
      <c r="I63" s="320">
        <v>3.1661946508754167E-2</v>
      </c>
    </row>
    <row r="64" spans="1:9" x14ac:dyDescent="0.25">
      <c r="A64" s="308" t="s">
        <v>40</v>
      </c>
      <c r="B64" s="311">
        <v>29352</v>
      </c>
      <c r="C64" s="311">
        <v>13575</v>
      </c>
      <c r="D64" s="312">
        <v>0.46248977923139822</v>
      </c>
      <c r="E64" s="313">
        <v>1.9130922789393763</v>
      </c>
      <c r="F64" s="314">
        <v>4.4766666666666666</v>
      </c>
      <c r="G64" s="311">
        <v>486166</v>
      </c>
      <c r="H64" s="311">
        <v>930080.42088284076</v>
      </c>
      <c r="I64" s="315">
        <v>2.7102865440540155E-3</v>
      </c>
    </row>
    <row r="65" spans="1:9" x14ac:dyDescent="0.25">
      <c r="A65" s="309" t="s">
        <v>292</v>
      </c>
      <c r="B65" s="316">
        <v>29352</v>
      </c>
      <c r="C65" s="316">
        <v>13575</v>
      </c>
      <c r="D65" s="317">
        <v>0.46248977923139822</v>
      </c>
      <c r="E65" s="318">
        <v>1.9130922789393763</v>
      </c>
      <c r="F65" s="319">
        <v>4.4766666666666666</v>
      </c>
      <c r="G65" s="316">
        <v>486166</v>
      </c>
      <c r="H65" s="316">
        <v>930080.42088284076</v>
      </c>
      <c r="I65" s="320">
        <v>2.7102865440540155E-3</v>
      </c>
    </row>
    <row r="66" spans="1:9" x14ac:dyDescent="0.25">
      <c r="A66" s="308" t="s">
        <v>41</v>
      </c>
      <c r="B66" s="311">
        <v>12805</v>
      </c>
      <c r="C66" s="311">
        <v>6878</v>
      </c>
      <c r="D66" s="312">
        <v>0.53713393205778992</v>
      </c>
      <c r="E66" s="313">
        <v>1.760818207173537</v>
      </c>
      <c r="F66" s="314">
        <v>4.3069024425705145</v>
      </c>
      <c r="G66" s="311">
        <v>236983</v>
      </c>
      <c r="H66" s="311">
        <v>417283.98119060631</v>
      </c>
      <c r="I66" s="315">
        <v>1.2159799667610168E-3</v>
      </c>
    </row>
    <row r="67" spans="1:9" x14ac:dyDescent="0.25">
      <c r="A67" s="309" t="s">
        <v>291</v>
      </c>
      <c r="B67" s="316">
        <v>12805</v>
      </c>
      <c r="C67" s="316">
        <v>6878</v>
      </c>
      <c r="D67" s="317">
        <v>0.53713393205778992</v>
      </c>
      <c r="E67" s="318">
        <v>1.760818207173537</v>
      </c>
      <c r="F67" s="319">
        <v>4.3069024425705145</v>
      </c>
      <c r="G67" s="316">
        <v>236983</v>
      </c>
      <c r="H67" s="316">
        <v>417283.98119060631</v>
      </c>
      <c r="I67" s="320">
        <v>1.2159799667610168E-3</v>
      </c>
    </row>
    <row r="68" spans="1:9" x14ac:dyDescent="0.25">
      <c r="A68" s="308" t="s">
        <v>42</v>
      </c>
      <c r="B68" s="311">
        <v>39290</v>
      </c>
      <c r="C68" s="311">
        <v>10819</v>
      </c>
      <c r="D68" s="312">
        <v>0.27536268770679562</v>
      </c>
      <c r="E68" s="313">
        <v>2.2948315456495654</v>
      </c>
      <c r="F68" s="314">
        <v>4.0631758942600982</v>
      </c>
      <c r="G68" s="311">
        <v>351676</v>
      </c>
      <c r="H68" s="311">
        <v>807037.17864785658</v>
      </c>
      <c r="I68" s="315">
        <v>2.3517342766600714E-3</v>
      </c>
    </row>
    <row r="69" spans="1:9" x14ac:dyDescent="0.25">
      <c r="A69" s="309" t="s">
        <v>286</v>
      </c>
      <c r="B69" s="316">
        <v>39290</v>
      </c>
      <c r="C69" s="316">
        <v>10819</v>
      </c>
      <c r="D69" s="317">
        <v>0.27536268770679562</v>
      </c>
      <c r="E69" s="318">
        <v>2.2948315456495654</v>
      </c>
      <c r="F69" s="319">
        <v>4.0631758942600982</v>
      </c>
      <c r="G69" s="316">
        <v>351676</v>
      </c>
      <c r="H69" s="316">
        <v>807037.17864785658</v>
      </c>
      <c r="I69" s="320">
        <v>2.3517342766600714E-3</v>
      </c>
    </row>
    <row r="70" spans="1:9" x14ac:dyDescent="0.25">
      <c r="A70" s="308" t="s">
        <v>43</v>
      </c>
      <c r="B70" s="311">
        <v>402698</v>
      </c>
      <c r="C70" s="311">
        <v>99422</v>
      </c>
      <c r="D70" s="312">
        <v>0.24688972877938306</v>
      </c>
      <c r="E70" s="313">
        <v>2.3529163818614869</v>
      </c>
      <c r="F70" s="314">
        <v>4.1904093158455877</v>
      </c>
      <c r="G70" s="311">
        <v>3332951</v>
      </c>
      <c r="H70" s="311">
        <v>7842155.0078416243</v>
      </c>
      <c r="I70" s="315">
        <v>2.2852311173225233E-2</v>
      </c>
    </row>
    <row r="71" spans="1:9" x14ac:dyDescent="0.25">
      <c r="A71" s="309" t="s">
        <v>285</v>
      </c>
      <c r="B71" s="316">
        <v>402698</v>
      </c>
      <c r="C71" s="316">
        <v>99422</v>
      </c>
      <c r="D71" s="317">
        <v>0.24688972877938306</v>
      </c>
      <c r="E71" s="318">
        <v>2.3529163818614869</v>
      </c>
      <c r="F71" s="319">
        <v>4.1904093158455877</v>
      </c>
      <c r="G71" s="316">
        <v>3332951</v>
      </c>
      <c r="H71" s="316">
        <v>7842155.0078416243</v>
      </c>
      <c r="I71" s="320">
        <v>2.2852311173225233E-2</v>
      </c>
    </row>
    <row r="72" spans="1:9" ht="24" x14ac:dyDescent="0.25">
      <c r="A72" s="308" t="s">
        <v>149</v>
      </c>
      <c r="B72" s="311">
        <v>15660</v>
      </c>
      <c r="C72" s="311">
        <v>5593</v>
      </c>
      <c r="D72" s="312">
        <v>0.35715197956577266</v>
      </c>
      <c r="E72" s="313">
        <v>2.1279813902572524</v>
      </c>
      <c r="F72" s="314">
        <v>4.3897505810834971</v>
      </c>
      <c r="G72" s="311">
        <v>196415</v>
      </c>
      <c r="H72" s="311">
        <v>417967.46476737823</v>
      </c>
      <c r="I72" s="315">
        <v>1.2179716615646216E-3</v>
      </c>
    </row>
    <row r="73" spans="1:9" x14ac:dyDescent="0.25">
      <c r="A73" s="309" t="s">
        <v>284</v>
      </c>
      <c r="B73" s="316">
        <v>15660</v>
      </c>
      <c r="C73" s="316">
        <v>5593</v>
      </c>
      <c r="D73" s="317">
        <v>0.35715197956577266</v>
      </c>
      <c r="E73" s="318">
        <v>2.1279813902572524</v>
      </c>
      <c r="F73" s="319">
        <v>4.3897505810834971</v>
      </c>
      <c r="G73" s="316">
        <v>196415</v>
      </c>
      <c r="H73" s="316">
        <v>417967.46476737823</v>
      </c>
      <c r="I73" s="320">
        <v>1.2179716615646216E-3</v>
      </c>
    </row>
    <row r="74" spans="1:9" ht="24" x14ac:dyDescent="0.25">
      <c r="A74" s="308" t="s">
        <v>539</v>
      </c>
      <c r="B74" s="311">
        <v>12016</v>
      </c>
      <c r="C74" s="311">
        <v>5076</v>
      </c>
      <c r="D74" s="312">
        <v>0.42243675099866845</v>
      </c>
      <c r="E74" s="313">
        <v>1.9948004565341448</v>
      </c>
      <c r="F74" s="314">
        <v>4.1138938140267927</v>
      </c>
      <c r="G74" s="311">
        <v>167057</v>
      </c>
      <c r="H74" s="311">
        <v>333245.37986722466</v>
      </c>
      <c r="I74" s="315">
        <v>9.710885732493879E-4</v>
      </c>
    </row>
    <row r="75" spans="1:9" x14ac:dyDescent="0.25">
      <c r="A75" s="309" t="s">
        <v>283</v>
      </c>
      <c r="B75" s="316">
        <v>12016</v>
      </c>
      <c r="C75" s="316">
        <v>5076</v>
      </c>
      <c r="D75" s="317">
        <v>0.42243675099866845</v>
      </c>
      <c r="E75" s="318">
        <v>1.9948004565341448</v>
      </c>
      <c r="F75" s="319">
        <v>4.1138938140267927</v>
      </c>
      <c r="G75" s="316">
        <v>167057</v>
      </c>
      <c r="H75" s="316">
        <v>333245.37986722466</v>
      </c>
      <c r="I75" s="320">
        <v>9.710885732493879E-4</v>
      </c>
    </row>
    <row r="76" spans="1:9" x14ac:dyDescent="0.25">
      <c r="A76" s="308" t="s">
        <v>46</v>
      </c>
      <c r="B76" s="311">
        <v>1949</v>
      </c>
      <c r="C76" s="311">
        <v>1110</v>
      </c>
      <c r="D76" s="312">
        <v>0.56952283222165212</v>
      </c>
      <c r="E76" s="313">
        <v>1.6947448508392582</v>
      </c>
      <c r="F76" s="314">
        <v>4.3585585585585589</v>
      </c>
      <c r="G76" s="311">
        <v>38704</v>
      </c>
      <c r="H76" s="311">
        <v>65593.404706882648</v>
      </c>
      <c r="I76" s="315">
        <v>1.9114145203379931E-4</v>
      </c>
    </row>
    <row r="77" spans="1:9" x14ac:dyDescent="0.25">
      <c r="A77" s="309" t="s">
        <v>282</v>
      </c>
      <c r="B77" s="316">
        <v>1949</v>
      </c>
      <c r="C77" s="316">
        <v>1110</v>
      </c>
      <c r="D77" s="317">
        <v>0.56952283222165212</v>
      </c>
      <c r="E77" s="318">
        <v>1.6947448508392582</v>
      </c>
      <c r="F77" s="319">
        <v>4.3585585585585589</v>
      </c>
      <c r="G77" s="316">
        <v>38704</v>
      </c>
      <c r="H77" s="316">
        <v>65593.404706882648</v>
      </c>
      <c r="I77" s="320">
        <v>1.9114145203379931E-4</v>
      </c>
    </row>
    <row r="78" spans="1:9" ht="24" x14ac:dyDescent="0.25">
      <c r="A78" s="308" t="s">
        <v>495</v>
      </c>
      <c r="B78" s="311">
        <v>1625</v>
      </c>
      <c r="C78" s="311">
        <v>808</v>
      </c>
      <c r="D78" s="312">
        <v>0.49723076923076925</v>
      </c>
      <c r="E78" s="313">
        <v>1.8422206593406592</v>
      </c>
      <c r="F78" s="314">
        <v>4.2379331683168315</v>
      </c>
      <c r="G78" s="311">
        <v>27394</v>
      </c>
      <c r="H78" s="311">
        <v>50465.792741978017</v>
      </c>
      <c r="I78" s="315">
        <v>1.470590670791372E-4</v>
      </c>
    </row>
    <row r="79" spans="1:9" x14ac:dyDescent="0.25">
      <c r="A79" s="309" t="s">
        <v>281</v>
      </c>
      <c r="B79" s="316">
        <v>1625</v>
      </c>
      <c r="C79" s="316">
        <v>808</v>
      </c>
      <c r="D79" s="317">
        <v>0.49723076923076925</v>
      </c>
      <c r="E79" s="318">
        <v>1.8422206593406592</v>
      </c>
      <c r="F79" s="319">
        <v>4.2379331683168315</v>
      </c>
      <c r="G79" s="316">
        <v>27394</v>
      </c>
      <c r="H79" s="316">
        <v>50465.792741978017</v>
      </c>
      <c r="I79" s="320">
        <v>1.470590670791372E-4</v>
      </c>
    </row>
    <row r="80" spans="1:9" x14ac:dyDescent="0.25">
      <c r="A80" s="308" t="s">
        <v>48</v>
      </c>
      <c r="B80" s="311">
        <v>2682</v>
      </c>
      <c r="C80" s="311">
        <v>2164</v>
      </c>
      <c r="D80" s="312">
        <v>0.80686055182699479</v>
      </c>
      <c r="E80" s="313">
        <v>1.2393715341959335</v>
      </c>
      <c r="F80" s="314">
        <v>4.7058109981515708</v>
      </c>
      <c r="G80" s="311">
        <v>81467</v>
      </c>
      <c r="H80" s="311">
        <v>100967.88077634011</v>
      </c>
      <c r="I80" s="315">
        <v>2.9422389989675502E-4</v>
      </c>
    </row>
    <row r="81" spans="1:9" x14ac:dyDescent="0.25">
      <c r="A81" s="309" t="s">
        <v>279</v>
      </c>
      <c r="B81" s="316">
        <v>2682</v>
      </c>
      <c r="C81" s="316">
        <v>2164</v>
      </c>
      <c r="D81" s="317">
        <v>0.80686055182699479</v>
      </c>
      <c r="E81" s="318">
        <v>1.2393715341959335</v>
      </c>
      <c r="F81" s="319">
        <v>4.7058109981515708</v>
      </c>
      <c r="G81" s="316">
        <v>81467</v>
      </c>
      <c r="H81" s="316">
        <v>100967.88077634011</v>
      </c>
      <c r="I81" s="320">
        <v>2.9422389989675502E-4</v>
      </c>
    </row>
    <row r="82" spans="1:9" ht="24" x14ac:dyDescent="0.25">
      <c r="A82" s="308" t="s">
        <v>49</v>
      </c>
      <c r="B82" s="311">
        <v>176009</v>
      </c>
      <c r="C82" s="311">
        <v>52758</v>
      </c>
      <c r="D82" s="312">
        <v>0.29974603571408281</v>
      </c>
      <c r="E82" s="313">
        <v>2.2450895157146995</v>
      </c>
      <c r="F82" s="314">
        <v>4.0560531104287501</v>
      </c>
      <c r="G82" s="311">
        <v>1711914</v>
      </c>
      <c r="H82" s="311">
        <v>3843400.1732052141</v>
      </c>
      <c r="I82" s="315">
        <v>1.1199801155867063E-2</v>
      </c>
    </row>
    <row r="83" spans="1:9" x14ac:dyDescent="0.25">
      <c r="A83" s="309" t="s">
        <v>278</v>
      </c>
      <c r="B83" s="316">
        <v>176009</v>
      </c>
      <c r="C83" s="316">
        <v>52758</v>
      </c>
      <c r="D83" s="317">
        <v>0.29974603571408281</v>
      </c>
      <c r="E83" s="318">
        <v>2.2450895157146995</v>
      </c>
      <c r="F83" s="319">
        <v>4.0560531104287501</v>
      </c>
      <c r="G83" s="316">
        <v>1711914</v>
      </c>
      <c r="H83" s="316">
        <v>3843400.1732052141</v>
      </c>
      <c r="I83" s="320">
        <v>1.1199801155867063E-2</v>
      </c>
    </row>
    <row r="84" spans="1:9" x14ac:dyDescent="0.25">
      <c r="A84" s="308" t="s">
        <v>51</v>
      </c>
      <c r="B84" s="311">
        <v>223505</v>
      </c>
      <c r="C84" s="311">
        <v>79785</v>
      </c>
      <c r="D84" s="312">
        <v>0.35697187982371759</v>
      </c>
      <c r="E84" s="313">
        <v>2.1283487937310448</v>
      </c>
      <c r="F84" s="314">
        <v>4.2171178793006208</v>
      </c>
      <c r="G84" s="311">
        <v>2691702</v>
      </c>
      <c r="H84" s="311">
        <v>5728880.7047834406</v>
      </c>
      <c r="I84" s="315">
        <v>1.6694156696607981E-2</v>
      </c>
    </row>
    <row r="85" spans="1:9" x14ac:dyDescent="0.25">
      <c r="A85" s="309" t="s">
        <v>267</v>
      </c>
      <c r="B85" s="316">
        <v>223505</v>
      </c>
      <c r="C85" s="316">
        <v>79785</v>
      </c>
      <c r="D85" s="317">
        <v>0.35697187982371759</v>
      </c>
      <c r="E85" s="318">
        <v>2.1283487937310448</v>
      </c>
      <c r="F85" s="319">
        <v>4.2171178793006208</v>
      </c>
      <c r="G85" s="316">
        <v>2691702</v>
      </c>
      <c r="H85" s="316">
        <v>5728880.7047834406</v>
      </c>
      <c r="I85" s="320">
        <v>1.6694156696607981E-2</v>
      </c>
    </row>
    <row r="86" spans="1:9" x14ac:dyDescent="0.25">
      <c r="A86" s="308" t="s">
        <v>52</v>
      </c>
      <c r="B86" s="311">
        <v>480306</v>
      </c>
      <c r="C86" s="311">
        <v>150367</v>
      </c>
      <c r="D86" s="312">
        <v>0.31306500439303275</v>
      </c>
      <c r="E86" s="313">
        <v>2.2179188196096415</v>
      </c>
      <c r="F86" s="314">
        <v>4.2216718096390826</v>
      </c>
      <c r="G86" s="311">
        <v>5078401</v>
      </c>
      <c r="H86" s="311">
        <v>11263481.151424423</v>
      </c>
      <c r="I86" s="315">
        <v>3.2822173995378692E-2</v>
      </c>
    </row>
    <row r="87" spans="1:9" x14ac:dyDescent="0.25">
      <c r="A87" s="309" t="s">
        <v>261</v>
      </c>
      <c r="B87" s="316">
        <v>480306</v>
      </c>
      <c r="C87" s="316">
        <v>150367</v>
      </c>
      <c r="D87" s="317">
        <v>0.31306500439303275</v>
      </c>
      <c r="E87" s="318">
        <v>2.2179188196096415</v>
      </c>
      <c r="F87" s="319">
        <v>4.2216718096390826</v>
      </c>
      <c r="G87" s="316">
        <v>5078401</v>
      </c>
      <c r="H87" s="316">
        <v>11263481.151424423</v>
      </c>
      <c r="I87" s="320">
        <v>3.2822173995378692E-2</v>
      </c>
    </row>
    <row r="88" spans="1:9" x14ac:dyDescent="0.25">
      <c r="A88" s="308" t="s">
        <v>53</v>
      </c>
      <c r="B88" s="311">
        <v>4962</v>
      </c>
      <c r="C88" s="311">
        <v>1297</v>
      </c>
      <c r="D88" s="312">
        <v>0.26138653768641679</v>
      </c>
      <c r="E88" s="313">
        <v>2.3233428916911381</v>
      </c>
      <c r="F88" s="314">
        <v>4.4390902081727059</v>
      </c>
      <c r="G88" s="311">
        <v>46060</v>
      </c>
      <c r="H88" s="311">
        <v>107013.17359129382</v>
      </c>
      <c r="I88" s="315">
        <v>3.118400924359799E-4</v>
      </c>
    </row>
    <row r="89" spans="1:9" x14ac:dyDescent="0.25">
      <c r="A89" s="309" t="s">
        <v>277</v>
      </c>
      <c r="B89" s="316">
        <v>4962</v>
      </c>
      <c r="C89" s="316">
        <v>1297</v>
      </c>
      <c r="D89" s="317">
        <v>0.26138653768641679</v>
      </c>
      <c r="E89" s="318">
        <v>2.3233428916911381</v>
      </c>
      <c r="F89" s="319">
        <v>4.4390902081727059</v>
      </c>
      <c r="G89" s="316">
        <v>46060</v>
      </c>
      <c r="H89" s="316">
        <v>107013.17359129382</v>
      </c>
      <c r="I89" s="320">
        <v>3.118400924359799E-4</v>
      </c>
    </row>
    <row r="90" spans="1:9" x14ac:dyDescent="0.25">
      <c r="A90" s="308" t="s">
        <v>54</v>
      </c>
      <c r="B90" s="311">
        <v>43878</v>
      </c>
      <c r="C90" s="311">
        <v>13281</v>
      </c>
      <c r="D90" s="312">
        <v>0.30268015862163272</v>
      </c>
      <c r="E90" s="313">
        <v>2.2391039049832977</v>
      </c>
      <c r="F90" s="314">
        <v>4.4668887884948418</v>
      </c>
      <c r="G90" s="311">
        <v>474598</v>
      </c>
      <c r="H90" s="311">
        <v>1062674.235097263</v>
      </c>
      <c r="I90" s="315">
        <v>3.0966695088185379E-3</v>
      </c>
    </row>
    <row r="91" spans="1:9" x14ac:dyDescent="0.25">
      <c r="A91" s="309" t="s">
        <v>276</v>
      </c>
      <c r="B91" s="316">
        <v>43878</v>
      </c>
      <c r="C91" s="316">
        <v>13281</v>
      </c>
      <c r="D91" s="317">
        <v>0.30268015862163272</v>
      </c>
      <c r="E91" s="318">
        <v>2.2391039049832977</v>
      </c>
      <c r="F91" s="319">
        <v>4.4668887884948418</v>
      </c>
      <c r="G91" s="316">
        <v>474598</v>
      </c>
      <c r="H91" s="316">
        <v>1062674.235097263</v>
      </c>
      <c r="I91" s="320">
        <v>3.0966695088185379E-3</v>
      </c>
    </row>
    <row r="92" spans="1:9" x14ac:dyDescent="0.25">
      <c r="A92" s="308" t="s">
        <v>55</v>
      </c>
      <c r="B92" s="311">
        <v>230017</v>
      </c>
      <c r="C92" s="311">
        <v>65805</v>
      </c>
      <c r="D92" s="312">
        <v>0.28608755005064845</v>
      </c>
      <c r="E92" s="313">
        <v>2.2729528264681056</v>
      </c>
      <c r="F92" s="314">
        <v>4.084814983663855</v>
      </c>
      <c r="G92" s="311">
        <v>2150410</v>
      </c>
      <c r="H92" s="311">
        <v>4887780.487565279</v>
      </c>
      <c r="I92" s="315">
        <v>1.4243161546356936E-2</v>
      </c>
    </row>
    <row r="93" spans="1:9" x14ac:dyDescent="0.25">
      <c r="A93" s="309" t="s">
        <v>275</v>
      </c>
      <c r="B93" s="316">
        <v>230017</v>
      </c>
      <c r="C93" s="316">
        <v>65805</v>
      </c>
      <c r="D93" s="317">
        <v>0.28608755005064845</v>
      </c>
      <c r="E93" s="318">
        <v>2.2729528264681056</v>
      </c>
      <c r="F93" s="319">
        <v>4.084814983663855</v>
      </c>
      <c r="G93" s="316">
        <v>2150410</v>
      </c>
      <c r="H93" s="316">
        <v>4887780.487565279</v>
      </c>
      <c r="I93" s="320">
        <v>1.4243161546356936E-2</v>
      </c>
    </row>
    <row r="94" spans="1:9" ht="24" x14ac:dyDescent="0.25">
      <c r="A94" s="308" t="s">
        <v>56</v>
      </c>
      <c r="B94" s="311">
        <v>1767</v>
      </c>
      <c r="C94" s="311">
        <v>872</v>
      </c>
      <c r="D94" s="312">
        <v>0.49349179400113186</v>
      </c>
      <c r="E94" s="313">
        <v>1.8498481688091195</v>
      </c>
      <c r="F94" s="314">
        <v>4.7431192660550456</v>
      </c>
      <c r="G94" s="311">
        <v>33088</v>
      </c>
      <c r="H94" s="311">
        <v>61207.776209556148</v>
      </c>
      <c r="I94" s="315">
        <v>1.7836157877053755E-4</v>
      </c>
    </row>
    <row r="95" spans="1:9" x14ac:dyDescent="0.25">
      <c r="A95" s="309" t="s">
        <v>274</v>
      </c>
      <c r="B95" s="316">
        <v>1767</v>
      </c>
      <c r="C95" s="316">
        <v>872</v>
      </c>
      <c r="D95" s="317">
        <v>0.49349179400113186</v>
      </c>
      <c r="E95" s="318">
        <v>1.8498481688091195</v>
      </c>
      <c r="F95" s="319">
        <v>4.7431192660550456</v>
      </c>
      <c r="G95" s="316">
        <v>33088</v>
      </c>
      <c r="H95" s="316">
        <v>61207.776209556148</v>
      </c>
      <c r="I95" s="320">
        <v>1.7836157877053755E-4</v>
      </c>
    </row>
    <row r="96" spans="1:9" x14ac:dyDescent="0.25">
      <c r="A96" s="308" t="s">
        <v>491</v>
      </c>
      <c r="B96" s="311">
        <v>22538</v>
      </c>
      <c r="C96" s="311">
        <v>10759</v>
      </c>
      <c r="D96" s="312">
        <v>0.47737155027065403</v>
      </c>
      <c r="E96" s="313">
        <v>1.8827334660192943</v>
      </c>
      <c r="F96" s="314">
        <v>4.2412863649038011</v>
      </c>
      <c r="G96" s="311">
        <v>365056</v>
      </c>
      <c r="H96" s="311">
        <v>687303.14817113953</v>
      </c>
      <c r="I96" s="315">
        <v>2.0028251668882859E-3</v>
      </c>
    </row>
    <row r="97" spans="1:9" x14ac:dyDescent="0.25">
      <c r="A97" s="309" t="s">
        <v>489</v>
      </c>
      <c r="B97" s="316">
        <v>22538</v>
      </c>
      <c r="C97" s="316">
        <v>10759</v>
      </c>
      <c r="D97" s="317">
        <v>0.47737155027065403</v>
      </c>
      <c r="E97" s="318">
        <v>1.8827334660192943</v>
      </c>
      <c r="F97" s="319">
        <v>4.2412863649038011</v>
      </c>
      <c r="G97" s="316">
        <v>365056</v>
      </c>
      <c r="H97" s="316">
        <v>687303.14817113953</v>
      </c>
      <c r="I97" s="320">
        <v>2.0028251668882859E-3</v>
      </c>
    </row>
    <row r="98" spans="1:9" x14ac:dyDescent="0.25">
      <c r="A98" s="308" t="s">
        <v>129</v>
      </c>
      <c r="B98" s="311">
        <v>3300</v>
      </c>
      <c r="C98" s="311">
        <v>2028</v>
      </c>
      <c r="D98" s="312">
        <v>0.61454545454545451</v>
      </c>
      <c r="E98" s="313">
        <v>1.6028987012987013</v>
      </c>
      <c r="F98" s="314">
        <v>3.61094674556213</v>
      </c>
      <c r="G98" s="311">
        <v>58584</v>
      </c>
      <c r="H98" s="311">
        <v>93904.217516883116</v>
      </c>
      <c r="I98" s="315">
        <v>2.7364014062821476E-4</v>
      </c>
    </row>
    <row r="99" spans="1:9" x14ac:dyDescent="0.25">
      <c r="A99" s="309" t="s">
        <v>273</v>
      </c>
      <c r="B99" s="316">
        <v>3300</v>
      </c>
      <c r="C99" s="316">
        <v>2028</v>
      </c>
      <c r="D99" s="317">
        <v>0.61454545454545451</v>
      </c>
      <c r="E99" s="318">
        <v>1.6028987012987013</v>
      </c>
      <c r="F99" s="319">
        <v>3.61094674556213</v>
      </c>
      <c r="G99" s="316">
        <v>58584</v>
      </c>
      <c r="H99" s="316">
        <v>93904.217516883116</v>
      </c>
      <c r="I99" s="320">
        <v>2.7364014062821476E-4</v>
      </c>
    </row>
    <row r="100" spans="1:9" x14ac:dyDescent="0.25">
      <c r="A100" s="308" t="s">
        <v>57</v>
      </c>
      <c r="B100" s="311">
        <v>14621</v>
      </c>
      <c r="C100" s="311">
        <v>6551</v>
      </c>
      <c r="D100" s="312">
        <v>0.44805416866151426</v>
      </c>
      <c r="E100" s="313">
        <v>1.9425409245019394</v>
      </c>
      <c r="F100" s="314">
        <v>4.3101625705999087</v>
      </c>
      <c r="G100" s="311">
        <v>225887</v>
      </c>
      <c r="H100" s="311">
        <v>438794.74181296956</v>
      </c>
      <c r="I100" s="315">
        <v>1.2786630678758848E-3</v>
      </c>
    </row>
    <row r="101" spans="1:9" x14ac:dyDescent="0.25">
      <c r="A101" s="309" t="s">
        <v>272</v>
      </c>
      <c r="B101" s="316">
        <v>14621</v>
      </c>
      <c r="C101" s="316">
        <v>6551</v>
      </c>
      <c r="D101" s="317">
        <v>0.44805416866151426</v>
      </c>
      <c r="E101" s="318">
        <v>1.9425409245019394</v>
      </c>
      <c r="F101" s="319">
        <v>4.3101625705999087</v>
      </c>
      <c r="G101" s="316">
        <v>225887</v>
      </c>
      <c r="H101" s="316">
        <v>438794.74181296956</v>
      </c>
      <c r="I101" s="320">
        <v>1.2786630678758848E-3</v>
      </c>
    </row>
    <row r="102" spans="1:9" ht="24" x14ac:dyDescent="0.25">
      <c r="A102" s="308" t="s">
        <v>58</v>
      </c>
      <c r="B102" s="311">
        <v>262400</v>
      </c>
      <c r="C102" s="311">
        <v>67833</v>
      </c>
      <c r="D102" s="312">
        <v>0.25850990853658534</v>
      </c>
      <c r="E102" s="313">
        <v>2.3292112151567945</v>
      </c>
      <c r="F102" s="314">
        <v>3.937287161116271</v>
      </c>
      <c r="G102" s="311">
        <v>2136624</v>
      </c>
      <c r="H102" s="311">
        <v>4976648.5833731713</v>
      </c>
      <c r="I102" s="315">
        <v>1.450212625398427E-2</v>
      </c>
    </row>
    <row r="103" spans="1:9" x14ac:dyDescent="0.25">
      <c r="A103" s="309" t="s">
        <v>271</v>
      </c>
      <c r="B103" s="316">
        <v>262400</v>
      </c>
      <c r="C103" s="316">
        <v>67833</v>
      </c>
      <c r="D103" s="317">
        <v>0.25850990853658534</v>
      </c>
      <c r="E103" s="318">
        <v>2.3292112151567945</v>
      </c>
      <c r="F103" s="319">
        <v>3.937287161116271</v>
      </c>
      <c r="G103" s="316">
        <v>2136624</v>
      </c>
      <c r="H103" s="316">
        <v>4976648.5833731713</v>
      </c>
      <c r="I103" s="320">
        <v>1.450212625398427E-2</v>
      </c>
    </row>
    <row r="104" spans="1:9" x14ac:dyDescent="0.25">
      <c r="A104" s="308" t="s">
        <v>59</v>
      </c>
      <c r="B104" s="311">
        <v>717190</v>
      </c>
      <c r="C104" s="311">
        <v>229783</v>
      </c>
      <c r="D104" s="312">
        <v>0.32039348010987323</v>
      </c>
      <c r="E104" s="313">
        <v>2.2029687291472873</v>
      </c>
      <c r="F104" s="314">
        <v>4.1493713634167886</v>
      </c>
      <c r="G104" s="311">
        <v>7627640</v>
      </c>
      <c r="H104" s="311">
        <v>16803452.397193015</v>
      </c>
      <c r="I104" s="315">
        <v>4.8965841988734028E-2</v>
      </c>
    </row>
    <row r="105" spans="1:9" x14ac:dyDescent="0.25">
      <c r="A105" s="309" t="s">
        <v>270</v>
      </c>
      <c r="B105" s="316">
        <v>717190</v>
      </c>
      <c r="C105" s="316">
        <v>229783</v>
      </c>
      <c r="D105" s="317">
        <v>0.32039348010987323</v>
      </c>
      <c r="E105" s="318">
        <v>2.2029687291472873</v>
      </c>
      <c r="F105" s="319">
        <v>4.1493713634167886</v>
      </c>
      <c r="G105" s="316">
        <v>7627640</v>
      </c>
      <c r="H105" s="316">
        <v>16803452.397193015</v>
      </c>
      <c r="I105" s="320">
        <v>4.8965841988734028E-2</v>
      </c>
    </row>
    <row r="106" spans="1:9" x14ac:dyDescent="0.25">
      <c r="A106" s="308" t="s">
        <v>469</v>
      </c>
      <c r="B106" s="311">
        <v>53343</v>
      </c>
      <c r="C106" s="311">
        <v>16773</v>
      </c>
      <c r="D106" s="312">
        <v>0.3144367583375513</v>
      </c>
      <c r="E106" s="313">
        <v>2.2151204415628238</v>
      </c>
      <c r="F106" s="314">
        <v>4.0460636141417758</v>
      </c>
      <c r="G106" s="311">
        <v>542917</v>
      </c>
      <c r="H106" s="311">
        <v>1202626.5447719637</v>
      </c>
      <c r="I106" s="315">
        <v>3.5044953840913198E-3</v>
      </c>
    </row>
    <row r="107" spans="1:9" x14ac:dyDescent="0.25">
      <c r="A107" s="309" t="s">
        <v>230</v>
      </c>
      <c r="B107" s="316">
        <v>53343</v>
      </c>
      <c r="C107" s="316">
        <v>16773</v>
      </c>
      <c r="D107" s="317">
        <v>0.3144367583375513</v>
      </c>
      <c r="E107" s="318">
        <v>2.2151204415628238</v>
      </c>
      <c r="F107" s="319">
        <v>4.0460636141417758</v>
      </c>
      <c r="G107" s="316">
        <v>542917</v>
      </c>
      <c r="H107" s="316">
        <v>1202626.5447719637</v>
      </c>
      <c r="I107" s="320">
        <v>3.5044953840913198E-3</v>
      </c>
    </row>
    <row r="108" spans="1:9" x14ac:dyDescent="0.25">
      <c r="A108" s="308" t="s">
        <v>438</v>
      </c>
      <c r="B108" s="311">
        <v>579923</v>
      </c>
      <c r="C108" s="311">
        <v>194965</v>
      </c>
      <c r="D108" s="312">
        <v>0.33619118400201409</v>
      </c>
      <c r="E108" s="313">
        <v>2.1707414132073199</v>
      </c>
      <c r="F108" s="314">
        <v>4.1568159669684306</v>
      </c>
      <c r="G108" s="311">
        <v>6483469</v>
      </c>
      <c r="H108" s="311">
        <v>14073934.65954585</v>
      </c>
      <c r="I108" s="315">
        <v>4.1011932810557976E-2</v>
      </c>
    </row>
    <row r="109" spans="1:9" x14ac:dyDescent="0.25">
      <c r="A109" s="309" t="s">
        <v>244</v>
      </c>
      <c r="B109" s="316">
        <v>579923</v>
      </c>
      <c r="C109" s="316">
        <v>194965</v>
      </c>
      <c r="D109" s="317">
        <v>0.33619118400201409</v>
      </c>
      <c r="E109" s="318">
        <v>2.1707414132073199</v>
      </c>
      <c r="F109" s="319">
        <v>4.1568159669684306</v>
      </c>
      <c r="G109" s="316">
        <v>6483469</v>
      </c>
      <c r="H109" s="316">
        <v>14073934.65954585</v>
      </c>
      <c r="I109" s="320">
        <v>4.1011932810557976E-2</v>
      </c>
    </row>
    <row r="110" spans="1:9" x14ac:dyDescent="0.25">
      <c r="A110" s="308" t="s">
        <v>60</v>
      </c>
      <c r="B110" s="311">
        <v>220795</v>
      </c>
      <c r="C110" s="311">
        <v>62968</v>
      </c>
      <c r="D110" s="312">
        <v>0.28518761747322174</v>
      </c>
      <c r="E110" s="313">
        <v>2.2747886889260562</v>
      </c>
      <c r="F110" s="314">
        <v>4.216524663321052</v>
      </c>
      <c r="G110" s="311">
        <v>2124049</v>
      </c>
      <c r="H110" s="311">
        <v>4831762.6399247004</v>
      </c>
      <c r="I110" s="315">
        <v>1.4079923599101778E-2</v>
      </c>
    </row>
    <row r="111" spans="1:9" x14ac:dyDescent="0.25">
      <c r="A111" s="309" t="s">
        <v>269</v>
      </c>
      <c r="B111" s="316">
        <v>220795</v>
      </c>
      <c r="C111" s="316">
        <v>62968</v>
      </c>
      <c r="D111" s="317">
        <v>0.28518761747322174</v>
      </c>
      <c r="E111" s="318">
        <v>2.2747886889260562</v>
      </c>
      <c r="F111" s="319">
        <v>4.216524663321052</v>
      </c>
      <c r="G111" s="316">
        <v>2124049</v>
      </c>
      <c r="H111" s="316">
        <v>4831762.6399247004</v>
      </c>
      <c r="I111" s="320">
        <v>1.4079923599101778E-2</v>
      </c>
    </row>
    <row r="112" spans="1:9" x14ac:dyDescent="0.25">
      <c r="A112" s="308" t="s">
        <v>473</v>
      </c>
      <c r="B112" s="311">
        <v>295287</v>
      </c>
      <c r="C112" s="311">
        <v>89150</v>
      </c>
      <c r="D112" s="312">
        <v>0.30190966754377946</v>
      </c>
      <c r="E112" s="313">
        <v>2.2406757067821186</v>
      </c>
      <c r="F112" s="314">
        <v>4.1055916993830621</v>
      </c>
      <c r="G112" s="311">
        <v>2928108</v>
      </c>
      <c r="H112" s="311">
        <v>6560940.4624343757</v>
      </c>
      <c r="I112" s="315">
        <v>1.9118807634716746E-2</v>
      </c>
    </row>
    <row r="113" spans="1:9" x14ac:dyDescent="0.25">
      <c r="A113" s="309" t="s">
        <v>472</v>
      </c>
      <c r="B113" s="316">
        <v>295287</v>
      </c>
      <c r="C113" s="316">
        <v>89150</v>
      </c>
      <c r="D113" s="317">
        <v>0.30190966754377946</v>
      </c>
      <c r="E113" s="318">
        <v>2.2406757067821186</v>
      </c>
      <c r="F113" s="319">
        <v>4.1055916993830621</v>
      </c>
      <c r="G113" s="316">
        <v>2928108</v>
      </c>
      <c r="H113" s="316">
        <v>6560940.4624343757</v>
      </c>
      <c r="I113" s="320">
        <v>1.9118807634716746E-2</v>
      </c>
    </row>
    <row r="114" spans="1:9" x14ac:dyDescent="0.25">
      <c r="A114" s="308" t="s">
        <v>61</v>
      </c>
      <c r="B114" s="311">
        <v>5726</v>
      </c>
      <c r="C114" s="311">
        <v>2047</v>
      </c>
      <c r="D114" s="312">
        <v>0.35749214111072303</v>
      </c>
      <c r="E114" s="313">
        <v>2.1272874607055536</v>
      </c>
      <c r="F114" s="314">
        <v>4.3440400586223742</v>
      </c>
      <c r="G114" s="311">
        <v>71138</v>
      </c>
      <c r="H114" s="311">
        <v>151330.97537967167</v>
      </c>
      <c r="I114" s="315">
        <v>4.4098370104466372E-4</v>
      </c>
    </row>
    <row r="115" spans="1:9" x14ac:dyDescent="0.25">
      <c r="A115" s="309" t="s">
        <v>265</v>
      </c>
      <c r="B115" s="316">
        <v>5726</v>
      </c>
      <c r="C115" s="316">
        <v>2047</v>
      </c>
      <c r="D115" s="317">
        <v>0.35749214111072303</v>
      </c>
      <c r="E115" s="318">
        <v>2.1272874607055536</v>
      </c>
      <c r="F115" s="319">
        <v>4.3440400586223742</v>
      </c>
      <c r="G115" s="316">
        <v>71138</v>
      </c>
      <c r="H115" s="316">
        <v>151330.97537967167</v>
      </c>
      <c r="I115" s="320">
        <v>4.4098370104466372E-4</v>
      </c>
    </row>
    <row r="116" spans="1:9" ht="24" x14ac:dyDescent="0.25">
      <c r="A116" s="308" t="s">
        <v>496</v>
      </c>
      <c r="B116" s="311">
        <v>108</v>
      </c>
      <c r="C116" s="311">
        <v>24</v>
      </c>
      <c r="D116" s="312">
        <v>0.22222222222222221</v>
      </c>
      <c r="E116" s="313">
        <v>2.4032380952380952</v>
      </c>
      <c r="F116" s="314">
        <v>4.567708333333333</v>
      </c>
      <c r="G116" s="311">
        <v>877</v>
      </c>
      <c r="H116" s="311">
        <v>2107.6398095238096</v>
      </c>
      <c r="I116" s="315">
        <v>6.1417353674027193E-6</v>
      </c>
    </row>
    <row r="117" spans="1:9" x14ac:dyDescent="0.25">
      <c r="A117" s="309" t="s">
        <v>264</v>
      </c>
      <c r="B117" s="316">
        <v>108</v>
      </c>
      <c r="C117" s="316">
        <v>24</v>
      </c>
      <c r="D117" s="317">
        <v>0.22222222222222221</v>
      </c>
      <c r="E117" s="318">
        <v>2.4032380952380952</v>
      </c>
      <c r="F117" s="319">
        <v>4.567708333333333</v>
      </c>
      <c r="G117" s="316">
        <v>877</v>
      </c>
      <c r="H117" s="316">
        <v>2107.6398095238096</v>
      </c>
      <c r="I117" s="320">
        <v>6.1417353674027193E-6</v>
      </c>
    </row>
    <row r="118" spans="1:9" ht="24" x14ac:dyDescent="0.25">
      <c r="A118" s="308" t="s">
        <v>359</v>
      </c>
      <c r="B118" s="311">
        <v>9315</v>
      </c>
      <c r="C118" s="311">
        <v>2137</v>
      </c>
      <c r="D118" s="312">
        <v>0.22941492216854537</v>
      </c>
      <c r="E118" s="313">
        <v>2.3885649873475963</v>
      </c>
      <c r="F118" s="314">
        <v>4.1833177351427233</v>
      </c>
      <c r="G118" s="311">
        <v>71518</v>
      </c>
      <c r="H118" s="311">
        <v>170825.3907651254</v>
      </c>
      <c r="I118" s="315">
        <v>4.9779110233717013E-4</v>
      </c>
    </row>
    <row r="119" spans="1:9" x14ac:dyDescent="0.25">
      <c r="A119" s="309" t="s">
        <v>263</v>
      </c>
      <c r="B119" s="316">
        <v>9315</v>
      </c>
      <c r="C119" s="316">
        <v>2137</v>
      </c>
      <c r="D119" s="317">
        <v>0.22941492216854537</v>
      </c>
      <c r="E119" s="318">
        <v>2.3885649873475963</v>
      </c>
      <c r="F119" s="319">
        <v>4.1833177351427233</v>
      </c>
      <c r="G119" s="316">
        <v>71518</v>
      </c>
      <c r="H119" s="316">
        <v>170825.3907651254</v>
      </c>
      <c r="I119" s="320">
        <v>4.9779110233717013E-4</v>
      </c>
    </row>
    <row r="120" spans="1:9" x14ac:dyDescent="0.25">
      <c r="A120" s="308" t="s">
        <v>64</v>
      </c>
      <c r="B120" s="311">
        <v>3111</v>
      </c>
      <c r="C120" s="311">
        <v>1437</v>
      </c>
      <c r="D120" s="312">
        <v>0.46190935390549664</v>
      </c>
      <c r="E120" s="313">
        <v>1.9142763466042154</v>
      </c>
      <c r="F120" s="314">
        <v>4.2686151704940851</v>
      </c>
      <c r="G120" s="311">
        <v>49072</v>
      </c>
      <c r="H120" s="311">
        <v>93937.368880562062</v>
      </c>
      <c r="I120" s="315">
        <v>2.7373674484961185E-4</v>
      </c>
    </row>
    <row r="121" spans="1:9" x14ac:dyDescent="0.25">
      <c r="A121" s="309" t="s">
        <v>262</v>
      </c>
      <c r="B121" s="316">
        <v>3111</v>
      </c>
      <c r="C121" s="316">
        <v>1437</v>
      </c>
      <c r="D121" s="317">
        <v>0.46190935390549664</v>
      </c>
      <c r="E121" s="318">
        <v>1.9142763466042154</v>
      </c>
      <c r="F121" s="319">
        <v>4.2686151704940851</v>
      </c>
      <c r="G121" s="316">
        <v>49072</v>
      </c>
      <c r="H121" s="316">
        <v>93937.368880562062</v>
      </c>
      <c r="I121" s="320">
        <v>2.7373674484961185E-4</v>
      </c>
    </row>
    <row r="122" spans="1:9" x14ac:dyDescent="0.25">
      <c r="A122" s="308" t="s">
        <v>144</v>
      </c>
      <c r="B122" s="311">
        <v>312</v>
      </c>
      <c r="C122" s="311">
        <v>257</v>
      </c>
      <c r="D122" s="312">
        <v>0.82371794871794868</v>
      </c>
      <c r="E122" s="313">
        <v>1.2140077821011674</v>
      </c>
      <c r="F122" s="314">
        <v>4.6716926070038909</v>
      </c>
      <c r="G122" s="311">
        <v>9605</v>
      </c>
      <c r="H122" s="311">
        <v>11660.544747081713</v>
      </c>
      <c r="I122" s="315">
        <v>3.3979231058704635E-5</v>
      </c>
    </row>
    <row r="123" spans="1:9" x14ac:dyDescent="0.25">
      <c r="A123" s="309" t="s">
        <v>260</v>
      </c>
      <c r="B123" s="316">
        <v>312</v>
      </c>
      <c r="C123" s="316">
        <v>257</v>
      </c>
      <c r="D123" s="317">
        <v>0.82371794871794868</v>
      </c>
      <c r="E123" s="318">
        <v>1.2140077821011674</v>
      </c>
      <c r="F123" s="319">
        <v>4.6716926070038909</v>
      </c>
      <c r="G123" s="316">
        <v>9605</v>
      </c>
      <c r="H123" s="316">
        <v>11660.544747081713</v>
      </c>
      <c r="I123" s="320">
        <v>3.3979231058704635E-5</v>
      </c>
    </row>
    <row r="124" spans="1:9" x14ac:dyDescent="0.25">
      <c r="A124" s="308" t="s">
        <v>65</v>
      </c>
      <c r="B124" s="311">
        <v>3646</v>
      </c>
      <c r="C124" s="311">
        <v>1244</v>
      </c>
      <c r="D124" s="312">
        <v>0.34119583104772355</v>
      </c>
      <c r="E124" s="313">
        <v>2.1605319332340724</v>
      </c>
      <c r="F124" s="314">
        <v>4.003416398713826</v>
      </c>
      <c r="G124" s="311">
        <v>39842</v>
      </c>
      <c r="H124" s="311">
        <v>86079.913283911912</v>
      </c>
      <c r="I124" s="315">
        <v>2.5083984723092153E-4</v>
      </c>
    </row>
    <row r="125" spans="1:9" x14ac:dyDescent="0.25">
      <c r="A125" s="309" t="s">
        <v>299</v>
      </c>
      <c r="B125" s="316">
        <v>3646</v>
      </c>
      <c r="C125" s="316">
        <v>1244</v>
      </c>
      <c r="D125" s="317">
        <v>0.34119583104772355</v>
      </c>
      <c r="E125" s="318">
        <v>2.1605319332340724</v>
      </c>
      <c r="F125" s="319">
        <v>4.003416398713826</v>
      </c>
      <c r="G125" s="316">
        <v>39842</v>
      </c>
      <c r="H125" s="316">
        <v>86079.913283911912</v>
      </c>
      <c r="I125" s="320">
        <v>2.5083984723092153E-4</v>
      </c>
    </row>
    <row r="126" spans="1:9" x14ac:dyDescent="0.25">
      <c r="A126" s="308" t="s">
        <v>66</v>
      </c>
      <c r="B126" s="311">
        <v>2148</v>
      </c>
      <c r="C126" s="311">
        <v>1914</v>
      </c>
      <c r="D126" s="312">
        <v>0.89106145251396651</v>
      </c>
      <c r="E126" s="313">
        <v>1.1222570532915359</v>
      </c>
      <c r="F126" s="314">
        <v>4.6391065830720999</v>
      </c>
      <c r="G126" s="311">
        <v>71034</v>
      </c>
      <c r="H126" s="311">
        <v>79718.407523510963</v>
      </c>
      <c r="I126" s="315">
        <v>2.3230219922197731E-4</v>
      </c>
    </row>
    <row r="127" spans="1:9" x14ac:dyDescent="0.25">
      <c r="A127" s="309" t="s">
        <v>259</v>
      </c>
      <c r="B127" s="316">
        <v>2148</v>
      </c>
      <c r="C127" s="316">
        <v>1914</v>
      </c>
      <c r="D127" s="317">
        <v>0.89106145251396651</v>
      </c>
      <c r="E127" s="318">
        <v>1.1222570532915359</v>
      </c>
      <c r="F127" s="319">
        <v>4.6391065830720999</v>
      </c>
      <c r="G127" s="316">
        <v>71034</v>
      </c>
      <c r="H127" s="316">
        <v>79718.407523510963</v>
      </c>
      <c r="I127" s="320">
        <v>2.3230219922197731E-4</v>
      </c>
    </row>
    <row r="128" spans="1:9" x14ac:dyDescent="0.25">
      <c r="A128" s="308" t="s">
        <v>67</v>
      </c>
      <c r="B128" s="311">
        <v>483</v>
      </c>
      <c r="C128" s="311">
        <v>298</v>
      </c>
      <c r="D128" s="312">
        <v>0.61697722567287783</v>
      </c>
      <c r="E128" s="313">
        <v>1.5979378881987578</v>
      </c>
      <c r="F128" s="314">
        <v>5</v>
      </c>
      <c r="G128" s="311">
        <v>11920</v>
      </c>
      <c r="H128" s="311">
        <v>19047.419627329193</v>
      </c>
      <c r="I128" s="315">
        <v>5.550484017919518E-5</v>
      </c>
    </row>
    <row r="129" spans="1:9" x14ac:dyDescent="0.25">
      <c r="A129" s="309" t="s">
        <v>258</v>
      </c>
      <c r="B129" s="316">
        <v>483</v>
      </c>
      <c r="C129" s="316">
        <v>298</v>
      </c>
      <c r="D129" s="317">
        <v>0.61697722567287783</v>
      </c>
      <c r="E129" s="318">
        <v>1.5979378881987578</v>
      </c>
      <c r="F129" s="319">
        <v>5</v>
      </c>
      <c r="G129" s="316">
        <v>11920</v>
      </c>
      <c r="H129" s="316">
        <v>19047.419627329193</v>
      </c>
      <c r="I129" s="320">
        <v>5.550484017919518E-5</v>
      </c>
    </row>
    <row r="130" spans="1:9" x14ac:dyDescent="0.25">
      <c r="A130" s="308" t="s">
        <v>468</v>
      </c>
      <c r="B130" s="311">
        <v>26828</v>
      </c>
      <c r="C130" s="311">
        <v>8792</v>
      </c>
      <c r="D130" s="312">
        <v>0.32771731027284928</v>
      </c>
      <c r="E130" s="313">
        <v>2.188028115614816</v>
      </c>
      <c r="F130" s="314">
        <v>4.5445433348498634</v>
      </c>
      <c r="G130" s="311">
        <v>319645</v>
      </c>
      <c r="H130" s="311">
        <v>699392.24701569788</v>
      </c>
      <c r="I130" s="315">
        <v>2.0380532194227588E-3</v>
      </c>
    </row>
    <row r="131" spans="1:9" x14ac:dyDescent="0.25">
      <c r="A131" s="309" t="s">
        <v>296</v>
      </c>
      <c r="B131" s="316">
        <v>26828</v>
      </c>
      <c r="C131" s="316">
        <v>8792</v>
      </c>
      <c r="D131" s="317">
        <v>0.32771731027284928</v>
      </c>
      <c r="E131" s="318">
        <v>2.188028115614816</v>
      </c>
      <c r="F131" s="319">
        <v>4.5445433348498634</v>
      </c>
      <c r="G131" s="316">
        <v>319645</v>
      </c>
      <c r="H131" s="316">
        <v>699392.24701569788</v>
      </c>
      <c r="I131" s="320">
        <v>2.0380532194227588E-3</v>
      </c>
    </row>
    <row r="132" spans="1:9" x14ac:dyDescent="0.25">
      <c r="A132" s="308" t="s">
        <v>68</v>
      </c>
      <c r="B132" s="311">
        <v>144772</v>
      </c>
      <c r="C132" s="311">
        <v>37449</v>
      </c>
      <c r="D132" s="312">
        <v>0.25867571077280138</v>
      </c>
      <c r="E132" s="313">
        <v>2.3288729785949136</v>
      </c>
      <c r="F132" s="314">
        <v>3.9577592192047852</v>
      </c>
      <c r="G132" s="311">
        <v>1185713</v>
      </c>
      <c r="H132" s="311">
        <v>2761374.9660687107</v>
      </c>
      <c r="I132" s="315">
        <v>8.0467422446326188E-3</v>
      </c>
    </row>
    <row r="133" spans="1:9" x14ac:dyDescent="0.25">
      <c r="A133" s="309" t="s">
        <v>257</v>
      </c>
      <c r="B133" s="316">
        <v>144772</v>
      </c>
      <c r="C133" s="316">
        <v>37449</v>
      </c>
      <c r="D133" s="317">
        <v>0.25867571077280138</v>
      </c>
      <c r="E133" s="318">
        <v>2.3288729785949136</v>
      </c>
      <c r="F133" s="319">
        <v>3.9577592192047852</v>
      </c>
      <c r="G133" s="316">
        <v>1185713</v>
      </c>
      <c r="H133" s="316">
        <v>2761374.9660687107</v>
      </c>
      <c r="I133" s="320">
        <v>8.0467422446326188E-3</v>
      </c>
    </row>
    <row r="134" spans="1:9" x14ac:dyDescent="0.25">
      <c r="A134" s="308" t="s">
        <v>69</v>
      </c>
      <c r="B134" s="311">
        <v>131500</v>
      </c>
      <c r="C134" s="311">
        <v>54779</v>
      </c>
      <c r="D134" s="312">
        <v>0.41657034220532319</v>
      </c>
      <c r="E134" s="313">
        <v>2.0067679304725692</v>
      </c>
      <c r="F134" s="314">
        <v>4.0401522481242811</v>
      </c>
      <c r="G134" s="311">
        <v>1770524</v>
      </c>
      <c r="H134" s="311">
        <v>3553030.7833320149</v>
      </c>
      <c r="I134" s="315">
        <v>1.0353654701744857E-2</v>
      </c>
    </row>
    <row r="135" spans="1:9" x14ac:dyDescent="0.25">
      <c r="A135" s="309" t="s">
        <v>255</v>
      </c>
      <c r="B135" s="316">
        <v>131500</v>
      </c>
      <c r="C135" s="316">
        <v>54779</v>
      </c>
      <c r="D135" s="317">
        <v>0.41657034220532319</v>
      </c>
      <c r="E135" s="318">
        <v>2.0067679304725692</v>
      </c>
      <c r="F135" s="319">
        <v>4.0401522481242811</v>
      </c>
      <c r="G135" s="316">
        <v>1770524</v>
      </c>
      <c r="H135" s="316">
        <v>3553030.7833320149</v>
      </c>
      <c r="I135" s="320">
        <v>1.0353654701744857E-2</v>
      </c>
    </row>
    <row r="136" spans="1:9" ht="24" x14ac:dyDescent="0.25">
      <c r="A136" s="308" t="s">
        <v>70</v>
      </c>
      <c r="B136" s="311">
        <v>157749</v>
      </c>
      <c r="C136" s="311">
        <v>50966</v>
      </c>
      <c r="D136" s="312">
        <v>0.32308287215766818</v>
      </c>
      <c r="E136" s="313">
        <v>2.1974823693697854</v>
      </c>
      <c r="F136" s="314">
        <v>4.3042910960248006</v>
      </c>
      <c r="G136" s="311">
        <v>1754980</v>
      </c>
      <c r="H136" s="311">
        <v>3856537.6085965857</v>
      </c>
      <c r="I136" s="315">
        <v>1.1238084097390352E-2</v>
      </c>
    </row>
    <row r="137" spans="1:9" x14ac:dyDescent="0.25">
      <c r="A137" s="309" t="s">
        <v>254</v>
      </c>
      <c r="B137" s="316">
        <v>157749</v>
      </c>
      <c r="C137" s="316">
        <v>50966</v>
      </c>
      <c r="D137" s="317">
        <v>0.32308287215766818</v>
      </c>
      <c r="E137" s="318">
        <v>2.1974823693697854</v>
      </c>
      <c r="F137" s="319">
        <v>4.3042910960248006</v>
      </c>
      <c r="G137" s="316">
        <v>1754980</v>
      </c>
      <c r="H137" s="316">
        <v>3856537.6085965857</v>
      </c>
      <c r="I137" s="320">
        <v>1.1238084097390352E-2</v>
      </c>
    </row>
    <row r="138" spans="1:9" x14ac:dyDescent="0.25">
      <c r="A138" s="308" t="s">
        <v>71</v>
      </c>
      <c r="B138" s="311">
        <v>346558</v>
      </c>
      <c r="C138" s="311">
        <v>106842</v>
      </c>
      <c r="D138" s="312">
        <v>0.30829471545888421</v>
      </c>
      <c r="E138" s="313">
        <v>2.2276502090353048</v>
      </c>
      <c r="F138" s="314">
        <v>4.0956388873289526</v>
      </c>
      <c r="G138" s="311">
        <v>3500690</v>
      </c>
      <c r="H138" s="311">
        <v>7798312.8102678014</v>
      </c>
      <c r="I138" s="315">
        <v>2.2724553491762268E-2</v>
      </c>
    </row>
    <row r="139" spans="1:9" x14ac:dyDescent="0.25">
      <c r="A139" s="309" t="s">
        <v>253</v>
      </c>
      <c r="B139" s="316">
        <v>346558</v>
      </c>
      <c r="C139" s="316">
        <v>106842</v>
      </c>
      <c r="D139" s="317">
        <v>0.30829471545888421</v>
      </c>
      <c r="E139" s="318">
        <v>2.2276502090353048</v>
      </c>
      <c r="F139" s="319">
        <v>4.0956388873289526</v>
      </c>
      <c r="G139" s="316">
        <v>3500690</v>
      </c>
      <c r="H139" s="316">
        <v>7798312.8102678014</v>
      </c>
      <c r="I139" s="320">
        <v>2.2724553491762268E-2</v>
      </c>
    </row>
    <row r="140" spans="1:9" ht="24" x14ac:dyDescent="0.25">
      <c r="A140" s="308" t="s">
        <v>497</v>
      </c>
      <c r="B140" s="311">
        <v>11669</v>
      </c>
      <c r="C140" s="311">
        <v>2172</v>
      </c>
      <c r="D140" s="312">
        <v>0.18613420173108236</v>
      </c>
      <c r="E140" s="313">
        <v>2.4485714285714284</v>
      </c>
      <c r="F140" s="314">
        <v>4.1723066298342539</v>
      </c>
      <c r="G140" s="311">
        <v>72498</v>
      </c>
      <c r="H140" s="311">
        <v>177516.53142857141</v>
      </c>
      <c r="I140" s="315">
        <v>5.1728931786491623E-4</v>
      </c>
    </row>
    <row r="141" spans="1:9" x14ac:dyDescent="0.25">
      <c r="A141" s="309" t="s">
        <v>251</v>
      </c>
      <c r="B141" s="316">
        <v>11669</v>
      </c>
      <c r="C141" s="316">
        <v>2172</v>
      </c>
      <c r="D141" s="317">
        <v>0.18613420173108236</v>
      </c>
      <c r="E141" s="318">
        <v>2.4485714285714284</v>
      </c>
      <c r="F141" s="319">
        <v>4.1723066298342539</v>
      </c>
      <c r="G141" s="316">
        <v>72498</v>
      </c>
      <c r="H141" s="316">
        <v>177516.53142857141</v>
      </c>
      <c r="I141" s="320">
        <v>5.1728931786491623E-4</v>
      </c>
    </row>
    <row r="142" spans="1:9" x14ac:dyDescent="0.25">
      <c r="A142" s="308" t="s">
        <v>73</v>
      </c>
      <c r="B142" s="311">
        <v>32166</v>
      </c>
      <c r="C142" s="311">
        <v>11211</v>
      </c>
      <c r="D142" s="312">
        <v>0.34853572094758439</v>
      </c>
      <c r="E142" s="313">
        <v>2.1455585578383563</v>
      </c>
      <c r="F142" s="314">
        <v>4.3143118365890647</v>
      </c>
      <c r="G142" s="311">
        <v>386942</v>
      </c>
      <c r="H142" s="311">
        <v>830206.7194870892</v>
      </c>
      <c r="I142" s="315">
        <v>2.4192511207506884E-3</v>
      </c>
    </row>
    <row r="143" spans="1:9" x14ac:dyDescent="0.25">
      <c r="A143" s="309" t="s">
        <v>247</v>
      </c>
      <c r="B143" s="316">
        <v>32166</v>
      </c>
      <c r="C143" s="316">
        <v>11211</v>
      </c>
      <c r="D143" s="317">
        <v>0.34853572094758439</v>
      </c>
      <c r="E143" s="318">
        <v>2.1455585578383563</v>
      </c>
      <c r="F143" s="319">
        <v>4.3143118365890647</v>
      </c>
      <c r="G143" s="316">
        <v>386942</v>
      </c>
      <c r="H143" s="316">
        <v>830206.7194870892</v>
      </c>
      <c r="I143" s="320">
        <v>2.4192511207506884E-3</v>
      </c>
    </row>
    <row r="144" spans="1:9" x14ac:dyDescent="0.25">
      <c r="A144" s="308" t="s">
        <v>74</v>
      </c>
      <c r="B144" s="311">
        <v>34577</v>
      </c>
      <c r="C144" s="311">
        <v>9673</v>
      </c>
      <c r="D144" s="312">
        <v>0.27975243659079735</v>
      </c>
      <c r="E144" s="313">
        <v>2.2858764579262019</v>
      </c>
      <c r="F144" s="314">
        <v>4.247169957613977</v>
      </c>
      <c r="G144" s="311">
        <v>328663</v>
      </c>
      <c r="H144" s="311">
        <v>751283.01429139927</v>
      </c>
      <c r="I144" s="315">
        <v>2.1892647116230532E-3</v>
      </c>
    </row>
    <row r="145" spans="1:9" x14ac:dyDescent="0.25">
      <c r="A145" s="309" t="s">
        <v>249</v>
      </c>
      <c r="B145" s="316">
        <v>34577</v>
      </c>
      <c r="C145" s="316">
        <v>9673</v>
      </c>
      <c r="D145" s="317">
        <v>0.27975243659079735</v>
      </c>
      <c r="E145" s="318">
        <v>2.2858764579262019</v>
      </c>
      <c r="F145" s="319">
        <v>4.247169957613977</v>
      </c>
      <c r="G145" s="316">
        <v>328663</v>
      </c>
      <c r="H145" s="316">
        <v>751283.01429139927</v>
      </c>
      <c r="I145" s="320">
        <v>2.1892647116230532E-3</v>
      </c>
    </row>
    <row r="146" spans="1:9" x14ac:dyDescent="0.25">
      <c r="A146" s="308" t="s">
        <v>441</v>
      </c>
      <c r="B146" s="311">
        <v>139679</v>
      </c>
      <c r="C146" s="311">
        <v>32631</v>
      </c>
      <c r="D146" s="312">
        <v>0.23361421545114155</v>
      </c>
      <c r="E146" s="313">
        <v>2.3799984290510996</v>
      </c>
      <c r="F146" s="314">
        <v>4.5297186724280589</v>
      </c>
      <c r="G146" s="311">
        <v>1182474</v>
      </c>
      <c r="H146" s="311">
        <v>2814286.2623937698</v>
      </c>
      <c r="I146" s="315">
        <v>8.2009275938115002E-3</v>
      </c>
    </row>
    <row r="147" spans="1:9" x14ac:dyDescent="0.25">
      <c r="A147" s="309" t="s">
        <v>280</v>
      </c>
      <c r="B147" s="316">
        <v>139679</v>
      </c>
      <c r="C147" s="316">
        <v>32631</v>
      </c>
      <c r="D147" s="317">
        <v>0.23361421545114155</v>
      </c>
      <c r="E147" s="318">
        <v>2.3799984290510996</v>
      </c>
      <c r="F147" s="319">
        <v>4.5297186724280589</v>
      </c>
      <c r="G147" s="316">
        <v>1182474</v>
      </c>
      <c r="H147" s="316">
        <v>2814286.2623937698</v>
      </c>
      <c r="I147" s="320">
        <v>8.2009275938115002E-3</v>
      </c>
    </row>
    <row r="148" spans="1:9" x14ac:dyDescent="0.25">
      <c r="A148" s="308" t="s">
        <v>75</v>
      </c>
      <c r="B148" s="311">
        <v>135597</v>
      </c>
      <c r="C148" s="311">
        <v>51950</v>
      </c>
      <c r="D148" s="312">
        <v>0.38312057051409693</v>
      </c>
      <c r="E148" s="313">
        <v>2.075005464722671</v>
      </c>
      <c r="F148" s="314">
        <v>4.1294201154956687</v>
      </c>
      <c r="G148" s="311">
        <v>1716187</v>
      </c>
      <c r="H148" s="311">
        <v>3561097.4034860064</v>
      </c>
      <c r="I148" s="315">
        <v>1.0377161112124516E-2</v>
      </c>
    </row>
    <row r="149" spans="1:9" x14ac:dyDescent="0.25">
      <c r="A149" s="309" t="s">
        <v>246</v>
      </c>
      <c r="B149" s="316">
        <v>135597</v>
      </c>
      <c r="C149" s="316">
        <v>51950</v>
      </c>
      <c r="D149" s="317">
        <v>0.38312057051409693</v>
      </c>
      <c r="E149" s="318">
        <v>2.075005464722671</v>
      </c>
      <c r="F149" s="319">
        <v>4.1294201154956687</v>
      </c>
      <c r="G149" s="316">
        <v>1716187</v>
      </c>
      <c r="H149" s="316">
        <v>3561097.4034860064</v>
      </c>
      <c r="I149" s="320">
        <v>1.0377161112124516E-2</v>
      </c>
    </row>
    <row r="150" spans="1:9" x14ac:dyDescent="0.25">
      <c r="A150" s="308" t="s">
        <v>76</v>
      </c>
      <c r="B150" s="311">
        <v>117</v>
      </c>
      <c r="C150" s="311">
        <v>117</v>
      </c>
      <c r="D150" s="312">
        <v>1</v>
      </c>
      <c r="E150" s="313">
        <v>1</v>
      </c>
      <c r="F150" s="314">
        <v>4.8557692307692308</v>
      </c>
      <c r="G150" s="311">
        <v>4545</v>
      </c>
      <c r="H150" s="311">
        <v>4545</v>
      </c>
      <c r="I150" s="315">
        <v>1.3244287339188266E-5</v>
      </c>
    </row>
    <row r="151" spans="1:9" x14ac:dyDescent="0.25">
      <c r="A151" s="309" t="s">
        <v>245</v>
      </c>
      <c r="B151" s="316">
        <v>117</v>
      </c>
      <c r="C151" s="316">
        <v>117</v>
      </c>
      <c r="D151" s="317">
        <v>1</v>
      </c>
      <c r="E151" s="318">
        <v>1</v>
      </c>
      <c r="F151" s="319">
        <v>4.8557692307692308</v>
      </c>
      <c r="G151" s="316">
        <v>4545</v>
      </c>
      <c r="H151" s="316">
        <v>4545</v>
      </c>
      <c r="I151" s="320">
        <v>1.3244287339188266E-5</v>
      </c>
    </row>
    <row r="152" spans="1:9" x14ac:dyDescent="0.25">
      <c r="A152" s="308" t="s">
        <v>79</v>
      </c>
      <c r="B152" s="311">
        <v>3507</v>
      </c>
      <c r="C152" s="311">
        <v>499</v>
      </c>
      <c r="D152" s="312">
        <v>0.14228685486170517</v>
      </c>
      <c r="E152" s="313">
        <v>2.4485714285714284</v>
      </c>
      <c r="F152" s="314">
        <v>4.214428857715431</v>
      </c>
      <c r="G152" s="311">
        <v>16824</v>
      </c>
      <c r="H152" s="311">
        <v>41194.765714285713</v>
      </c>
      <c r="I152" s="315">
        <v>1.2004297337525658E-4</v>
      </c>
    </row>
    <row r="153" spans="1:9" x14ac:dyDescent="0.25">
      <c r="A153" s="309" t="s">
        <v>239</v>
      </c>
      <c r="B153" s="316">
        <v>3507</v>
      </c>
      <c r="C153" s="316">
        <v>499</v>
      </c>
      <c r="D153" s="317">
        <v>0.14228685486170517</v>
      </c>
      <c r="E153" s="318">
        <v>2.4485714285714284</v>
      </c>
      <c r="F153" s="319">
        <v>4.214428857715431</v>
      </c>
      <c r="G153" s="316">
        <v>16824</v>
      </c>
      <c r="H153" s="316">
        <v>41194.765714285713</v>
      </c>
      <c r="I153" s="320">
        <v>1.2004297337525658E-4</v>
      </c>
    </row>
    <row r="154" spans="1:9" x14ac:dyDescent="0.25">
      <c r="A154" s="308" t="s">
        <v>80</v>
      </c>
      <c r="B154" s="311">
        <v>61067</v>
      </c>
      <c r="C154" s="311">
        <v>18079</v>
      </c>
      <c r="D154" s="312">
        <v>0.2960518774460838</v>
      </c>
      <c r="E154" s="313">
        <v>2.2526255985814174</v>
      </c>
      <c r="F154" s="314">
        <v>4.017029426406328</v>
      </c>
      <c r="G154" s="311">
        <v>580991</v>
      </c>
      <c r="H154" s="311">
        <v>1308755.1991454163</v>
      </c>
      <c r="I154" s="315">
        <v>3.8137579569061503E-3</v>
      </c>
    </row>
    <row r="155" spans="1:9" x14ac:dyDescent="0.25">
      <c r="A155" s="309" t="s">
        <v>238</v>
      </c>
      <c r="B155" s="316">
        <v>61067</v>
      </c>
      <c r="C155" s="316">
        <v>18079</v>
      </c>
      <c r="D155" s="317">
        <v>0.2960518774460838</v>
      </c>
      <c r="E155" s="318">
        <v>2.2526255985814174</v>
      </c>
      <c r="F155" s="319">
        <v>4.017029426406328</v>
      </c>
      <c r="G155" s="316">
        <v>580991</v>
      </c>
      <c r="H155" s="316">
        <v>1308755.1991454163</v>
      </c>
      <c r="I155" s="320">
        <v>3.8137579569061503E-3</v>
      </c>
    </row>
    <row r="156" spans="1:9" x14ac:dyDescent="0.25">
      <c r="A156" s="308" t="s">
        <v>81</v>
      </c>
      <c r="B156" s="311">
        <v>102102</v>
      </c>
      <c r="C156" s="311">
        <v>42625</v>
      </c>
      <c r="D156" s="312">
        <v>0.41747468218056455</v>
      </c>
      <c r="E156" s="313">
        <v>2.0049230769230766</v>
      </c>
      <c r="F156" s="314">
        <v>4.4007536656891499</v>
      </c>
      <c r="G156" s="311">
        <v>1500657</v>
      </c>
      <c r="H156" s="311">
        <v>3008701.8498461535</v>
      </c>
      <c r="I156" s="315">
        <v>8.7674613459427335E-3</v>
      </c>
    </row>
    <row r="157" spans="1:9" x14ac:dyDescent="0.25">
      <c r="A157" s="309" t="s">
        <v>237</v>
      </c>
      <c r="B157" s="316">
        <v>102102</v>
      </c>
      <c r="C157" s="316">
        <v>42625</v>
      </c>
      <c r="D157" s="317">
        <v>0.41747468218056455</v>
      </c>
      <c r="E157" s="318">
        <v>2.0049230769230766</v>
      </c>
      <c r="F157" s="319">
        <v>4.4007536656891499</v>
      </c>
      <c r="G157" s="316">
        <v>1500657</v>
      </c>
      <c r="H157" s="316">
        <v>3008701.8498461535</v>
      </c>
      <c r="I157" s="320">
        <v>8.7674613459427335E-3</v>
      </c>
    </row>
    <row r="158" spans="1:9" ht="24" x14ac:dyDescent="0.25">
      <c r="A158" s="308" t="s">
        <v>498</v>
      </c>
      <c r="B158" s="311">
        <v>8222</v>
      </c>
      <c r="C158" s="311">
        <v>3925</v>
      </c>
      <c r="D158" s="312">
        <v>0.47737776696667478</v>
      </c>
      <c r="E158" s="313">
        <v>1.882720783959412</v>
      </c>
      <c r="F158" s="314">
        <v>4.1604458598726115</v>
      </c>
      <c r="G158" s="311">
        <v>130638</v>
      </c>
      <c r="H158" s="311">
        <v>245954.87777488967</v>
      </c>
      <c r="I158" s="315">
        <v>7.1672102832245736E-4</v>
      </c>
    </row>
    <row r="159" spans="1:9" x14ac:dyDescent="0.25">
      <c r="A159" s="309" t="s">
        <v>236</v>
      </c>
      <c r="B159" s="316">
        <v>8222</v>
      </c>
      <c r="C159" s="316">
        <v>3925</v>
      </c>
      <c r="D159" s="317">
        <v>0.47737776696667478</v>
      </c>
      <c r="E159" s="318">
        <v>1.882720783959412</v>
      </c>
      <c r="F159" s="319">
        <v>4.1604458598726115</v>
      </c>
      <c r="G159" s="316">
        <v>130638</v>
      </c>
      <c r="H159" s="316">
        <v>245954.87777488967</v>
      </c>
      <c r="I159" s="320">
        <v>7.1672102832245736E-4</v>
      </c>
    </row>
    <row r="160" spans="1:9" x14ac:dyDescent="0.25">
      <c r="A160" s="308" t="s">
        <v>83</v>
      </c>
      <c r="B160" s="311">
        <v>576320</v>
      </c>
      <c r="C160" s="311">
        <v>168344</v>
      </c>
      <c r="D160" s="312">
        <v>0.29210161021654635</v>
      </c>
      <c r="E160" s="313">
        <v>2.2606841437296739</v>
      </c>
      <c r="F160" s="314">
        <v>4.1408982500118805</v>
      </c>
      <c r="G160" s="311">
        <v>5576763</v>
      </c>
      <c r="H160" s="311">
        <v>12607299.687438328</v>
      </c>
      <c r="I160" s="315">
        <v>3.6738107729745131E-2</v>
      </c>
    </row>
    <row r="161" spans="1:9" x14ac:dyDescent="0.25">
      <c r="A161" s="309" t="s">
        <v>243</v>
      </c>
      <c r="B161" s="316">
        <v>576320</v>
      </c>
      <c r="C161" s="316">
        <v>168344</v>
      </c>
      <c r="D161" s="317">
        <v>0.29210161021654635</v>
      </c>
      <c r="E161" s="318">
        <v>2.2606841437296739</v>
      </c>
      <c r="F161" s="319">
        <v>4.1408982500118805</v>
      </c>
      <c r="G161" s="316">
        <v>5576763</v>
      </c>
      <c r="H161" s="316">
        <v>12607299.687438328</v>
      </c>
      <c r="I161" s="320">
        <v>3.6738107729745131E-2</v>
      </c>
    </row>
    <row r="162" spans="1:9" ht="24" x14ac:dyDescent="0.25">
      <c r="A162" s="308" t="s">
        <v>492</v>
      </c>
      <c r="B162" s="311">
        <v>26796</v>
      </c>
      <c r="C162" s="311">
        <v>9510</v>
      </c>
      <c r="D162" s="312">
        <v>0.35490371697268247</v>
      </c>
      <c r="E162" s="313">
        <v>2.1325678459471562</v>
      </c>
      <c r="F162" s="314">
        <v>4.2934148264984229</v>
      </c>
      <c r="G162" s="311">
        <v>326643</v>
      </c>
      <c r="H162" s="311">
        <v>696588.3589037169</v>
      </c>
      <c r="I162" s="315">
        <v>2.0298825923992145E-3</v>
      </c>
    </row>
    <row r="163" spans="1:9" x14ac:dyDescent="0.25">
      <c r="A163" s="309" t="s">
        <v>233</v>
      </c>
      <c r="B163" s="316">
        <v>26796</v>
      </c>
      <c r="C163" s="316">
        <v>9510</v>
      </c>
      <c r="D163" s="317">
        <v>0.35490371697268247</v>
      </c>
      <c r="E163" s="318">
        <v>2.1325678459471562</v>
      </c>
      <c r="F163" s="319">
        <v>4.2934148264984229</v>
      </c>
      <c r="G163" s="316">
        <v>326643</v>
      </c>
      <c r="H163" s="316">
        <v>696588.3589037169</v>
      </c>
      <c r="I163" s="320">
        <v>2.0298825923992145E-3</v>
      </c>
    </row>
    <row r="164" spans="1:9" x14ac:dyDescent="0.25">
      <c r="A164" s="308" t="s">
        <v>85</v>
      </c>
      <c r="B164" s="311">
        <v>2008</v>
      </c>
      <c r="C164" s="311">
        <v>1104</v>
      </c>
      <c r="D164" s="312">
        <v>0.54980079681274896</v>
      </c>
      <c r="E164" s="313">
        <v>1.7349778030734206</v>
      </c>
      <c r="F164" s="314">
        <v>4.5728034420289854</v>
      </c>
      <c r="G164" s="311">
        <v>40387</v>
      </c>
      <c r="H164" s="311">
        <v>70070.548532726243</v>
      </c>
      <c r="I164" s="315">
        <v>2.0418800413244512E-4</v>
      </c>
    </row>
    <row r="165" spans="1:9" x14ac:dyDescent="0.25">
      <c r="A165" s="309" t="s">
        <v>232</v>
      </c>
      <c r="B165" s="316">
        <v>2008</v>
      </c>
      <c r="C165" s="316">
        <v>1104</v>
      </c>
      <c r="D165" s="317">
        <v>0.54980079681274896</v>
      </c>
      <c r="E165" s="318">
        <v>1.7349778030734206</v>
      </c>
      <c r="F165" s="319">
        <v>4.5728034420289854</v>
      </c>
      <c r="G165" s="316">
        <v>40387</v>
      </c>
      <c r="H165" s="316">
        <v>70070.548532726243</v>
      </c>
      <c r="I165" s="320">
        <v>2.0418800413244512E-4</v>
      </c>
    </row>
    <row r="166" spans="1:9" ht="24" x14ac:dyDescent="0.25">
      <c r="A166" s="308" t="s">
        <v>86</v>
      </c>
      <c r="B166" s="311">
        <v>30838</v>
      </c>
      <c r="C166" s="311">
        <v>6262</v>
      </c>
      <c r="D166" s="312">
        <v>0.20306115831117452</v>
      </c>
      <c r="E166" s="313">
        <v>2.4423266656166325</v>
      </c>
      <c r="F166" s="314">
        <v>4.3808687320344939</v>
      </c>
      <c r="G166" s="311">
        <v>219464</v>
      </c>
      <c r="H166" s="311">
        <v>536002.77934288862</v>
      </c>
      <c r="I166" s="315">
        <v>1.5619306543940025E-3</v>
      </c>
    </row>
    <row r="167" spans="1:9" x14ac:dyDescent="0.25">
      <c r="A167" s="309" t="s">
        <v>231</v>
      </c>
      <c r="B167" s="316">
        <v>30838</v>
      </c>
      <c r="C167" s="316">
        <v>6262</v>
      </c>
      <c r="D167" s="317">
        <v>0.20306115831117452</v>
      </c>
      <c r="E167" s="318">
        <v>2.4423266656166325</v>
      </c>
      <c r="F167" s="319">
        <v>4.3808687320344939</v>
      </c>
      <c r="G167" s="316">
        <v>219464</v>
      </c>
      <c r="H167" s="316">
        <v>536002.77934288862</v>
      </c>
      <c r="I167" s="320">
        <v>1.5619306543940025E-3</v>
      </c>
    </row>
    <row r="168" spans="1:9" x14ac:dyDescent="0.25">
      <c r="A168" s="308" t="s">
        <v>87</v>
      </c>
      <c r="B168" s="311">
        <v>1987</v>
      </c>
      <c r="C168" s="311">
        <v>1289</v>
      </c>
      <c r="D168" s="312">
        <v>0.64871665827881231</v>
      </c>
      <c r="E168" s="313">
        <v>1.5331894456826514</v>
      </c>
      <c r="F168" s="314">
        <v>4.8289371605896045</v>
      </c>
      <c r="G168" s="311">
        <v>49796</v>
      </c>
      <c r="H168" s="311">
        <v>76346.701637213308</v>
      </c>
      <c r="I168" s="315">
        <v>2.2247693154731096E-4</v>
      </c>
    </row>
    <row r="169" spans="1:9" x14ac:dyDescent="0.25">
      <c r="A169" s="309" t="s">
        <v>235</v>
      </c>
      <c r="B169" s="316">
        <v>1987</v>
      </c>
      <c r="C169" s="316">
        <v>1289</v>
      </c>
      <c r="D169" s="317">
        <v>0.64871665827881231</v>
      </c>
      <c r="E169" s="318">
        <v>1.5331894456826514</v>
      </c>
      <c r="F169" s="319">
        <v>4.8289371605896045</v>
      </c>
      <c r="G169" s="316">
        <v>49796</v>
      </c>
      <c r="H169" s="316">
        <v>76346.701637213308</v>
      </c>
      <c r="I169" s="320">
        <v>2.2247693154731096E-4</v>
      </c>
    </row>
    <row r="170" spans="1:9" x14ac:dyDescent="0.25">
      <c r="A170" s="308" t="s">
        <v>88</v>
      </c>
      <c r="B170" s="311">
        <v>3129</v>
      </c>
      <c r="C170" s="311">
        <v>620</v>
      </c>
      <c r="D170" s="312">
        <v>0.19814637264301693</v>
      </c>
      <c r="E170" s="313">
        <v>2.4485714285714284</v>
      </c>
      <c r="F170" s="314">
        <v>3.350806451612903</v>
      </c>
      <c r="G170" s="311">
        <v>16620</v>
      </c>
      <c r="H170" s="311">
        <v>40695.257142857139</v>
      </c>
      <c r="I170" s="315">
        <v>1.1858738810608441E-4</v>
      </c>
    </row>
    <row r="171" spans="1:9" x14ac:dyDescent="0.25">
      <c r="A171" s="309" t="s">
        <v>234</v>
      </c>
      <c r="B171" s="316">
        <v>3129</v>
      </c>
      <c r="C171" s="316">
        <v>620</v>
      </c>
      <c r="D171" s="317">
        <v>0.19814637264301693</v>
      </c>
      <c r="E171" s="318">
        <v>2.4485714285714284</v>
      </c>
      <c r="F171" s="319">
        <v>3.350806451612903</v>
      </c>
      <c r="G171" s="316">
        <v>16620</v>
      </c>
      <c r="H171" s="316">
        <v>40695.257142857139</v>
      </c>
      <c r="I171" s="320">
        <v>1.1858738810608441E-4</v>
      </c>
    </row>
    <row r="172" spans="1:9" ht="24" x14ac:dyDescent="0.25">
      <c r="A172" s="308" t="s">
        <v>89</v>
      </c>
      <c r="B172" s="311">
        <v>27587</v>
      </c>
      <c r="C172" s="311">
        <v>9244</v>
      </c>
      <c r="D172" s="312">
        <v>0.335085366295719</v>
      </c>
      <c r="E172" s="313">
        <v>2.1729972813281617</v>
      </c>
      <c r="F172" s="314">
        <v>4.1434984855041108</v>
      </c>
      <c r="G172" s="311">
        <v>306420</v>
      </c>
      <c r="H172" s="311">
        <v>665849.8269445753</v>
      </c>
      <c r="I172" s="315">
        <v>1.9403094461612181E-3</v>
      </c>
    </row>
    <row r="173" spans="1:9" x14ac:dyDescent="0.25">
      <c r="A173" s="309" t="s">
        <v>229</v>
      </c>
      <c r="B173" s="316">
        <v>27587</v>
      </c>
      <c r="C173" s="316">
        <v>9244</v>
      </c>
      <c r="D173" s="317">
        <v>0.335085366295719</v>
      </c>
      <c r="E173" s="318">
        <v>2.1729972813281617</v>
      </c>
      <c r="F173" s="319">
        <v>4.1434984855041108</v>
      </c>
      <c r="G173" s="316">
        <v>306420</v>
      </c>
      <c r="H173" s="316">
        <v>665849.8269445753</v>
      </c>
      <c r="I173" s="320">
        <v>1.9403094461612181E-3</v>
      </c>
    </row>
    <row r="174" spans="1:9" x14ac:dyDescent="0.25">
      <c r="A174" s="308" t="s">
        <v>90</v>
      </c>
      <c r="B174" s="311">
        <v>135312</v>
      </c>
      <c r="C174" s="311">
        <v>40529</v>
      </c>
      <c r="D174" s="312">
        <v>0.29952258484096017</v>
      </c>
      <c r="E174" s="313">
        <v>2.24554535549587</v>
      </c>
      <c r="F174" s="314">
        <v>4.0889671593180195</v>
      </c>
      <c r="G174" s="311">
        <v>1325774</v>
      </c>
      <c r="H174" s="311">
        <v>2977085.6481371815</v>
      </c>
      <c r="I174" s="315">
        <v>8.6753306396704869E-3</v>
      </c>
    </row>
    <row r="175" spans="1:9" x14ac:dyDescent="0.25">
      <c r="A175" s="309" t="s">
        <v>228</v>
      </c>
      <c r="B175" s="316">
        <v>135312</v>
      </c>
      <c r="C175" s="316">
        <v>40529</v>
      </c>
      <c r="D175" s="317">
        <v>0.29952258484096017</v>
      </c>
      <c r="E175" s="318">
        <v>2.24554535549587</v>
      </c>
      <c r="F175" s="319">
        <v>4.0889671593180195</v>
      </c>
      <c r="G175" s="316">
        <v>1325774</v>
      </c>
      <c r="H175" s="316">
        <v>2977085.6481371815</v>
      </c>
      <c r="I175" s="320">
        <v>8.6753306396704869E-3</v>
      </c>
    </row>
    <row r="176" spans="1:9" x14ac:dyDescent="0.25">
      <c r="A176" s="308" t="s">
        <v>91</v>
      </c>
      <c r="B176" s="311">
        <v>6165</v>
      </c>
      <c r="C176" s="311">
        <v>1644</v>
      </c>
      <c r="D176" s="312">
        <v>0.26666666666666666</v>
      </c>
      <c r="E176" s="313">
        <v>2.3125714285714283</v>
      </c>
      <c r="F176" s="314">
        <v>3.125</v>
      </c>
      <c r="G176" s="311">
        <v>41100</v>
      </c>
      <c r="H176" s="311">
        <v>95046.685714285704</v>
      </c>
      <c r="I176" s="315">
        <v>2.7696933250550502E-4</v>
      </c>
    </row>
    <row r="177" spans="1:9" x14ac:dyDescent="0.25">
      <c r="A177" s="309" t="s">
        <v>227</v>
      </c>
      <c r="B177" s="316">
        <v>6165</v>
      </c>
      <c r="C177" s="316">
        <v>1644</v>
      </c>
      <c r="D177" s="317">
        <v>0.26666666666666666</v>
      </c>
      <c r="E177" s="318">
        <v>2.3125714285714283</v>
      </c>
      <c r="F177" s="319">
        <v>3.125</v>
      </c>
      <c r="G177" s="316">
        <v>41100</v>
      </c>
      <c r="H177" s="316">
        <v>95046.685714285704</v>
      </c>
      <c r="I177" s="320">
        <v>2.7696933250550502E-4</v>
      </c>
    </row>
    <row r="178" spans="1:9" x14ac:dyDescent="0.25">
      <c r="A178" s="308" t="s">
        <v>436</v>
      </c>
      <c r="B178" s="311">
        <v>130181</v>
      </c>
      <c r="C178" s="311">
        <v>32689</v>
      </c>
      <c r="D178" s="312">
        <v>0.25110423180033953</v>
      </c>
      <c r="E178" s="313">
        <v>2.3443187956987357</v>
      </c>
      <c r="F178" s="314">
        <v>4.330994371195203</v>
      </c>
      <c r="G178" s="311">
        <v>1132607</v>
      </c>
      <c r="H178" s="311">
        <v>2655191.8782399581</v>
      </c>
      <c r="I178" s="315">
        <v>7.7373210508446619E-3</v>
      </c>
    </row>
    <row r="179" spans="1:9" x14ac:dyDescent="0.25">
      <c r="A179" s="309" t="s">
        <v>250</v>
      </c>
      <c r="B179" s="316">
        <v>130181</v>
      </c>
      <c r="C179" s="316">
        <v>32689</v>
      </c>
      <c r="D179" s="317">
        <v>0.25110423180033953</v>
      </c>
      <c r="E179" s="318">
        <v>2.3443187956987357</v>
      </c>
      <c r="F179" s="319">
        <v>4.330994371195203</v>
      </c>
      <c r="G179" s="316">
        <v>1132607</v>
      </c>
      <c r="H179" s="316">
        <v>2655191.8782399581</v>
      </c>
      <c r="I179" s="320">
        <v>7.7373210508446619E-3</v>
      </c>
    </row>
    <row r="180" spans="1:9" x14ac:dyDescent="0.25">
      <c r="A180" s="308" t="s">
        <v>529</v>
      </c>
      <c r="B180" s="311">
        <v>3823</v>
      </c>
      <c r="C180" s="311">
        <v>1822</v>
      </c>
      <c r="D180" s="312">
        <v>0.47658906617839392</v>
      </c>
      <c r="E180" s="313">
        <v>1.8843297335675049</v>
      </c>
      <c r="F180" s="314">
        <v>4.3142151481888034</v>
      </c>
      <c r="G180" s="311">
        <v>62884</v>
      </c>
      <c r="H180" s="311">
        <v>118494.19096565897</v>
      </c>
      <c r="I180" s="315">
        <v>3.4529617451569495E-4</v>
      </c>
    </row>
    <row r="181" spans="1:9" x14ac:dyDescent="0.25">
      <c r="A181" s="309" t="s">
        <v>226</v>
      </c>
      <c r="B181" s="316">
        <v>3823</v>
      </c>
      <c r="C181" s="316">
        <v>1822</v>
      </c>
      <c r="D181" s="317">
        <v>0.47658906617839392</v>
      </c>
      <c r="E181" s="318">
        <v>1.8843297335675049</v>
      </c>
      <c r="F181" s="319">
        <v>4.3142151481888034</v>
      </c>
      <c r="G181" s="316">
        <v>62884</v>
      </c>
      <c r="H181" s="316">
        <v>118494.19096565897</v>
      </c>
      <c r="I181" s="320">
        <v>3.4529617451569495E-4</v>
      </c>
    </row>
    <row r="182" spans="1:9" x14ac:dyDescent="0.25">
      <c r="A182" s="308" t="s">
        <v>93</v>
      </c>
      <c r="B182" s="311">
        <v>4672</v>
      </c>
      <c r="C182" s="311">
        <v>1014</v>
      </c>
      <c r="D182" s="312">
        <v>0.21703767123287671</v>
      </c>
      <c r="E182" s="313">
        <v>2.4138145792563601</v>
      </c>
      <c r="F182" s="314">
        <v>4.2438362919132153</v>
      </c>
      <c r="G182" s="311">
        <v>34426</v>
      </c>
      <c r="H182" s="311">
        <v>83097.980705479451</v>
      </c>
      <c r="I182" s="315">
        <v>2.4215039246857915E-4</v>
      </c>
    </row>
    <row r="183" spans="1:9" x14ac:dyDescent="0.25">
      <c r="A183" s="309" t="s">
        <v>225</v>
      </c>
      <c r="B183" s="316">
        <v>4672</v>
      </c>
      <c r="C183" s="316">
        <v>1014</v>
      </c>
      <c r="D183" s="317">
        <v>0.21703767123287671</v>
      </c>
      <c r="E183" s="318">
        <v>2.4138145792563601</v>
      </c>
      <c r="F183" s="319">
        <v>4.2438362919132153</v>
      </c>
      <c r="G183" s="316">
        <v>34426</v>
      </c>
      <c r="H183" s="316">
        <v>83097.980705479451</v>
      </c>
      <c r="I183" s="320">
        <v>2.4215039246857915E-4</v>
      </c>
    </row>
    <row r="184" spans="1:9" x14ac:dyDescent="0.25">
      <c r="A184" s="308" t="s">
        <v>94</v>
      </c>
      <c r="B184" s="311">
        <v>302576</v>
      </c>
      <c r="C184" s="311">
        <v>102424</v>
      </c>
      <c r="D184" s="312">
        <v>0.33850668922849136</v>
      </c>
      <c r="E184" s="313">
        <v>2.166017782545306</v>
      </c>
      <c r="F184" s="314">
        <v>4.2056744513004762</v>
      </c>
      <c r="G184" s="311">
        <v>3446096</v>
      </c>
      <c r="H184" s="311">
        <v>7464305.2163582491</v>
      </c>
      <c r="I184" s="315">
        <v>2.1751243800407147E-2</v>
      </c>
    </row>
    <row r="185" spans="1:9" x14ac:dyDescent="0.25">
      <c r="A185" s="309" t="s">
        <v>224</v>
      </c>
      <c r="B185" s="316">
        <v>302576</v>
      </c>
      <c r="C185" s="316">
        <v>102424</v>
      </c>
      <c r="D185" s="317">
        <v>0.33850668922849136</v>
      </c>
      <c r="E185" s="318">
        <v>2.166017782545306</v>
      </c>
      <c r="F185" s="319">
        <v>4.2056744513004762</v>
      </c>
      <c r="G185" s="316">
        <v>3446096</v>
      </c>
      <c r="H185" s="316">
        <v>7464305.2163582491</v>
      </c>
      <c r="I185" s="320">
        <v>2.1751243800407147E-2</v>
      </c>
    </row>
    <row r="186" spans="1:9" x14ac:dyDescent="0.25">
      <c r="A186" s="308" t="s">
        <v>95</v>
      </c>
      <c r="B186" s="311">
        <v>161903</v>
      </c>
      <c r="C186" s="311">
        <v>55498</v>
      </c>
      <c r="D186" s="312">
        <v>0.34278549501862227</v>
      </c>
      <c r="E186" s="313">
        <v>2.1572890187334393</v>
      </c>
      <c r="F186" s="314">
        <v>4.2811565281631774</v>
      </c>
      <c r="G186" s="311">
        <v>1900765</v>
      </c>
      <c r="H186" s="311">
        <v>4100499.4616928655</v>
      </c>
      <c r="I186" s="315">
        <v>1.1948997382804647E-2</v>
      </c>
    </row>
    <row r="187" spans="1:9" x14ac:dyDescent="0.25">
      <c r="A187" s="309" t="s">
        <v>222</v>
      </c>
      <c r="B187" s="316">
        <v>161903</v>
      </c>
      <c r="C187" s="316">
        <v>55498</v>
      </c>
      <c r="D187" s="317">
        <v>0.34278549501862227</v>
      </c>
      <c r="E187" s="318">
        <v>2.1572890187334393</v>
      </c>
      <c r="F187" s="319">
        <v>4.2811565281631774</v>
      </c>
      <c r="G187" s="316">
        <v>1900765</v>
      </c>
      <c r="H187" s="316">
        <v>4100499.4616928655</v>
      </c>
      <c r="I187" s="320">
        <v>1.1948997382804647E-2</v>
      </c>
    </row>
    <row r="188" spans="1:9" x14ac:dyDescent="0.25">
      <c r="A188" s="308" t="s">
        <v>96</v>
      </c>
      <c r="B188" s="311">
        <v>293706</v>
      </c>
      <c r="C188" s="311">
        <v>91026</v>
      </c>
      <c r="D188" s="312">
        <v>0.30992216706502423</v>
      </c>
      <c r="E188" s="313">
        <v>2.2243302077587792</v>
      </c>
      <c r="F188" s="314">
        <v>4.1665581811790036</v>
      </c>
      <c r="G188" s="311">
        <v>3034121</v>
      </c>
      <c r="H188" s="311">
        <v>6748886.9942952748</v>
      </c>
      <c r="I188" s="315">
        <v>1.9666490334908089E-2</v>
      </c>
    </row>
    <row r="189" spans="1:9" x14ac:dyDescent="0.25">
      <c r="A189" s="309" t="s">
        <v>221</v>
      </c>
      <c r="B189" s="316">
        <v>293706</v>
      </c>
      <c r="C189" s="316">
        <v>91026</v>
      </c>
      <c r="D189" s="317">
        <v>0.30992216706502423</v>
      </c>
      <c r="E189" s="318">
        <v>2.2243302077587792</v>
      </c>
      <c r="F189" s="319">
        <v>4.1665581811790036</v>
      </c>
      <c r="G189" s="316">
        <v>3034121</v>
      </c>
      <c r="H189" s="316">
        <v>6748886.9942952748</v>
      </c>
      <c r="I189" s="320">
        <v>1.9666490334908089E-2</v>
      </c>
    </row>
    <row r="190" spans="1:9" x14ac:dyDescent="0.25">
      <c r="A190" s="308" t="s">
        <v>97</v>
      </c>
      <c r="B190" s="311">
        <v>475477</v>
      </c>
      <c r="C190" s="311">
        <v>139238</v>
      </c>
      <c r="D190" s="312">
        <v>0.29283856001446967</v>
      </c>
      <c r="E190" s="313">
        <v>2.2591807661419105</v>
      </c>
      <c r="F190" s="314">
        <v>4.2843324020741465</v>
      </c>
      <c r="G190" s="311">
        <v>4772335</v>
      </c>
      <c r="H190" s="311">
        <v>10781567.441585856</v>
      </c>
      <c r="I190" s="315">
        <v>3.1417860761980193E-2</v>
      </c>
    </row>
    <row r="191" spans="1:9" x14ac:dyDescent="0.25">
      <c r="A191" s="309" t="s">
        <v>220</v>
      </c>
      <c r="B191" s="316">
        <v>475477</v>
      </c>
      <c r="C191" s="316">
        <v>139238</v>
      </c>
      <c r="D191" s="317">
        <v>0.29283856001446967</v>
      </c>
      <c r="E191" s="318">
        <v>2.2591807661419105</v>
      </c>
      <c r="F191" s="319">
        <v>4.2843324020741465</v>
      </c>
      <c r="G191" s="316">
        <v>4772335</v>
      </c>
      <c r="H191" s="316">
        <v>10781567.441585856</v>
      </c>
      <c r="I191" s="320">
        <v>3.1417860761980193E-2</v>
      </c>
    </row>
    <row r="192" spans="1:9" x14ac:dyDescent="0.25">
      <c r="A192" s="308" t="s">
        <v>98</v>
      </c>
      <c r="B192" s="311">
        <v>760612</v>
      </c>
      <c r="C192" s="311">
        <v>210205</v>
      </c>
      <c r="D192" s="312">
        <v>0.27636298138867121</v>
      </c>
      <c r="E192" s="313">
        <v>2.2927909465385392</v>
      </c>
      <c r="F192" s="314">
        <v>4.1029387978402037</v>
      </c>
      <c r="G192" s="311">
        <v>6899666</v>
      </c>
      <c r="H192" s="311">
        <v>15819491.738939777</v>
      </c>
      <c r="I192" s="315">
        <v>4.6098546567752134E-2</v>
      </c>
    </row>
    <row r="193" spans="1:9" x14ac:dyDescent="0.25">
      <c r="A193" s="309" t="s">
        <v>219</v>
      </c>
      <c r="B193" s="316">
        <v>760612</v>
      </c>
      <c r="C193" s="316">
        <v>210205</v>
      </c>
      <c r="D193" s="317">
        <v>0.27636298138867121</v>
      </c>
      <c r="E193" s="318">
        <v>2.2927909465385392</v>
      </c>
      <c r="F193" s="319">
        <v>4.1029387978402037</v>
      </c>
      <c r="G193" s="316">
        <v>6899666</v>
      </c>
      <c r="H193" s="316">
        <v>15819491.738939777</v>
      </c>
      <c r="I193" s="320">
        <v>4.6098546567752134E-2</v>
      </c>
    </row>
    <row r="194" spans="1:9" x14ac:dyDescent="0.25">
      <c r="A194" s="308" t="s">
        <v>99</v>
      </c>
      <c r="B194" s="311">
        <v>454900</v>
      </c>
      <c r="C194" s="311">
        <v>142888</v>
      </c>
      <c r="D194" s="312">
        <v>0.31410859529566937</v>
      </c>
      <c r="E194" s="313">
        <v>2.215789894168263</v>
      </c>
      <c r="F194" s="314">
        <v>4.1101177145736525</v>
      </c>
      <c r="G194" s="311">
        <v>4698292</v>
      </c>
      <c r="H194" s="311">
        <v>10410427.933451597</v>
      </c>
      <c r="I194" s="315">
        <v>3.0336347387138578E-2</v>
      </c>
    </row>
    <row r="195" spans="1:9" x14ac:dyDescent="0.25">
      <c r="A195" s="309" t="s">
        <v>218</v>
      </c>
      <c r="B195" s="316">
        <v>454900</v>
      </c>
      <c r="C195" s="316">
        <v>142888</v>
      </c>
      <c r="D195" s="317">
        <v>0.31410859529566937</v>
      </c>
      <c r="E195" s="318">
        <v>2.215789894168263</v>
      </c>
      <c r="F195" s="319">
        <v>4.1101177145736525</v>
      </c>
      <c r="G195" s="316">
        <v>4698292</v>
      </c>
      <c r="H195" s="316">
        <v>10410427.933451597</v>
      </c>
      <c r="I195" s="320">
        <v>3.0336347387138578E-2</v>
      </c>
    </row>
    <row r="196" spans="1:9" x14ac:dyDescent="0.25">
      <c r="A196" s="308" t="s">
        <v>100</v>
      </c>
      <c r="B196" s="311">
        <v>192664</v>
      </c>
      <c r="C196" s="311">
        <v>42782</v>
      </c>
      <c r="D196" s="312">
        <v>0.22205497653946768</v>
      </c>
      <c r="E196" s="313">
        <v>2.4035792764309143</v>
      </c>
      <c r="F196" s="314">
        <v>4.2601298443270537</v>
      </c>
      <c r="G196" s="311">
        <v>1458055</v>
      </c>
      <c r="H196" s="311">
        <v>3504550.7818964766</v>
      </c>
      <c r="I196" s="315">
        <v>1.0212382299276974E-2</v>
      </c>
    </row>
    <row r="197" spans="1:9" x14ac:dyDescent="0.25">
      <c r="A197" s="309" t="s">
        <v>217</v>
      </c>
      <c r="B197" s="316">
        <v>192664</v>
      </c>
      <c r="C197" s="316">
        <v>42782</v>
      </c>
      <c r="D197" s="317">
        <v>0.22205497653946768</v>
      </c>
      <c r="E197" s="318">
        <v>2.4035792764309143</v>
      </c>
      <c r="F197" s="319">
        <v>4.2601298443270537</v>
      </c>
      <c r="G197" s="316">
        <v>1458055</v>
      </c>
      <c r="H197" s="316">
        <v>3504550.7818964766</v>
      </c>
      <c r="I197" s="320">
        <v>1.0212382299276974E-2</v>
      </c>
    </row>
    <row r="198" spans="1:9" ht="24" x14ac:dyDescent="0.25">
      <c r="A198" s="308" t="s">
        <v>130</v>
      </c>
      <c r="B198" s="311">
        <v>186</v>
      </c>
      <c r="C198" s="311">
        <v>73</v>
      </c>
      <c r="D198" s="312">
        <v>0.39247311827956988</v>
      </c>
      <c r="E198" s="313">
        <v>2.0559262672811061</v>
      </c>
      <c r="F198" s="314">
        <v>4.3801369863013697</v>
      </c>
      <c r="G198" s="311">
        <v>2558</v>
      </c>
      <c r="H198" s="311">
        <v>5259.0593917050692</v>
      </c>
      <c r="I198" s="315">
        <v>1.5325081125984287E-5</v>
      </c>
    </row>
    <row r="199" spans="1:9" x14ac:dyDescent="0.25">
      <c r="A199" s="309" t="s">
        <v>213</v>
      </c>
      <c r="B199" s="316">
        <v>186</v>
      </c>
      <c r="C199" s="316">
        <v>73</v>
      </c>
      <c r="D199" s="317">
        <v>0.39247311827956988</v>
      </c>
      <c r="E199" s="318">
        <v>2.0559262672811061</v>
      </c>
      <c r="F199" s="319">
        <v>4.3801369863013697</v>
      </c>
      <c r="G199" s="316">
        <v>2558</v>
      </c>
      <c r="H199" s="316">
        <v>5259.0593917050692</v>
      </c>
      <c r="I199" s="320">
        <v>1.5325081125984287E-5</v>
      </c>
    </row>
    <row r="200" spans="1:9" ht="24" x14ac:dyDescent="0.25">
      <c r="A200" s="308" t="s">
        <v>467</v>
      </c>
      <c r="B200" s="311">
        <v>11823</v>
      </c>
      <c r="C200" s="311">
        <v>5389</v>
      </c>
      <c r="D200" s="312">
        <v>0.45580647889706505</v>
      </c>
      <c r="E200" s="313">
        <v>1.9267262116214159</v>
      </c>
      <c r="F200" s="314">
        <v>4.5523288179625165</v>
      </c>
      <c r="G200" s="311">
        <v>196260</v>
      </c>
      <c r="H200" s="311">
        <v>378139.28629281907</v>
      </c>
      <c r="I200" s="315">
        <v>1.1019109707145591E-3</v>
      </c>
    </row>
    <row r="201" spans="1:9" x14ac:dyDescent="0.25">
      <c r="A201" s="309" t="s">
        <v>212</v>
      </c>
      <c r="B201" s="316">
        <v>11823</v>
      </c>
      <c r="C201" s="316">
        <v>5389</v>
      </c>
      <c r="D201" s="317">
        <v>0.45580647889706505</v>
      </c>
      <c r="E201" s="318">
        <v>1.9267262116214159</v>
      </c>
      <c r="F201" s="319">
        <v>4.5523288179625165</v>
      </c>
      <c r="G201" s="316">
        <v>196260</v>
      </c>
      <c r="H201" s="316">
        <v>378139.28629281907</v>
      </c>
      <c r="I201" s="320">
        <v>1.1019109707145591E-3</v>
      </c>
    </row>
    <row r="202" spans="1:9" ht="24" x14ac:dyDescent="0.25">
      <c r="A202" s="308" t="s">
        <v>103</v>
      </c>
      <c r="B202" s="311">
        <v>23455</v>
      </c>
      <c r="C202" s="311">
        <v>8269</v>
      </c>
      <c r="D202" s="312">
        <v>0.35254743125133237</v>
      </c>
      <c r="E202" s="313">
        <v>2.1373746688187105</v>
      </c>
      <c r="F202" s="314">
        <v>4.0620540573225297</v>
      </c>
      <c r="G202" s="311">
        <v>268713</v>
      </c>
      <c r="H202" s="311">
        <v>574340.35938228213</v>
      </c>
      <c r="I202" s="315">
        <v>1.6736476898023317E-3</v>
      </c>
    </row>
    <row r="203" spans="1:9" x14ac:dyDescent="0.25">
      <c r="A203" s="309" t="s">
        <v>211</v>
      </c>
      <c r="B203" s="316">
        <v>23455</v>
      </c>
      <c r="C203" s="316">
        <v>8269</v>
      </c>
      <c r="D203" s="317">
        <v>0.35254743125133237</v>
      </c>
      <c r="E203" s="318">
        <v>2.1373746688187105</v>
      </c>
      <c r="F203" s="319">
        <v>4.0620540573225297</v>
      </c>
      <c r="G203" s="316">
        <v>268713</v>
      </c>
      <c r="H203" s="316">
        <v>574340.35938228213</v>
      </c>
      <c r="I203" s="320">
        <v>1.6736476898023317E-3</v>
      </c>
    </row>
    <row r="204" spans="1:9" x14ac:dyDescent="0.25">
      <c r="A204" s="308" t="s">
        <v>104</v>
      </c>
      <c r="B204" s="311">
        <v>22484</v>
      </c>
      <c r="C204" s="311">
        <v>8901</v>
      </c>
      <c r="D204" s="312">
        <v>0.39588151574452946</v>
      </c>
      <c r="E204" s="313">
        <v>2.0489731364525885</v>
      </c>
      <c r="F204" s="314">
        <v>4.5075272441298733</v>
      </c>
      <c r="G204" s="311">
        <v>320972</v>
      </c>
      <c r="H204" s="311">
        <v>657663.00555346021</v>
      </c>
      <c r="I204" s="315">
        <v>1.9164527652154445E-3</v>
      </c>
    </row>
    <row r="205" spans="1:9" x14ac:dyDescent="0.25">
      <c r="A205" s="309" t="s">
        <v>210</v>
      </c>
      <c r="B205" s="316">
        <v>22484</v>
      </c>
      <c r="C205" s="316">
        <v>8901</v>
      </c>
      <c r="D205" s="317">
        <v>0.39588151574452946</v>
      </c>
      <c r="E205" s="318">
        <v>2.0489731364525885</v>
      </c>
      <c r="F205" s="319">
        <v>4.5075272441298733</v>
      </c>
      <c r="G205" s="316">
        <v>320972</v>
      </c>
      <c r="H205" s="316">
        <v>657663.00555346021</v>
      </c>
      <c r="I205" s="320">
        <v>1.9164527652154445E-3</v>
      </c>
    </row>
    <row r="206" spans="1:9" x14ac:dyDescent="0.25">
      <c r="A206" s="308" t="s">
        <v>433</v>
      </c>
      <c r="B206" s="311">
        <v>22160</v>
      </c>
      <c r="C206" s="311">
        <v>6640</v>
      </c>
      <c r="D206" s="312">
        <v>0.29963898916967507</v>
      </c>
      <c r="E206" s="313">
        <v>2.2453078906652912</v>
      </c>
      <c r="F206" s="314">
        <v>3.9878765060240964</v>
      </c>
      <c r="G206" s="311">
        <v>211836</v>
      </c>
      <c r="H206" s="311">
        <v>475637.04232697265</v>
      </c>
      <c r="I206" s="315">
        <v>1.3860228069835154E-3</v>
      </c>
    </row>
    <row r="207" spans="1:9" x14ac:dyDescent="0.25">
      <c r="A207" s="309" t="s">
        <v>209</v>
      </c>
      <c r="B207" s="316">
        <v>22160</v>
      </c>
      <c r="C207" s="316">
        <v>6640</v>
      </c>
      <c r="D207" s="317">
        <v>0.29963898916967507</v>
      </c>
      <c r="E207" s="318">
        <v>2.2453078906652912</v>
      </c>
      <c r="F207" s="319">
        <v>3.9878765060240964</v>
      </c>
      <c r="G207" s="316">
        <v>211836</v>
      </c>
      <c r="H207" s="316">
        <v>475637.04232697265</v>
      </c>
      <c r="I207" s="320">
        <v>1.3860228069835154E-3</v>
      </c>
    </row>
    <row r="208" spans="1:9" x14ac:dyDescent="0.25">
      <c r="A208" s="308" t="s">
        <v>105</v>
      </c>
      <c r="B208" s="311">
        <v>34728</v>
      </c>
      <c r="C208" s="311">
        <v>15099</v>
      </c>
      <c r="D208" s="312">
        <v>0.43477885279889428</v>
      </c>
      <c r="E208" s="313">
        <v>1.9696225688616842</v>
      </c>
      <c r="F208" s="314">
        <v>4.3744453275051329</v>
      </c>
      <c r="G208" s="311">
        <v>528398</v>
      </c>
      <c r="H208" s="311">
        <v>1040744.6261413762</v>
      </c>
      <c r="I208" s="315">
        <v>3.0327658691600558E-3</v>
      </c>
    </row>
    <row r="209" spans="1:9" x14ac:dyDescent="0.25">
      <c r="A209" s="309" t="s">
        <v>208</v>
      </c>
      <c r="B209" s="316">
        <v>34728</v>
      </c>
      <c r="C209" s="316">
        <v>15099</v>
      </c>
      <c r="D209" s="317">
        <v>0.43477885279889428</v>
      </c>
      <c r="E209" s="318">
        <v>1.9696225688616842</v>
      </c>
      <c r="F209" s="319">
        <v>4.3744453275051329</v>
      </c>
      <c r="G209" s="316">
        <v>528398</v>
      </c>
      <c r="H209" s="316">
        <v>1040744.6261413762</v>
      </c>
      <c r="I209" s="320">
        <v>3.0327658691600558E-3</v>
      </c>
    </row>
    <row r="210" spans="1:9" ht="24" x14ac:dyDescent="0.25">
      <c r="A210" s="308" t="s">
        <v>106</v>
      </c>
      <c r="B210" s="311">
        <v>59514</v>
      </c>
      <c r="C210" s="311">
        <v>19996</v>
      </c>
      <c r="D210" s="312">
        <v>0.33598817085055616</v>
      </c>
      <c r="E210" s="313">
        <v>2.171155560036294</v>
      </c>
      <c r="F210" s="314">
        <v>4.1827928085617128</v>
      </c>
      <c r="G210" s="311">
        <v>669113</v>
      </c>
      <c r="H210" s="311">
        <v>1452748.4102425647</v>
      </c>
      <c r="I210" s="315">
        <v>4.2333591588122072E-3</v>
      </c>
    </row>
    <row r="211" spans="1:9" x14ac:dyDescent="0.25">
      <c r="A211" s="309" t="s">
        <v>207</v>
      </c>
      <c r="B211" s="316">
        <v>59514</v>
      </c>
      <c r="C211" s="316">
        <v>19996</v>
      </c>
      <c r="D211" s="317">
        <v>0.33598817085055616</v>
      </c>
      <c r="E211" s="318">
        <v>2.171155560036294</v>
      </c>
      <c r="F211" s="319">
        <v>4.1827928085617128</v>
      </c>
      <c r="G211" s="316">
        <v>669113</v>
      </c>
      <c r="H211" s="316">
        <v>1452748.4102425647</v>
      </c>
      <c r="I211" s="320">
        <v>4.2333591588122072E-3</v>
      </c>
    </row>
    <row r="212" spans="1:9" ht="24" x14ac:dyDescent="0.25">
      <c r="A212" s="308" t="s">
        <v>107</v>
      </c>
      <c r="B212" s="311">
        <v>143617</v>
      </c>
      <c r="C212" s="311">
        <v>54829</v>
      </c>
      <c r="D212" s="312">
        <v>0.38177235285516337</v>
      </c>
      <c r="E212" s="313">
        <v>2.0777558287468954</v>
      </c>
      <c r="F212" s="314">
        <v>4.2098570099764725</v>
      </c>
      <c r="G212" s="311">
        <v>1846578</v>
      </c>
      <c r="H212" s="311">
        <v>3836738.2027357845</v>
      </c>
      <c r="I212" s="315">
        <v>1.1180387943294498E-2</v>
      </c>
    </row>
    <row r="213" spans="1:9" x14ac:dyDescent="0.25">
      <c r="A213" s="309" t="s">
        <v>206</v>
      </c>
      <c r="B213" s="316">
        <v>143617</v>
      </c>
      <c r="C213" s="316">
        <v>54829</v>
      </c>
      <c r="D213" s="317">
        <v>0.38177235285516337</v>
      </c>
      <c r="E213" s="318">
        <v>2.0777558287468954</v>
      </c>
      <c r="F213" s="319">
        <v>4.2098570099764725</v>
      </c>
      <c r="G213" s="316">
        <v>1846578</v>
      </c>
      <c r="H213" s="316">
        <v>3836738.2027357845</v>
      </c>
      <c r="I213" s="320">
        <v>1.1180387943294498E-2</v>
      </c>
    </row>
    <row r="214" spans="1:9" x14ac:dyDescent="0.25">
      <c r="A214" s="308" t="s">
        <v>108</v>
      </c>
      <c r="B214" s="311">
        <v>410237</v>
      </c>
      <c r="C214" s="311">
        <v>94625</v>
      </c>
      <c r="D214" s="312">
        <v>0.23065935057052386</v>
      </c>
      <c r="E214" s="313">
        <v>2.3860263534075599</v>
      </c>
      <c r="F214" s="314">
        <v>4.1108454425363279</v>
      </c>
      <c r="G214" s="311">
        <v>3111910</v>
      </c>
      <c r="H214" s="311">
        <v>7425099.2694325196</v>
      </c>
      <c r="I214" s="315">
        <v>2.1636996313830838E-2</v>
      </c>
    </row>
    <row r="215" spans="1:9" x14ac:dyDescent="0.25">
      <c r="A215" s="309" t="s">
        <v>205</v>
      </c>
      <c r="B215" s="316">
        <v>410237</v>
      </c>
      <c r="C215" s="316">
        <v>94625</v>
      </c>
      <c r="D215" s="317">
        <v>0.23065935057052386</v>
      </c>
      <c r="E215" s="318">
        <v>2.3860263534075599</v>
      </c>
      <c r="F215" s="319">
        <v>4.1108454425363279</v>
      </c>
      <c r="G215" s="316">
        <v>3111910</v>
      </c>
      <c r="H215" s="316">
        <v>7425099.2694325196</v>
      </c>
      <c r="I215" s="320">
        <v>2.1636996313830838E-2</v>
      </c>
    </row>
    <row r="216" spans="1:9" x14ac:dyDescent="0.25">
      <c r="A216" s="308" t="s">
        <v>109</v>
      </c>
      <c r="B216" s="311">
        <v>804317</v>
      </c>
      <c r="C216" s="311">
        <v>231472</v>
      </c>
      <c r="D216" s="312">
        <v>0.28778702924344507</v>
      </c>
      <c r="E216" s="313">
        <v>2.2694858889148009</v>
      </c>
      <c r="F216" s="314">
        <v>4.1727870973595076</v>
      </c>
      <c r="G216" s="311">
        <v>7727067</v>
      </c>
      <c r="H216" s="311">
        <v>17536469.519199222</v>
      </c>
      <c r="I216" s="315">
        <v>5.1101879257907851E-2</v>
      </c>
    </row>
    <row r="217" spans="1:9" x14ac:dyDescent="0.25">
      <c r="A217" s="309" t="s">
        <v>204</v>
      </c>
      <c r="B217" s="316">
        <v>804317</v>
      </c>
      <c r="C217" s="316">
        <v>231472</v>
      </c>
      <c r="D217" s="317">
        <v>0.28778702924344507</v>
      </c>
      <c r="E217" s="318">
        <v>2.2694858889148009</v>
      </c>
      <c r="F217" s="319">
        <v>4.1727870973595076</v>
      </c>
      <c r="G217" s="316">
        <v>7727067</v>
      </c>
      <c r="H217" s="316">
        <v>17536469.519199222</v>
      </c>
      <c r="I217" s="320">
        <v>5.1101879257907851E-2</v>
      </c>
    </row>
    <row r="218" spans="1:9" x14ac:dyDescent="0.25">
      <c r="A218" s="308" t="s">
        <v>111</v>
      </c>
      <c r="B218" s="311">
        <v>9629</v>
      </c>
      <c r="C218" s="311">
        <v>5224</v>
      </c>
      <c r="D218" s="312">
        <v>0.54252778066258178</v>
      </c>
      <c r="E218" s="313">
        <v>1.7498147560197617</v>
      </c>
      <c r="F218" s="314">
        <v>3.988179555895865</v>
      </c>
      <c r="G218" s="311">
        <v>166674</v>
      </c>
      <c r="H218" s="311">
        <v>291648.62464483775</v>
      </c>
      <c r="I218" s="315">
        <v>8.4987418853141815E-4</v>
      </c>
    </row>
    <row r="219" spans="1:9" x14ac:dyDescent="0.25">
      <c r="A219" s="309" t="s">
        <v>202</v>
      </c>
      <c r="B219" s="316">
        <v>9629</v>
      </c>
      <c r="C219" s="316">
        <v>5224</v>
      </c>
      <c r="D219" s="317">
        <v>0.54252778066258178</v>
      </c>
      <c r="E219" s="318">
        <v>1.7498147560197617</v>
      </c>
      <c r="F219" s="319">
        <v>3.988179555895865</v>
      </c>
      <c r="G219" s="316">
        <v>166674</v>
      </c>
      <c r="H219" s="316">
        <v>291648.62464483775</v>
      </c>
      <c r="I219" s="320">
        <v>8.4987418853141815E-4</v>
      </c>
    </row>
    <row r="220" spans="1:9" x14ac:dyDescent="0.25">
      <c r="A220" s="308" t="s">
        <v>112</v>
      </c>
      <c r="B220" s="311">
        <v>8099</v>
      </c>
      <c r="C220" s="311">
        <v>3444</v>
      </c>
      <c r="D220" s="312">
        <v>0.42523768366464998</v>
      </c>
      <c r="E220" s="313">
        <v>1.9890865538955427</v>
      </c>
      <c r="F220" s="314">
        <v>4.3902076074332168</v>
      </c>
      <c r="G220" s="311">
        <v>120959</v>
      </c>
      <c r="H220" s="311">
        <v>240597.92047265093</v>
      </c>
      <c r="I220" s="315">
        <v>7.011106692961399E-4</v>
      </c>
    </row>
    <row r="221" spans="1:9" x14ac:dyDescent="0.25">
      <c r="A221" s="309" t="s">
        <v>198</v>
      </c>
      <c r="B221" s="316">
        <v>8099</v>
      </c>
      <c r="C221" s="316">
        <v>3444</v>
      </c>
      <c r="D221" s="317">
        <v>0.42523768366464998</v>
      </c>
      <c r="E221" s="318">
        <v>1.9890865538955427</v>
      </c>
      <c r="F221" s="319">
        <v>4.3902076074332168</v>
      </c>
      <c r="G221" s="316">
        <v>120959</v>
      </c>
      <c r="H221" s="316">
        <v>240597.92047265093</v>
      </c>
      <c r="I221" s="320">
        <v>7.011106692961399E-4</v>
      </c>
    </row>
    <row r="222" spans="1:9" x14ac:dyDescent="0.25">
      <c r="A222" s="308" t="s">
        <v>113</v>
      </c>
      <c r="B222" s="311">
        <v>4204</v>
      </c>
      <c r="C222" s="311">
        <v>1461</v>
      </c>
      <c r="D222" s="312">
        <v>0.34752616555661275</v>
      </c>
      <c r="E222" s="313">
        <v>2.1476180508359386</v>
      </c>
      <c r="F222" s="314">
        <v>4.0325975359342916</v>
      </c>
      <c r="G222" s="311">
        <v>47133</v>
      </c>
      <c r="H222" s="311">
        <v>101223.6815900503</v>
      </c>
      <c r="I222" s="315">
        <v>2.9496931232324036E-4</v>
      </c>
    </row>
    <row r="223" spans="1:9" x14ac:dyDescent="0.25">
      <c r="A223" s="309" t="s">
        <v>199</v>
      </c>
      <c r="B223" s="316">
        <v>4204</v>
      </c>
      <c r="C223" s="316">
        <v>1461</v>
      </c>
      <c r="D223" s="317">
        <v>0.34752616555661275</v>
      </c>
      <c r="E223" s="318">
        <v>2.1476180508359386</v>
      </c>
      <c r="F223" s="319">
        <v>4.0325975359342916</v>
      </c>
      <c r="G223" s="316">
        <v>47133</v>
      </c>
      <c r="H223" s="316">
        <v>101223.6815900503</v>
      </c>
      <c r="I223" s="320">
        <v>2.9496931232324036E-4</v>
      </c>
    </row>
    <row r="224" spans="1:9" x14ac:dyDescent="0.25">
      <c r="A224" s="308" t="s">
        <v>114</v>
      </c>
      <c r="B224" s="311">
        <v>112639</v>
      </c>
      <c r="C224" s="311">
        <v>40531</v>
      </c>
      <c r="D224" s="312">
        <v>0.35983096440841983</v>
      </c>
      <c r="E224" s="313">
        <v>2.122516261178252</v>
      </c>
      <c r="F224" s="314">
        <v>4.3609305223162513</v>
      </c>
      <c r="G224" s="311">
        <v>1414023</v>
      </c>
      <c r="H224" s="311">
        <v>3001286.8111800556</v>
      </c>
      <c r="I224" s="315">
        <v>8.745853666575298E-3</v>
      </c>
    </row>
    <row r="225" spans="1:9" x14ac:dyDescent="0.25">
      <c r="A225" s="309" t="s">
        <v>196</v>
      </c>
      <c r="B225" s="316">
        <v>112639</v>
      </c>
      <c r="C225" s="316">
        <v>40531</v>
      </c>
      <c r="D225" s="317">
        <v>0.35983096440841983</v>
      </c>
      <c r="E225" s="318">
        <v>2.122516261178252</v>
      </c>
      <c r="F225" s="319">
        <v>4.3609305223162513</v>
      </c>
      <c r="G225" s="316">
        <v>1414023</v>
      </c>
      <c r="H225" s="316">
        <v>3001286.8111800556</v>
      </c>
      <c r="I225" s="320">
        <v>8.745853666575298E-3</v>
      </c>
    </row>
    <row r="226" spans="1:9" x14ac:dyDescent="0.25">
      <c r="A226" s="308" t="s">
        <v>115</v>
      </c>
      <c r="B226" s="311">
        <v>21593</v>
      </c>
      <c r="C226" s="311">
        <v>9844</v>
      </c>
      <c r="D226" s="312">
        <v>0.45588848237854862</v>
      </c>
      <c r="E226" s="313">
        <v>1.9265589245191892</v>
      </c>
      <c r="F226" s="314">
        <v>4.2722343559528646</v>
      </c>
      <c r="G226" s="311">
        <v>336447</v>
      </c>
      <c r="H226" s="311">
        <v>648184.97047770768</v>
      </c>
      <c r="I226" s="315">
        <v>1.8888334428932944E-3</v>
      </c>
    </row>
    <row r="227" spans="1:9" x14ac:dyDescent="0.25">
      <c r="A227" s="309" t="s">
        <v>195</v>
      </c>
      <c r="B227" s="316">
        <v>21593</v>
      </c>
      <c r="C227" s="316">
        <v>9844</v>
      </c>
      <c r="D227" s="317">
        <v>0.45588848237854862</v>
      </c>
      <c r="E227" s="318">
        <v>1.9265589245191892</v>
      </c>
      <c r="F227" s="319">
        <v>4.2722343559528646</v>
      </c>
      <c r="G227" s="316">
        <v>336447</v>
      </c>
      <c r="H227" s="316">
        <v>648184.97047770768</v>
      </c>
      <c r="I227" s="320">
        <v>1.8888334428932944E-3</v>
      </c>
    </row>
    <row r="228" spans="1:9" x14ac:dyDescent="0.25">
      <c r="A228" s="308" t="s">
        <v>116</v>
      </c>
      <c r="B228" s="311">
        <v>279094</v>
      </c>
      <c r="C228" s="311">
        <v>76900</v>
      </c>
      <c r="D228" s="312">
        <v>0.27553440776225929</v>
      </c>
      <c r="E228" s="313">
        <v>2.2944812367364196</v>
      </c>
      <c r="F228" s="314">
        <v>4.0878966189856953</v>
      </c>
      <c r="G228" s="311">
        <v>2514874</v>
      </c>
      <c r="H228" s="311">
        <v>5770331.2057562666</v>
      </c>
      <c r="I228" s="315">
        <v>1.6814944891379687E-2</v>
      </c>
    </row>
    <row r="229" spans="1:9" x14ac:dyDescent="0.25">
      <c r="A229" s="309" t="s">
        <v>194</v>
      </c>
      <c r="B229" s="316">
        <v>279094</v>
      </c>
      <c r="C229" s="316">
        <v>76900</v>
      </c>
      <c r="D229" s="317">
        <v>0.27553440776225929</v>
      </c>
      <c r="E229" s="318">
        <v>2.2944812367364196</v>
      </c>
      <c r="F229" s="319">
        <v>4.0878966189856953</v>
      </c>
      <c r="G229" s="316">
        <v>2514874</v>
      </c>
      <c r="H229" s="316">
        <v>5770331.2057562666</v>
      </c>
      <c r="I229" s="320">
        <v>1.6814944891379687E-2</v>
      </c>
    </row>
    <row r="230" spans="1:9" x14ac:dyDescent="0.25">
      <c r="A230" s="308" t="s">
        <v>538</v>
      </c>
      <c r="B230" s="311">
        <v>1318</v>
      </c>
      <c r="C230" s="311">
        <v>775</v>
      </c>
      <c r="D230" s="312">
        <v>0.58801213960546284</v>
      </c>
      <c r="E230" s="313">
        <v>1.6570266637762843</v>
      </c>
      <c r="F230" s="314">
        <v>4.6022580645161293</v>
      </c>
      <c r="G230" s="311">
        <v>28534</v>
      </c>
      <c r="H230" s="311">
        <v>47281.598824192493</v>
      </c>
      <c r="I230" s="315">
        <v>1.3778021577202012E-4</v>
      </c>
    </row>
    <row r="231" spans="1:9" x14ac:dyDescent="0.25">
      <c r="A231" s="309" t="s">
        <v>381</v>
      </c>
      <c r="B231" s="316">
        <v>1318</v>
      </c>
      <c r="C231" s="316">
        <v>775</v>
      </c>
      <c r="D231" s="317">
        <v>0.58801213960546284</v>
      </c>
      <c r="E231" s="318">
        <v>1.6570266637762843</v>
      </c>
      <c r="F231" s="319">
        <v>4.6022580645161293</v>
      </c>
      <c r="G231" s="316">
        <v>28534</v>
      </c>
      <c r="H231" s="316">
        <v>47281.598824192493</v>
      </c>
      <c r="I231" s="320">
        <v>1.3778021577202012E-4</v>
      </c>
    </row>
    <row r="232" spans="1:9" x14ac:dyDescent="0.25">
      <c r="A232" s="308" t="s">
        <v>117</v>
      </c>
      <c r="B232" s="311">
        <v>21147</v>
      </c>
      <c r="C232" s="311">
        <v>6159</v>
      </c>
      <c r="D232" s="312">
        <v>0.29124698538799831</v>
      </c>
      <c r="E232" s="313">
        <v>2.2624275783799117</v>
      </c>
      <c r="F232" s="314">
        <v>4.3339421984088329</v>
      </c>
      <c r="G232" s="311">
        <v>213542</v>
      </c>
      <c r="H232" s="311">
        <v>483123.30994240311</v>
      </c>
      <c r="I232" s="315">
        <v>1.407838049975115E-3</v>
      </c>
    </row>
    <row r="233" spans="1:9" x14ac:dyDescent="0.25">
      <c r="A233" s="309" t="s">
        <v>193</v>
      </c>
      <c r="B233" s="316">
        <v>21147</v>
      </c>
      <c r="C233" s="316">
        <v>6159</v>
      </c>
      <c r="D233" s="317">
        <v>0.29124698538799831</v>
      </c>
      <c r="E233" s="318">
        <v>2.2624275783799117</v>
      </c>
      <c r="F233" s="319">
        <v>4.3339421984088329</v>
      </c>
      <c r="G233" s="316">
        <v>213542</v>
      </c>
      <c r="H233" s="316">
        <v>483123.30994240311</v>
      </c>
      <c r="I233" s="320">
        <v>1.407838049975115E-3</v>
      </c>
    </row>
    <row r="234" spans="1:9" ht="24" x14ac:dyDescent="0.25">
      <c r="A234" s="308" t="s">
        <v>439</v>
      </c>
      <c r="B234" s="311">
        <v>219118</v>
      </c>
      <c r="C234" s="311">
        <v>56569</v>
      </c>
      <c r="D234" s="312">
        <v>0.25816683248295441</v>
      </c>
      <c r="E234" s="313">
        <v>2.3299110903062017</v>
      </c>
      <c r="F234" s="314">
        <v>4.1356352419169511</v>
      </c>
      <c r="G234" s="311">
        <v>1871590</v>
      </c>
      <c r="H234" s="311">
        <v>4360638.2975061843</v>
      </c>
      <c r="I234" s="315">
        <v>1.2707050955872526E-2</v>
      </c>
    </row>
    <row r="235" spans="1:9" x14ac:dyDescent="0.25">
      <c r="A235" s="309" t="s">
        <v>192</v>
      </c>
      <c r="B235" s="316">
        <v>219118</v>
      </c>
      <c r="C235" s="316">
        <v>56569</v>
      </c>
      <c r="D235" s="317">
        <v>0.25816683248295441</v>
      </c>
      <c r="E235" s="318">
        <v>2.3299110903062017</v>
      </c>
      <c r="F235" s="319">
        <v>4.1356352419169511</v>
      </c>
      <c r="G235" s="316">
        <v>1871590</v>
      </c>
      <c r="H235" s="316">
        <v>4360638.2975061843</v>
      </c>
      <c r="I235" s="320">
        <v>1.2707050955872526E-2</v>
      </c>
    </row>
    <row r="236" spans="1:9" x14ac:dyDescent="0.25">
      <c r="A236" s="308" t="s">
        <v>119</v>
      </c>
      <c r="B236" s="311">
        <v>163697</v>
      </c>
      <c r="C236" s="311">
        <v>52877</v>
      </c>
      <c r="D236" s="312">
        <v>0.32301752628331615</v>
      </c>
      <c r="E236" s="313">
        <v>2.1976156749534637</v>
      </c>
      <c r="F236" s="314">
        <v>4.0527237740416435</v>
      </c>
      <c r="G236" s="311">
        <v>1714367</v>
      </c>
      <c r="H236" s="311">
        <v>3767519.7918229448</v>
      </c>
      <c r="I236" s="315">
        <v>1.0978683097685772E-2</v>
      </c>
    </row>
    <row r="237" spans="1:9" x14ac:dyDescent="0.25">
      <c r="A237" s="309" t="s">
        <v>191</v>
      </c>
      <c r="B237" s="316">
        <v>163697</v>
      </c>
      <c r="C237" s="316">
        <v>52877</v>
      </c>
      <c r="D237" s="317">
        <v>0.32301752628331615</v>
      </c>
      <c r="E237" s="318">
        <v>2.1976156749534637</v>
      </c>
      <c r="F237" s="319">
        <v>4.0527237740416435</v>
      </c>
      <c r="G237" s="316">
        <v>1714367</v>
      </c>
      <c r="H237" s="316">
        <v>3767519.7918229448</v>
      </c>
      <c r="I237" s="320">
        <v>1.0978683097685772E-2</v>
      </c>
    </row>
    <row r="238" spans="1:9" ht="24" x14ac:dyDescent="0.25">
      <c r="A238" s="308" t="s">
        <v>120</v>
      </c>
      <c r="B238" s="311">
        <v>90872</v>
      </c>
      <c r="C238" s="311">
        <v>33229</v>
      </c>
      <c r="D238" s="312">
        <v>0.36566819262259004</v>
      </c>
      <c r="E238" s="313">
        <v>2.1106083156213451</v>
      </c>
      <c r="F238" s="314">
        <v>4.3122047007132327</v>
      </c>
      <c r="G238" s="311">
        <v>1146322</v>
      </c>
      <c r="H238" s="311">
        <v>2419436.7455796916</v>
      </c>
      <c r="I238" s="315">
        <v>7.0503224328818418E-3</v>
      </c>
    </row>
    <row r="239" spans="1:9" x14ac:dyDescent="0.25">
      <c r="A239" s="309" t="s">
        <v>190</v>
      </c>
      <c r="B239" s="316">
        <v>90872</v>
      </c>
      <c r="C239" s="316">
        <v>33229</v>
      </c>
      <c r="D239" s="317">
        <v>0.36566819262259004</v>
      </c>
      <c r="E239" s="318">
        <v>2.1106083156213451</v>
      </c>
      <c r="F239" s="319">
        <v>4.3122047007132327</v>
      </c>
      <c r="G239" s="316">
        <v>1146322</v>
      </c>
      <c r="H239" s="316">
        <v>2419436.7455796916</v>
      </c>
      <c r="I239" s="320">
        <v>7.0503224328818418E-3</v>
      </c>
    </row>
    <row r="240" spans="1:9" ht="24" x14ac:dyDescent="0.25">
      <c r="A240" s="308" t="s">
        <v>499</v>
      </c>
      <c r="B240" s="311">
        <v>957</v>
      </c>
      <c r="C240" s="311">
        <v>259</v>
      </c>
      <c r="D240" s="312">
        <v>0.27063740856844304</v>
      </c>
      <c r="E240" s="313">
        <v>2.3044711150918049</v>
      </c>
      <c r="F240" s="314">
        <v>4.3069498069498069</v>
      </c>
      <c r="G240" s="311">
        <v>8924</v>
      </c>
      <c r="H240" s="311">
        <v>20565.100231079268</v>
      </c>
      <c r="I240" s="315">
        <v>5.9927413997716355E-5</v>
      </c>
    </row>
    <row r="241" spans="1:9" x14ac:dyDescent="0.25">
      <c r="A241" s="309" t="s">
        <v>189</v>
      </c>
      <c r="B241" s="316">
        <v>957</v>
      </c>
      <c r="C241" s="316">
        <v>259</v>
      </c>
      <c r="D241" s="317">
        <v>0.27063740856844304</v>
      </c>
      <c r="E241" s="318">
        <v>2.3044711150918049</v>
      </c>
      <c r="F241" s="319">
        <v>4.3069498069498069</v>
      </c>
      <c r="G241" s="316">
        <v>8924</v>
      </c>
      <c r="H241" s="316">
        <v>20565.100231079268</v>
      </c>
      <c r="I241" s="320">
        <v>5.9927413997716355E-5</v>
      </c>
    </row>
    <row r="242" spans="1:9" x14ac:dyDescent="0.25">
      <c r="A242" s="308" t="s">
        <v>122</v>
      </c>
      <c r="B242" s="311">
        <v>201381</v>
      </c>
      <c r="C242" s="311">
        <v>47773</v>
      </c>
      <c r="D242" s="312">
        <v>0.23722694792458077</v>
      </c>
      <c r="E242" s="313">
        <v>2.3726284548052838</v>
      </c>
      <c r="F242" s="314">
        <v>4.2096607916605615</v>
      </c>
      <c r="G242" s="311">
        <v>1608865</v>
      </c>
      <c r="H242" s="311">
        <v>3817238.8789403029</v>
      </c>
      <c r="I242" s="315">
        <v>1.1123566238725251E-2</v>
      </c>
    </row>
    <row r="243" spans="1:9" x14ac:dyDescent="0.25">
      <c r="A243" s="309" t="s">
        <v>185</v>
      </c>
      <c r="B243" s="316">
        <v>201381</v>
      </c>
      <c r="C243" s="316">
        <v>47773</v>
      </c>
      <c r="D243" s="317">
        <v>0.23722694792458077</v>
      </c>
      <c r="E243" s="318">
        <v>2.3726284548052838</v>
      </c>
      <c r="F243" s="319">
        <v>4.2096607916605615</v>
      </c>
      <c r="G243" s="316">
        <v>1608865</v>
      </c>
      <c r="H243" s="316">
        <v>3817238.8789403029</v>
      </c>
      <c r="I243" s="320">
        <v>1.1123566238725251E-2</v>
      </c>
    </row>
    <row r="244" spans="1:9" x14ac:dyDescent="0.25">
      <c r="A244" s="308" t="s">
        <v>123</v>
      </c>
      <c r="B244" s="311">
        <v>14023</v>
      </c>
      <c r="C244" s="311">
        <v>6327</v>
      </c>
      <c r="D244" s="312">
        <v>0.45118733509234826</v>
      </c>
      <c r="E244" s="313">
        <v>1.9361492649830381</v>
      </c>
      <c r="F244" s="314">
        <v>4.4032124229492648</v>
      </c>
      <c r="G244" s="311">
        <v>222873</v>
      </c>
      <c r="H244" s="311">
        <v>431515.39513456466</v>
      </c>
      <c r="I244" s="315">
        <v>1.2574507996579837E-3</v>
      </c>
    </row>
    <row r="245" spans="1:9" x14ac:dyDescent="0.25">
      <c r="A245" s="309" t="s">
        <v>184</v>
      </c>
      <c r="B245" s="316">
        <v>14023</v>
      </c>
      <c r="C245" s="316">
        <v>6327</v>
      </c>
      <c r="D245" s="317">
        <v>0.45118733509234826</v>
      </c>
      <c r="E245" s="318">
        <v>1.9361492649830381</v>
      </c>
      <c r="F245" s="319">
        <v>4.4032124229492648</v>
      </c>
      <c r="G245" s="316">
        <v>222873</v>
      </c>
      <c r="H245" s="316">
        <v>431515.39513456466</v>
      </c>
      <c r="I245" s="320">
        <v>1.2574507996579837E-3</v>
      </c>
    </row>
    <row r="246" spans="1:9" x14ac:dyDescent="0.25">
      <c r="A246" s="308" t="s">
        <v>124</v>
      </c>
      <c r="B246" s="311">
        <v>158280</v>
      </c>
      <c r="C246" s="311">
        <v>41628</v>
      </c>
      <c r="D246" s="312">
        <v>0.26300227445034119</v>
      </c>
      <c r="E246" s="313">
        <v>2.3200467886927325</v>
      </c>
      <c r="F246" s="314">
        <v>4.1017193955991162</v>
      </c>
      <c r="G246" s="311">
        <v>1365971</v>
      </c>
      <c r="H246" s="311">
        <v>3169116.6319974004</v>
      </c>
      <c r="I246" s="315">
        <v>9.234915574383747E-3</v>
      </c>
    </row>
    <row r="247" spans="1:9" x14ac:dyDescent="0.25">
      <c r="A247" s="309" t="s">
        <v>179</v>
      </c>
      <c r="B247" s="316">
        <v>158280</v>
      </c>
      <c r="C247" s="316">
        <v>41628</v>
      </c>
      <c r="D247" s="317">
        <v>0.26300227445034119</v>
      </c>
      <c r="E247" s="318">
        <v>2.3200467886927325</v>
      </c>
      <c r="F247" s="319">
        <v>4.1017193955991162</v>
      </c>
      <c r="G247" s="316">
        <v>1365971</v>
      </c>
      <c r="H247" s="316">
        <v>3169116.6319974004</v>
      </c>
      <c r="I247" s="320">
        <v>9.234915574383747E-3</v>
      </c>
    </row>
    <row r="248" spans="1:9" ht="24" x14ac:dyDescent="0.25">
      <c r="A248" s="308" t="s">
        <v>125</v>
      </c>
      <c r="B248" s="311">
        <v>149328</v>
      </c>
      <c r="C248" s="311">
        <v>46914</v>
      </c>
      <c r="D248" s="312">
        <v>0.31416747026679526</v>
      </c>
      <c r="E248" s="313">
        <v>2.2156697892271664</v>
      </c>
      <c r="F248" s="314">
        <v>3.9814740802319135</v>
      </c>
      <c r="G248" s="311">
        <v>1494295</v>
      </c>
      <c r="H248" s="311">
        <v>3310864.2876932085</v>
      </c>
      <c r="I248" s="315">
        <v>9.6479731501134744E-3</v>
      </c>
    </row>
    <row r="249" spans="1:9" x14ac:dyDescent="0.25">
      <c r="A249" s="309" t="s">
        <v>177</v>
      </c>
      <c r="B249" s="316">
        <v>149328</v>
      </c>
      <c r="C249" s="316">
        <v>46914</v>
      </c>
      <c r="D249" s="317">
        <v>0.31416747026679526</v>
      </c>
      <c r="E249" s="318">
        <v>2.2156697892271664</v>
      </c>
      <c r="F249" s="319">
        <v>3.9814740802319135</v>
      </c>
      <c r="G249" s="316">
        <v>1494295</v>
      </c>
      <c r="H249" s="316">
        <v>3310864.2876932085</v>
      </c>
      <c r="I249" s="320">
        <v>9.6479731501134744E-3</v>
      </c>
    </row>
    <row r="250" spans="1:9" x14ac:dyDescent="0.25">
      <c r="A250" s="310" t="s">
        <v>13</v>
      </c>
      <c r="B250" s="321">
        <v>15498467</v>
      </c>
      <c r="C250" s="321">
        <v>4614142</v>
      </c>
      <c r="D250" s="322">
        <v>0.29771602572047934</v>
      </c>
      <c r="E250" s="323">
        <v>2.2492307361016506</v>
      </c>
      <c r="F250" s="324">
        <v>4.1634159991174959</v>
      </c>
      <c r="G250" s="321">
        <v>153684741</v>
      </c>
      <c r="H250" s="321">
        <v>343166822.31379014</v>
      </c>
      <c r="I250" s="325">
        <v>1</v>
      </c>
    </row>
    <row r="253" spans="1:9" x14ac:dyDescent="0.25">
      <c r="A253" s="144" t="s">
        <v>501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59999389629810485"/>
  </sheetPr>
  <dimension ref="A1:G253"/>
  <sheetViews>
    <sheetView zoomScale="90" zoomScaleNormal="90" workbookViewId="0">
      <pane xSplit="1" ySplit="1" topLeftCell="B235" activePane="bottomRight" state="frozen"/>
      <selection pane="topRight" activeCell="B1" sqref="B1"/>
      <selection pane="bottomLeft" activeCell="A5" sqref="A5"/>
      <selection pane="bottomRight" activeCell="A252" sqref="A252"/>
    </sheetView>
  </sheetViews>
  <sheetFormatPr defaultColWidth="19.5703125" defaultRowHeight="15" x14ac:dyDescent="0.25"/>
  <cols>
    <col min="1" max="1" width="34.28515625" style="144" customWidth="1"/>
    <col min="2" max="7" width="17.42578125" style="144" customWidth="1"/>
    <col min="8" max="16384" width="19.5703125" style="144"/>
  </cols>
  <sheetData>
    <row r="1" spans="1:7" ht="24" x14ac:dyDescent="0.25">
      <c r="A1" s="307" t="s">
        <v>12</v>
      </c>
      <c r="B1" s="307" t="s">
        <v>405</v>
      </c>
      <c r="C1" s="307" t="s">
        <v>406</v>
      </c>
      <c r="D1" s="307" t="s">
        <v>407</v>
      </c>
      <c r="E1" s="307" t="s">
        <v>409</v>
      </c>
      <c r="F1" s="307" t="s">
        <v>410</v>
      </c>
      <c r="G1" s="307" t="s">
        <v>500</v>
      </c>
    </row>
    <row r="2" spans="1:7" x14ac:dyDescent="0.25">
      <c r="A2" s="308" t="s">
        <v>380</v>
      </c>
      <c r="B2" s="311">
        <v>425993</v>
      </c>
      <c r="C2" s="311">
        <v>64242</v>
      </c>
      <c r="D2" s="312">
        <v>0.15080529492268652</v>
      </c>
      <c r="E2" s="314">
        <v>4.3474941972887242</v>
      </c>
      <c r="F2" s="311">
        <v>2513625.5</v>
      </c>
      <c r="G2" s="315">
        <v>1.2282635651374961E-2</v>
      </c>
    </row>
    <row r="3" spans="1:7" x14ac:dyDescent="0.25">
      <c r="A3" s="309" t="s">
        <v>379</v>
      </c>
      <c r="B3" s="316">
        <v>425993</v>
      </c>
      <c r="C3" s="316">
        <v>64242</v>
      </c>
      <c r="D3" s="317">
        <v>0.15080529492268652</v>
      </c>
      <c r="E3" s="319">
        <v>4.3474941972887242</v>
      </c>
      <c r="F3" s="316">
        <v>2513625.5</v>
      </c>
      <c r="G3" s="320">
        <v>1.2282635651374961E-2</v>
      </c>
    </row>
    <row r="4" spans="1:7" x14ac:dyDescent="0.25">
      <c r="A4" s="308" t="s">
        <v>15</v>
      </c>
      <c r="B4" s="311">
        <v>24871</v>
      </c>
      <c r="C4" s="311">
        <v>9474</v>
      </c>
      <c r="D4" s="312">
        <v>0.3809255759720156</v>
      </c>
      <c r="E4" s="314">
        <v>4.1390941289611334</v>
      </c>
      <c r="F4" s="311">
        <v>352924</v>
      </c>
      <c r="G4" s="315">
        <v>1.7245356973924143E-3</v>
      </c>
    </row>
    <row r="5" spans="1:7" x14ac:dyDescent="0.25">
      <c r="A5" s="309" t="s">
        <v>321</v>
      </c>
      <c r="B5" s="316">
        <v>24871</v>
      </c>
      <c r="C5" s="316">
        <v>9474</v>
      </c>
      <c r="D5" s="317">
        <v>0.3809255759720156</v>
      </c>
      <c r="E5" s="319">
        <v>4.1390941289611334</v>
      </c>
      <c r="F5" s="316">
        <v>352924</v>
      </c>
      <c r="G5" s="320">
        <v>1.7245356973924143E-3</v>
      </c>
    </row>
    <row r="6" spans="1:7" x14ac:dyDescent="0.25">
      <c r="A6" s="308" t="s">
        <v>16</v>
      </c>
      <c r="B6" s="311">
        <v>1077</v>
      </c>
      <c r="C6" s="311">
        <v>326</v>
      </c>
      <c r="D6" s="312">
        <v>0.30269266480965645</v>
      </c>
      <c r="E6" s="314">
        <v>4.2644853442399455</v>
      </c>
      <c r="F6" s="311">
        <v>12512</v>
      </c>
      <c r="G6" s="315">
        <v>6.1138915590251412E-5</v>
      </c>
    </row>
    <row r="7" spans="1:7" x14ac:dyDescent="0.25">
      <c r="A7" s="309" t="s">
        <v>320</v>
      </c>
      <c r="B7" s="316">
        <v>1077</v>
      </c>
      <c r="C7" s="316">
        <v>326</v>
      </c>
      <c r="D7" s="317">
        <v>0.30269266480965645</v>
      </c>
      <c r="E7" s="319">
        <v>4.2644853442399455</v>
      </c>
      <c r="F7" s="316">
        <v>12512</v>
      </c>
      <c r="G7" s="320">
        <v>6.1138915590251412E-5</v>
      </c>
    </row>
    <row r="8" spans="1:7" x14ac:dyDescent="0.25">
      <c r="A8" s="308" t="s">
        <v>488</v>
      </c>
      <c r="B8" s="311">
        <v>68646</v>
      </c>
      <c r="C8" s="311">
        <v>27470</v>
      </c>
      <c r="D8" s="312">
        <v>0.40016898289776537</v>
      </c>
      <c r="E8" s="314">
        <v>4.2201067831573837</v>
      </c>
      <c r="F8" s="311">
        <v>1043337</v>
      </c>
      <c r="G8" s="315">
        <v>5.0981851642572041E-3</v>
      </c>
    </row>
    <row r="9" spans="1:7" x14ac:dyDescent="0.25">
      <c r="A9" s="309" t="s">
        <v>487</v>
      </c>
      <c r="B9" s="316">
        <v>68646</v>
      </c>
      <c r="C9" s="316">
        <v>27470</v>
      </c>
      <c r="D9" s="317">
        <v>0.40016898289776537</v>
      </c>
      <c r="E9" s="319">
        <v>4.2201067831573837</v>
      </c>
      <c r="F9" s="316">
        <v>1043337</v>
      </c>
      <c r="G9" s="320">
        <v>5.0981851642572041E-3</v>
      </c>
    </row>
    <row r="10" spans="1:7" x14ac:dyDescent="0.25">
      <c r="A10" s="308" t="s">
        <v>17</v>
      </c>
      <c r="B10" s="311">
        <v>30204</v>
      </c>
      <c r="C10" s="311">
        <v>6256</v>
      </c>
      <c r="D10" s="312">
        <v>0.20712488412130844</v>
      </c>
      <c r="E10" s="314">
        <v>4.2715792838874682</v>
      </c>
      <c r="F10" s="311">
        <v>240507</v>
      </c>
      <c r="G10" s="315">
        <v>1.1752187637359812E-3</v>
      </c>
    </row>
    <row r="11" spans="1:7" x14ac:dyDescent="0.25">
      <c r="A11" s="309" t="s">
        <v>319</v>
      </c>
      <c r="B11" s="316">
        <v>30204</v>
      </c>
      <c r="C11" s="316">
        <v>6256</v>
      </c>
      <c r="D11" s="317">
        <v>0.20712488412130844</v>
      </c>
      <c r="E11" s="319">
        <v>4.2715792838874682</v>
      </c>
      <c r="F11" s="316">
        <v>240507</v>
      </c>
      <c r="G11" s="320">
        <v>1.1752187637359812E-3</v>
      </c>
    </row>
    <row r="12" spans="1:7" x14ac:dyDescent="0.25">
      <c r="A12" s="308" t="s">
        <v>493</v>
      </c>
      <c r="B12" s="311">
        <v>18757</v>
      </c>
      <c r="C12" s="311">
        <v>3606</v>
      </c>
      <c r="D12" s="312">
        <v>0.19224822732846403</v>
      </c>
      <c r="E12" s="314">
        <v>3.8452579034941761</v>
      </c>
      <c r="F12" s="311">
        <v>124794</v>
      </c>
      <c r="G12" s="315">
        <v>6.0979618223863771E-4</v>
      </c>
    </row>
    <row r="13" spans="1:7" x14ac:dyDescent="0.25">
      <c r="A13" s="309" t="s">
        <v>317</v>
      </c>
      <c r="B13" s="316">
        <v>18757</v>
      </c>
      <c r="C13" s="316">
        <v>3606</v>
      </c>
      <c r="D13" s="317">
        <v>0.19224822732846403</v>
      </c>
      <c r="E13" s="319">
        <v>3.8452579034941761</v>
      </c>
      <c r="F13" s="316">
        <v>124794</v>
      </c>
      <c r="G13" s="320">
        <v>6.0979618223863771E-4</v>
      </c>
    </row>
    <row r="14" spans="1:7" x14ac:dyDescent="0.25">
      <c r="A14" s="308" t="s">
        <v>19</v>
      </c>
      <c r="B14" s="311">
        <v>83916</v>
      </c>
      <c r="C14" s="311">
        <v>24167</v>
      </c>
      <c r="D14" s="312">
        <v>0.28799037132370464</v>
      </c>
      <c r="E14" s="314">
        <v>4.1503841326326532</v>
      </c>
      <c r="F14" s="311">
        <v>902721</v>
      </c>
      <c r="G14" s="315">
        <v>4.4110760086754595E-3</v>
      </c>
    </row>
    <row r="15" spans="1:7" x14ac:dyDescent="0.25">
      <c r="A15" s="309" t="s">
        <v>316</v>
      </c>
      <c r="B15" s="316">
        <v>83916</v>
      </c>
      <c r="C15" s="316">
        <v>24167</v>
      </c>
      <c r="D15" s="317">
        <v>0.28799037132370464</v>
      </c>
      <c r="E15" s="319">
        <v>4.1503841326326532</v>
      </c>
      <c r="F15" s="316">
        <v>902721</v>
      </c>
      <c r="G15" s="320">
        <v>4.4110760086754595E-3</v>
      </c>
    </row>
    <row r="16" spans="1:7" x14ac:dyDescent="0.25">
      <c r="A16" s="308" t="s">
        <v>148</v>
      </c>
      <c r="B16" s="311">
        <v>207240</v>
      </c>
      <c r="C16" s="311">
        <v>58605</v>
      </c>
      <c r="D16" s="312">
        <v>0.28278807180081067</v>
      </c>
      <c r="E16" s="314">
        <v>4.1495452132449824</v>
      </c>
      <c r="F16" s="311">
        <v>2188656.875</v>
      </c>
      <c r="G16" s="315">
        <v>1.0694701721279447E-2</v>
      </c>
    </row>
    <row r="17" spans="1:7" x14ac:dyDescent="0.25">
      <c r="A17" s="309" t="s">
        <v>175</v>
      </c>
      <c r="B17" s="316">
        <v>207240</v>
      </c>
      <c r="C17" s="316">
        <v>58605</v>
      </c>
      <c r="D17" s="317">
        <v>0.28278807180081067</v>
      </c>
      <c r="E17" s="319">
        <v>4.1495452132449824</v>
      </c>
      <c r="F17" s="316">
        <v>2188656.875</v>
      </c>
      <c r="G17" s="320">
        <v>1.0694701721279447E-2</v>
      </c>
    </row>
    <row r="18" spans="1:7" x14ac:dyDescent="0.25">
      <c r="A18" s="308" t="s">
        <v>20</v>
      </c>
      <c r="B18" s="311">
        <v>276</v>
      </c>
      <c r="C18" s="311">
        <v>58</v>
      </c>
      <c r="D18" s="312">
        <v>0.21014492753623187</v>
      </c>
      <c r="E18" s="314">
        <v>3.7777777777777777</v>
      </c>
      <c r="F18" s="311">
        <v>1972</v>
      </c>
      <c r="G18" s="315">
        <v>9.636024739767886E-6</v>
      </c>
    </row>
    <row r="19" spans="1:7" x14ac:dyDescent="0.25">
      <c r="A19" s="309" t="s">
        <v>315</v>
      </c>
      <c r="B19" s="316">
        <v>276</v>
      </c>
      <c r="C19" s="316">
        <v>58</v>
      </c>
      <c r="D19" s="317">
        <v>0.21014492753623187</v>
      </c>
      <c r="E19" s="319">
        <v>3.7777777777777777</v>
      </c>
      <c r="F19" s="316">
        <v>1972</v>
      </c>
      <c r="G19" s="320">
        <v>9.636024739767886E-6</v>
      </c>
    </row>
    <row r="20" spans="1:7" ht="24" x14ac:dyDescent="0.25">
      <c r="A20" s="308" t="s">
        <v>21</v>
      </c>
      <c r="B20" s="311">
        <v>476935</v>
      </c>
      <c r="C20" s="311">
        <v>105873</v>
      </c>
      <c r="D20" s="312">
        <v>0.22198622453793493</v>
      </c>
      <c r="E20" s="314">
        <v>4.0214746284069909</v>
      </c>
      <c r="F20" s="311">
        <v>3831890.25</v>
      </c>
      <c r="G20" s="315">
        <v>1.872423389912543E-2</v>
      </c>
    </row>
    <row r="21" spans="1:7" x14ac:dyDescent="0.25">
      <c r="A21" s="309" t="s">
        <v>314</v>
      </c>
      <c r="B21" s="316">
        <v>476935</v>
      </c>
      <c r="C21" s="316">
        <v>105873</v>
      </c>
      <c r="D21" s="317">
        <v>0.22198622453793493</v>
      </c>
      <c r="E21" s="319">
        <v>4.0214746284069909</v>
      </c>
      <c r="F21" s="316">
        <v>3831890.25</v>
      </c>
      <c r="G21" s="320">
        <v>1.872423389912543E-2</v>
      </c>
    </row>
    <row r="22" spans="1:7" x14ac:dyDescent="0.25">
      <c r="A22" s="308" t="s">
        <v>22</v>
      </c>
      <c r="B22" s="311">
        <v>177369</v>
      </c>
      <c r="C22" s="311">
        <v>63617</v>
      </c>
      <c r="D22" s="312">
        <v>0.35867034261905972</v>
      </c>
      <c r="E22" s="314">
        <v>3.9073579214500662</v>
      </c>
      <c r="F22" s="311">
        <v>2237169.5</v>
      </c>
      <c r="G22" s="315">
        <v>1.0931754893029489E-2</v>
      </c>
    </row>
    <row r="23" spans="1:7" x14ac:dyDescent="0.25">
      <c r="A23" s="309" t="s">
        <v>313</v>
      </c>
      <c r="B23" s="316">
        <v>177369</v>
      </c>
      <c r="C23" s="316">
        <v>63617</v>
      </c>
      <c r="D23" s="317">
        <v>0.35867034261905972</v>
      </c>
      <c r="E23" s="319">
        <v>3.9073579214500662</v>
      </c>
      <c r="F23" s="316">
        <v>2237169.5</v>
      </c>
      <c r="G23" s="320">
        <v>1.0931754893029489E-2</v>
      </c>
    </row>
    <row r="24" spans="1:7" x14ac:dyDescent="0.25">
      <c r="A24" s="308" t="s">
        <v>23</v>
      </c>
      <c r="B24" s="311">
        <v>196902</v>
      </c>
      <c r="C24" s="311">
        <v>81960</v>
      </c>
      <c r="D24" s="312">
        <v>0.41624767650912636</v>
      </c>
      <c r="E24" s="314">
        <v>4.1032070183287237</v>
      </c>
      <c r="F24" s="311">
        <v>3026689.625</v>
      </c>
      <c r="G24" s="315">
        <v>1.4789683623782345E-2</v>
      </c>
    </row>
    <row r="25" spans="1:7" x14ac:dyDescent="0.25">
      <c r="A25" s="309" t="s">
        <v>311</v>
      </c>
      <c r="B25" s="316">
        <v>196902</v>
      </c>
      <c r="C25" s="316">
        <v>81960</v>
      </c>
      <c r="D25" s="317">
        <v>0.41624767650912636</v>
      </c>
      <c r="E25" s="319">
        <v>4.1032070183287237</v>
      </c>
      <c r="F25" s="316">
        <v>3026689.625</v>
      </c>
      <c r="G25" s="320">
        <v>1.4789683623782345E-2</v>
      </c>
    </row>
    <row r="26" spans="1:7" ht="24" x14ac:dyDescent="0.25">
      <c r="A26" s="308" t="s">
        <v>24</v>
      </c>
      <c r="B26" s="311">
        <v>532</v>
      </c>
      <c r="C26" s="311">
        <v>237</v>
      </c>
      <c r="D26" s="312">
        <v>0.44548872180451127</v>
      </c>
      <c r="E26" s="314">
        <v>4.7346460384435067</v>
      </c>
      <c r="F26" s="311">
        <v>10099</v>
      </c>
      <c r="G26" s="315">
        <v>4.9347978624196694E-5</v>
      </c>
    </row>
    <row r="27" spans="1:7" x14ac:dyDescent="0.25">
      <c r="A27" s="309" t="s">
        <v>310</v>
      </c>
      <c r="B27" s="316">
        <v>532</v>
      </c>
      <c r="C27" s="316">
        <v>237</v>
      </c>
      <c r="D27" s="317">
        <v>0.44548872180451127</v>
      </c>
      <c r="E27" s="319">
        <v>4.7346460384435067</v>
      </c>
      <c r="F27" s="316">
        <v>10099</v>
      </c>
      <c r="G27" s="320">
        <v>4.9347978624196694E-5</v>
      </c>
    </row>
    <row r="28" spans="1:7" x14ac:dyDescent="0.25">
      <c r="A28" s="308" t="s">
        <v>25</v>
      </c>
      <c r="B28" s="311">
        <v>2278</v>
      </c>
      <c r="C28" s="311">
        <v>108</v>
      </c>
      <c r="D28" s="312">
        <v>4.7410008779631259E-2</v>
      </c>
      <c r="E28" s="314">
        <v>4.5246913580246915</v>
      </c>
      <c r="F28" s="311">
        <v>4398</v>
      </c>
      <c r="G28" s="315">
        <v>2.1490485195486391E-5</v>
      </c>
    </row>
    <row r="29" spans="1:7" x14ac:dyDescent="0.25">
      <c r="A29" s="309" t="s">
        <v>309</v>
      </c>
      <c r="B29" s="316">
        <v>2278</v>
      </c>
      <c r="C29" s="316">
        <v>108</v>
      </c>
      <c r="D29" s="317">
        <v>4.7410008779631259E-2</v>
      </c>
      <c r="E29" s="319">
        <v>4.5246913580246915</v>
      </c>
      <c r="F29" s="316">
        <v>4398</v>
      </c>
      <c r="G29" s="320">
        <v>2.1490485195486391E-5</v>
      </c>
    </row>
    <row r="30" spans="1:7" ht="24" x14ac:dyDescent="0.25">
      <c r="A30" s="308" t="s">
        <v>128</v>
      </c>
      <c r="B30" s="311">
        <v>864</v>
      </c>
      <c r="C30" s="311"/>
      <c r="D30" s="312"/>
      <c r="E30" s="314"/>
      <c r="F30" s="311"/>
      <c r="G30" s="315"/>
    </row>
    <row r="31" spans="1:7" x14ac:dyDescent="0.25">
      <c r="A31" s="309" t="s">
        <v>307</v>
      </c>
      <c r="B31" s="316">
        <v>864</v>
      </c>
      <c r="C31" s="316"/>
      <c r="D31" s="317"/>
      <c r="E31" s="319"/>
      <c r="F31" s="316"/>
      <c r="G31" s="320"/>
    </row>
    <row r="32" spans="1:7" ht="24" x14ac:dyDescent="0.25">
      <c r="A32" s="308" t="s">
        <v>494</v>
      </c>
      <c r="B32" s="311">
        <v>20814</v>
      </c>
      <c r="C32" s="311">
        <v>7480</v>
      </c>
      <c r="D32" s="312">
        <v>0.35937349860670703</v>
      </c>
      <c r="E32" s="314">
        <v>4.145573380867499</v>
      </c>
      <c r="F32" s="311">
        <v>279080</v>
      </c>
      <c r="G32" s="315">
        <v>1.3637027304129927E-3</v>
      </c>
    </row>
    <row r="33" spans="1:7" x14ac:dyDescent="0.25">
      <c r="A33" s="309" t="s">
        <v>306</v>
      </c>
      <c r="B33" s="316">
        <v>20814</v>
      </c>
      <c r="C33" s="316">
        <v>7480</v>
      </c>
      <c r="D33" s="317">
        <v>0.35937349860670703</v>
      </c>
      <c r="E33" s="319">
        <v>4.145573380867499</v>
      </c>
      <c r="F33" s="316">
        <v>279080</v>
      </c>
      <c r="G33" s="320">
        <v>1.3637027304129927E-3</v>
      </c>
    </row>
    <row r="34" spans="1:7" x14ac:dyDescent="0.25">
      <c r="A34" s="308" t="s">
        <v>27</v>
      </c>
      <c r="B34" s="311">
        <v>24082</v>
      </c>
      <c r="C34" s="311">
        <v>11117</v>
      </c>
      <c r="D34" s="312">
        <v>0.46163109376297651</v>
      </c>
      <c r="E34" s="314">
        <v>4.0511528889688471</v>
      </c>
      <c r="F34" s="311">
        <v>405330</v>
      </c>
      <c r="G34" s="315">
        <v>1.9806135434939742E-3</v>
      </c>
    </row>
    <row r="35" spans="1:7" x14ac:dyDescent="0.25">
      <c r="A35" s="309" t="s">
        <v>305</v>
      </c>
      <c r="B35" s="316">
        <v>24082</v>
      </c>
      <c r="C35" s="316">
        <v>11117</v>
      </c>
      <c r="D35" s="317">
        <v>0.46163109376297651</v>
      </c>
      <c r="E35" s="319">
        <v>4.0511528889688471</v>
      </c>
      <c r="F35" s="316">
        <v>405330</v>
      </c>
      <c r="G35" s="320">
        <v>1.9806135434939742E-3</v>
      </c>
    </row>
    <row r="36" spans="1:7" x14ac:dyDescent="0.25">
      <c r="A36" s="308" t="s">
        <v>143</v>
      </c>
      <c r="B36" s="311">
        <v>8016</v>
      </c>
      <c r="C36" s="311">
        <v>489</v>
      </c>
      <c r="D36" s="312">
        <v>6.100299401197605E-2</v>
      </c>
      <c r="E36" s="314">
        <v>5</v>
      </c>
      <c r="F36" s="311">
        <v>22005</v>
      </c>
      <c r="G36" s="315">
        <v>1.0752572231165939E-4</v>
      </c>
    </row>
    <row r="37" spans="1:7" x14ac:dyDescent="0.25">
      <c r="A37" s="309" t="s">
        <v>304</v>
      </c>
      <c r="B37" s="316">
        <v>8016</v>
      </c>
      <c r="C37" s="316">
        <v>489</v>
      </c>
      <c r="D37" s="317">
        <v>6.100299401197605E-2</v>
      </c>
      <c r="E37" s="319">
        <v>5</v>
      </c>
      <c r="F37" s="316">
        <v>22005</v>
      </c>
      <c r="G37" s="320">
        <v>1.0752572231165939E-4</v>
      </c>
    </row>
    <row r="38" spans="1:7" x14ac:dyDescent="0.25">
      <c r="A38" s="308" t="s">
        <v>28</v>
      </c>
      <c r="B38" s="311">
        <v>621867</v>
      </c>
      <c r="C38" s="311">
        <v>112166</v>
      </c>
      <c r="D38" s="312">
        <v>0.18036975752049875</v>
      </c>
      <c r="E38" s="314">
        <v>4.1748889790330601</v>
      </c>
      <c r="F38" s="311">
        <v>4214525.375</v>
      </c>
      <c r="G38" s="315">
        <v>2.0593950699736067E-2</v>
      </c>
    </row>
    <row r="39" spans="1:7" x14ac:dyDescent="0.25">
      <c r="A39" s="309" t="s">
        <v>303</v>
      </c>
      <c r="B39" s="316">
        <v>621867</v>
      </c>
      <c r="C39" s="316">
        <v>112166</v>
      </c>
      <c r="D39" s="317">
        <v>0.18036975752049875</v>
      </c>
      <c r="E39" s="319">
        <v>4.1748889790330601</v>
      </c>
      <c r="F39" s="316">
        <v>4214525.375</v>
      </c>
      <c r="G39" s="320">
        <v>2.0593950699736067E-2</v>
      </c>
    </row>
    <row r="40" spans="1:7" x14ac:dyDescent="0.25">
      <c r="A40" s="308" t="s">
        <v>29</v>
      </c>
      <c r="B40" s="311">
        <v>362</v>
      </c>
      <c r="C40" s="311">
        <v>277</v>
      </c>
      <c r="D40" s="312">
        <v>0.76519337016574585</v>
      </c>
      <c r="E40" s="314">
        <v>4.4119534697152032</v>
      </c>
      <c r="F40" s="311">
        <v>10999</v>
      </c>
      <c r="G40" s="315">
        <v>5.3745758677843295E-5</v>
      </c>
    </row>
    <row r="41" spans="1:7" x14ac:dyDescent="0.25">
      <c r="A41" s="309" t="s">
        <v>300</v>
      </c>
      <c r="B41" s="316">
        <v>362</v>
      </c>
      <c r="C41" s="316">
        <v>277</v>
      </c>
      <c r="D41" s="317">
        <v>0.76519337016574585</v>
      </c>
      <c r="E41" s="319">
        <v>4.4119534697152032</v>
      </c>
      <c r="F41" s="316">
        <v>10999</v>
      </c>
      <c r="G41" s="320">
        <v>5.3745758677843295E-5</v>
      </c>
    </row>
    <row r="42" spans="1:7" x14ac:dyDescent="0.25">
      <c r="A42" s="308" t="s">
        <v>30</v>
      </c>
      <c r="B42" s="311">
        <v>167198</v>
      </c>
      <c r="C42" s="311">
        <v>40202</v>
      </c>
      <c r="D42" s="312">
        <v>0.24044545987392194</v>
      </c>
      <c r="E42" s="314">
        <v>4.068250819472774</v>
      </c>
      <c r="F42" s="311">
        <v>1471966.375</v>
      </c>
      <c r="G42" s="315">
        <v>7.1926492929038806E-3</v>
      </c>
    </row>
    <row r="43" spans="1:7" x14ac:dyDescent="0.25">
      <c r="A43" s="309" t="s">
        <v>302</v>
      </c>
      <c r="B43" s="316">
        <v>167198</v>
      </c>
      <c r="C43" s="316">
        <v>40202</v>
      </c>
      <c r="D43" s="317">
        <v>0.24044545987392194</v>
      </c>
      <c r="E43" s="319">
        <v>4.068250819472774</v>
      </c>
      <c r="F43" s="316">
        <v>1471966.375</v>
      </c>
      <c r="G43" s="320">
        <v>7.1926492929038806E-3</v>
      </c>
    </row>
    <row r="44" spans="1:7" x14ac:dyDescent="0.25">
      <c r="A44" s="308" t="s">
        <v>31</v>
      </c>
      <c r="B44" s="311">
        <v>28927</v>
      </c>
      <c r="C44" s="311">
        <v>15839</v>
      </c>
      <c r="D44" s="312">
        <v>0.54755073115082797</v>
      </c>
      <c r="E44" s="314">
        <v>3.947472308156379</v>
      </c>
      <c r="F44" s="311">
        <v>562716.125</v>
      </c>
      <c r="G44" s="315">
        <v>2.749668611544786E-3</v>
      </c>
    </row>
    <row r="45" spans="1:7" x14ac:dyDescent="0.25">
      <c r="A45" s="309" t="s">
        <v>301</v>
      </c>
      <c r="B45" s="316">
        <v>28927</v>
      </c>
      <c r="C45" s="316">
        <v>15839</v>
      </c>
      <c r="D45" s="317">
        <v>0.54755073115082797</v>
      </c>
      <c r="E45" s="319">
        <v>3.947472308156379</v>
      </c>
      <c r="F45" s="316">
        <v>562716.125</v>
      </c>
      <c r="G45" s="320">
        <v>2.749668611544786E-3</v>
      </c>
    </row>
    <row r="46" spans="1:7" x14ac:dyDescent="0.25">
      <c r="A46" s="308" t="s">
        <v>32</v>
      </c>
      <c r="B46" s="311">
        <v>183609</v>
      </c>
      <c r="C46" s="311">
        <v>33760</v>
      </c>
      <c r="D46" s="312">
        <v>0.18386898245728694</v>
      </c>
      <c r="E46" s="314">
        <v>4.0448867002369671</v>
      </c>
      <c r="F46" s="311">
        <v>1228998.375</v>
      </c>
      <c r="G46" s="315">
        <v>6.0054050439323171E-3</v>
      </c>
    </row>
    <row r="47" spans="1:7" x14ac:dyDescent="0.25">
      <c r="A47" s="309" t="s">
        <v>298</v>
      </c>
      <c r="B47" s="316">
        <v>183609</v>
      </c>
      <c r="C47" s="316">
        <v>33760</v>
      </c>
      <c r="D47" s="317">
        <v>0.18386898245728694</v>
      </c>
      <c r="E47" s="319">
        <v>4.0448867002369671</v>
      </c>
      <c r="F47" s="316">
        <v>1228998.375</v>
      </c>
      <c r="G47" s="320">
        <v>6.0054050439323171E-3</v>
      </c>
    </row>
    <row r="48" spans="1:7" x14ac:dyDescent="0.25">
      <c r="A48" s="308" t="s">
        <v>33</v>
      </c>
      <c r="B48" s="311">
        <v>59875</v>
      </c>
      <c r="C48" s="311">
        <v>21641</v>
      </c>
      <c r="D48" s="312">
        <v>0.36143632567849687</v>
      </c>
      <c r="E48" s="314">
        <v>3.7192353505948068</v>
      </c>
      <c r="F48" s="311">
        <v>724391.75</v>
      </c>
      <c r="G48" s="315">
        <v>3.5396839879735056E-3</v>
      </c>
    </row>
    <row r="49" spans="1:7" x14ac:dyDescent="0.25">
      <c r="A49" s="309" t="s">
        <v>297</v>
      </c>
      <c r="B49" s="316">
        <v>59875</v>
      </c>
      <c r="C49" s="316">
        <v>21641</v>
      </c>
      <c r="D49" s="317">
        <v>0.36143632567849687</v>
      </c>
      <c r="E49" s="319">
        <v>3.7192353505948068</v>
      </c>
      <c r="F49" s="316">
        <v>724391.75</v>
      </c>
      <c r="G49" s="320">
        <v>3.5396839879735056E-3</v>
      </c>
    </row>
    <row r="50" spans="1:7" x14ac:dyDescent="0.25">
      <c r="A50" s="308" t="s">
        <v>34</v>
      </c>
      <c r="B50" s="311">
        <v>1000</v>
      </c>
      <c r="C50" s="311">
        <v>55</v>
      </c>
      <c r="D50" s="312">
        <v>5.5E-2</v>
      </c>
      <c r="E50" s="314">
        <v>3.5737373737373739</v>
      </c>
      <c r="F50" s="311">
        <v>1769</v>
      </c>
      <c r="G50" s="315">
        <v>8.644081016556486E-6</v>
      </c>
    </row>
    <row r="51" spans="1:7" x14ac:dyDescent="0.25">
      <c r="A51" s="309" t="s">
        <v>295</v>
      </c>
      <c r="B51" s="316">
        <v>1000</v>
      </c>
      <c r="C51" s="316">
        <v>55</v>
      </c>
      <c r="D51" s="317">
        <v>5.5E-2</v>
      </c>
      <c r="E51" s="319">
        <v>3.5737373737373739</v>
      </c>
      <c r="F51" s="316">
        <v>1769</v>
      </c>
      <c r="G51" s="320">
        <v>8.644081016556486E-6</v>
      </c>
    </row>
    <row r="52" spans="1:7" x14ac:dyDescent="0.25">
      <c r="A52" s="308" t="s">
        <v>35</v>
      </c>
      <c r="B52" s="311">
        <v>122529</v>
      </c>
      <c r="C52" s="311">
        <v>71174</v>
      </c>
      <c r="D52" s="312">
        <v>0.58087473169616988</v>
      </c>
      <c r="E52" s="314">
        <v>4.2461213988878583</v>
      </c>
      <c r="F52" s="311">
        <v>2719921</v>
      </c>
      <c r="G52" s="315">
        <v>1.329068257921613E-2</v>
      </c>
    </row>
    <row r="53" spans="1:7" x14ac:dyDescent="0.25">
      <c r="A53" s="309" t="s">
        <v>294</v>
      </c>
      <c r="B53" s="316">
        <v>122529</v>
      </c>
      <c r="C53" s="316">
        <v>71174</v>
      </c>
      <c r="D53" s="317">
        <v>0.58087473169616988</v>
      </c>
      <c r="E53" s="319">
        <v>4.2461213988878583</v>
      </c>
      <c r="F53" s="316">
        <v>2719921</v>
      </c>
      <c r="G53" s="320">
        <v>1.329068257921613E-2</v>
      </c>
    </row>
    <row r="54" spans="1:7" x14ac:dyDescent="0.25">
      <c r="A54" s="308" t="s">
        <v>36</v>
      </c>
      <c r="B54" s="311">
        <v>1529</v>
      </c>
      <c r="C54" s="311">
        <v>1524</v>
      </c>
      <c r="D54" s="312">
        <v>0.99672988881621971</v>
      </c>
      <c r="E54" s="314">
        <v>4.0586176727909011</v>
      </c>
      <c r="F54" s="311">
        <v>55668</v>
      </c>
      <c r="G54" s="315">
        <v>2.7201735558488776E-4</v>
      </c>
    </row>
    <row r="55" spans="1:7" x14ac:dyDescent="0.25">
      <c r="A55" s="309" t="s">
        <v>293</v>
      </c>
      <c r="B55" s="316">
        <v>1529</v>
      </c>
      <c r="C55" s="316">
        <v>1524</v>
      </c>
      <c r="D55" s="317">
        <v>0.99672988881621971</v>
      </c>
      <c r="E55" s="319">
        <v>4.0586176727909011</v>
      </c>
      <c r="F55" s="316">
        <v>55668</v>
      </c>
      <c r="G55" s="320">
        <v>2.7201735558488776E-4</v>
      </c>
    </row>
    <row r="56" spans="1:7" x14ac:dyDescent="0.25">
      <c r="A56" s="308" t="s">
        <v>37</v>
      </c>
      <c r="B56" s="311">
        <v>691</v>
      </c>
      <c r="C56" s="311">
        <v>691</v>
      </c>
      <c r="D56" s="312">
        <v>1</v>
      </c>
      <c r="E56" s="314">
        <v>4.4425148737739191</v>
      </c>
      <c r="F56" s="311">
        <v>27628</v>
      </c>
      <c r="G56" s="315">
        <v>1.35002074802387E-4</v>
      </c>
    </row>
    <row r="57" spans="1:7" x14ac:dyDescent="0.25">
      <c r="A57" s="309" t="s">
        <v>290</v>
      </c>
      <c r="B57" s="316">
        <v>691</v>
      </c>
      <c r="C57" s="316">
        <v>691</v>
      </c>
      <c r="D57" s="317">
        <v>1</v>
      </c>
      <c r="E57" s="319">
        <v>4.4425148737739191</v>
      </c>
      <c r="F57" s="316">
        <v>27628</v>
      </c>
      <c r="G57" s="320">
        <v>1.35002074802387E-4</v>
      </c>
    </row>
    <row r="58" spans="1:7" x14ac:dyDescent="0.25">
      <c r="A58" s="308" t="s">
        <v>38</v>
      </c>
      <c r="B58" s="311">
        <v>270994</v>
      </c>
      <c r="C58" s="311">
        <v>126584</v>
      </c>
      <c r="D58" s="312">
        <v>0.46710997291452949</v>
      </c>
      <c r="E58" s="314">
        <v>4.031192945220389</v>
      </c>
      <c r="F58" s="311">
        <v>4592560.75</v>
      </c>
      <c r="G58" s="315">
        <v>2.2441191179455859E-2</v>
      </c>
    </row>
    <row r="59" spans="1:7" x14ac:dyDescent="0.25">
      <c r="A59" s="309" t="s">
        <v>289</v>
      </c>
      <c r="B59" s="316">
        <v>270994</v>
      </c>
      <c r="C59" s="316">
        <v>126584</v>
      </c>
      <c r="D59" s="317">
        <v>0.46710997291452949</v>
      </c>
      <c r="E59" s="319">
        <v>4.031192945220389</v>
      </c>
      <c r="F59" s="316">
        <v>4592560.75</v>
      </c>
      <c r="G59" s="320">
        <v>2.2441191179455859E-2</v>
      </c>
    </row>
    <row r="60" spans="1:7" x14ac:dyDescent="0.25">
      <c r="A60" s="308" t="s">
        <v>39</v>
      </c>
      <c r="B60" s="311">
        <v>13331</v>
      </c>
      <c r="C60" s="311">
        <v>941</v>
      </c>
      <c r="D60" s="312">
        <v>7.0587352786737681E-2</v>
      </c>
      <c r="E60" s="314">
        <v>4.8127287755343016</v>
      </c>
      <c r="F60" s="311">
        <v>40759</v>
      </c>
      <c r="G60" s="315">
        <v>1.9916568578509089E-4</v>
      </c>
    </row>
    <row r="61" spans="1:7" x14ac:dyDescent="0.25">
      <c r="A61" s="309" t="s">
        <v>288</v>
      </c>
      <c r="B61" s="316">
        <v>13331</v>
      </c>
      <c r="C61" s="316">
        <v>941</v>
      </c>
      <c r="D61" s="317">
        <v>7.0587352786737681E-2</v>
      </c>
      <c r="E61" s="319">
        <v>4.8127287755343016</v>
      </c>
      <c r="F61" s="316">
        <v>40759</v>
      </c>
      <c r="G61" s="320">
        <v>1.9916568578509089E-4</v>
      </c>
    </row>
    <row r="62" spans="1:7" x14ac:dyDescent="0.25">
      <c r="A62" s="308" t="s">
        <v>440</v>
      </c>
      <c r="B62" s="311">
        <v>470324</v>
      </c>
      <c r="C62" s="311">
        <v>160054</v>
      </c>
      <c r="D62" s="312">
        <v>0.34030583172451334</v>
      </c>
      <c r="E62" s="314">
        <v>4.1305869164990154</v>
      </c>
      <c r="F62" s="311">
        <v>5950052.625</v>
      </c>
      <c r="G62" s="315">
        <v>2.9074469724858443E-2</v>
      </c>
    </row>
    <row r="63" spans="1:7" x14ac:dyDescent="0.25">
      <c r="A63" s="309" t="s">
        <v>287</v>
      </c>
      <c r="B63" s="316">
        <v>470324</v>
      </c>
      <c r="C63" s="316">
        <v>160054</v>
      </c>
      <c r="D63" s="317">
        <v>0.34030583172451334</v>
      </c>
      <c r="E63" s="319">
        <v>4.1305869164990154</v>
      </c>
      <c r="F63" s="316">
        <v>5950052.625</v>
      </c>
      <c r="G63" s="320">
        <v>2.9074469724858443E-2</v>
      </c>
    </row>
    <row r="64" spans="1:7" x14ac:dyDescent="0.25">
      <c r="A64" s="308" t="s">
        <v>40</v>
      </c>
      <c r="B64" s="311">
        <v>29352</v>
      </c>
      <c r="C64" s="311">
        <v>10342</v>
      </c>
      <c r="D64" s="312">
        <v>0.35234396293267922</v>
      </c>
      <c r="E64" s="314">
        <v>4.2822471475536652</v>
      </c>
      <c r="F64" s="311">
        <v>398583</v>
      </c>
      <c r="G64" s="315">
        <v>1.9476448523584702E-3</v>
      </c>
    </row>
    <row r="65" spans="1:7" x14ac:dyDescent="0.25">
      <c r="A65" s="309" t="s">
        <v>292</v>
      </c>
      <c r="B65" s="316">
        <v>29352</v>
      </c>
      <c r="C65" s="316">
        <v>10342</v>
      </c>
      <c r="D65" s="317">
        <v>0.35234396293267922</v>
      </c>
      <c r="E65" s="319">
        <v>4.2822471475536652</v>
      </c>
      <c r="F65" s="316">
        <v>398583</v>
      </c>
      <c r="G65" s="320">
        <v>1.9476448523584702E-3</v>
      </c>
    </row>
    <row r="66" spans="1:7" x14ac:dyDescent="0.25">
      <c r="A66" s="308" t="s">
        <v>41</v>
      </c>
      <c r="B66" s="311">
        <v>12805</v>
      </c>
      <c r="C66" s="311">
        <v>7491</v>
      </c>
      <c r="D66" s="312">
        <v>0.58500585708707531</v>
      </c>
      <c r="E66" s="314">
        <v>4.3500144617986027</v>
      </c>
      <c r="F66" s="311">
        <v>293273.625</v>
      </c>
      <c r="G66" s="315">
        <v>1.4330587758729257E-3</v>
      </c>
    </row>
    <row r="67" spans="1:7" x14ac:dyDescent="0.25">
      <c r="A67" s="309" t="s">
        <v>291</v>
      </c>
      <c r="B67" s="316">
        <v>12805</v>
      </c>
      <c r="C67" s="316">
        <v>7491</v>
      </c>
      <c r="D67" s="317">
        <v>0.58500585708707531</v>
      </c>
      <c r="E67" s="319">
        <v>4.3500144617986027</v>
      </c>
      <c r="F67" s="316">
        <v>293273.625</v>
      </c>
      <c r="G67" s="320">
        <v>1.4330587758729257E-3</v>
      </c>
    </row>
    <row r="68" spans="1:7" x14ac:dyDescent="0.25">
      <c r="A68" s="308" t="s">
        <v>42</v>
      </c>
      <c r="B68" s="311">
        <v>39290</v>
      </c>
      <c r="C68" s="311">
        <v>7454</v>
      </c>
      <c r="D68" s="312">
        <v>0.18971748536523289</v>
      </c>
      <c r="E68" s="314">
        <v>4.2460125808663509</v>
      </c>
      <c r="F68" s="311">
        <v>284848</v>
      </c>
      <c r="G68" s="315">
        <v>1.3918876141345855E-3</v>
      </c>
    </row>
    <row r="69" spans="1:7" x14ac:dyDescent="0.25">
      <c r="A69" s="309" t="s">
        <v>286</v>
      </c>
      <c r="B69" s="316">
        <v>39290</v>
      </c>
      <c r="C69" s="316">
        <v>7454</v>
      </c>
      <c r="D69" s="317">
        <v>0.18971748536523289</v>
      </c>
      <c r="E69" s="319">
        <v>4.2460125808663509</v>
      </c>
      <c r="F69" s="316">
        <v>284848</v>
      </c>
      <c r="G69" s="320">
        <v>1.3918876141345855E-3</v>
      </c>
    </row>
    <row r="70" spans="1:7" x14ac:dyDescent="0.25">
      <c r="A70" s="308" t="s">
        <v>43</v>
      </c>
      <c r="B70" s="311">
        <v>402698</v>
      </c>
      <c r="C70" s="311">
        <v>130909</v>
      </c>
      <c r="D70" s="312">
        <v>0.32507983650278871</v>
      </c>
      <c r="E70" s="314">
        <v>4.2532448325002692</v>
      </c>
      <c r="F70" s="311">
        <v>5011092.25</v>
      </c>
      <c r="G70" s="315">
        <v>2.4486312826703407E-2</v>
      </c>
    </row>
    <row r="71" spans="1:7" x14ac:dyDescent="0.25">
      <c r="A71" s="309" t="s">
        <v>285</v>
      </c>
      <c r="B71" s="316">
        <v>402698</v>
      </c>
      <c r="C71" s="316">
        <v>130909</v>
      </c>
      <c r="D71" s="317">
        <v>0.32507983650278871</v>
      </c>
      <c r="E71" s="319">
        <v>4.2532448325002692</v>
      </c>
      <c r="F71" s="316">
        <v>5011092.25</v>
      </c>
      <c r="G71" s="320">
        <v>2.4486312826703407E-2</v>
      </c>
    </row>
    <row r="72" spans="1:7" ht="24" x14ac:dyDescent="0.25">
      <c r="A72" s="308" t="s">
        <v>149</v>
      </c>
      <c r="B72" s="311">
        <v>15660</v>
      </c>
      <c r="C72" s="311">
        <v>6369</v>
      </c>
      <c r="D72" s="312">
        <v>0.4067049808429119</v>
      </c>
      <c r="E72" s="314">
        <v>4.3651366863802092</v>
      </c>
      <c r="F72" s="311">
        <v>250214</v>
      </c>
      <c r="G72" s="315">
        <v>1.2226512648257006E-3</v>
      </c>
    </row>
    <row r="73" spans="1:7" x14ac:dyDescent="0.25">
      <c r="A73" s="309" t="s">
        <v>284</v>
      </c>
      <c r="B73" s="316">
        <v>15660</v>
      </c>
      <c r="C73" s="316">
        <v>6369</v>
      </c>
      <c r="D73" s="317">
        <v>0.4067049808429119</v>
      </c>
      <c r="E73" s="319">
        <v>4.3651366863802092</v>
      </c>
      <c r="F73" s="316">
        <v>250214</v>
      </c>
      <c r="G73" s="320">
        <v>1.2226512648257006E-3</v>
      </c>
    </row>
    <row r="74" spans="1:7" ht="24" x14ac:dyDescent="0.25">
      <c r="A74" s="308" t="s">
        <v>539</v>
      </c>
      <c r="B74" s="311">
        <v>12016</v>
      </c>
      <c r="C74" s="311">
        <v>3694</v>
      </c>
      <c r="D74" s="312">
        <v>0.30742343541944073</v>
      </c>
      <c r="E74" s="314">
        <v>3.9798171208566444</v>
      </c>
      <c r="F74" s="311">
        <v>132313</v>
      </c>
      <c r="G74" s="315">
        <v>6.4653719137571408E-4</v>
      </c>
    </row>
    <row r="75" spans="1:7" x14ac:dyDescent="0.25">
      <c r="A75" s="309" t="s">
        <v>283</v>
      </c>
      <c r="B75" s="316">
        <v>12016</v>
      </c>
      <c r="C75" s="316">
        <v>3694</v>
      </c>
      <c r="D75" s="317">
        <v>0.30742343541944073</v>
      </c>
      <c r="E75" s="319">
        <v>3.9798171208566444</v>
      </c>
      <c r="F75" s="316">
        <v>132313</v>
      </c>
      <c r="G75" s="320">
        <v>6.4653719137571408E-4</v>
      </c>
    </row>
    <row r="76" spans="1:7" x14ac:dyDescent="0.25">
      <c r="A76" s="308" t="s">
        <v>46</v>
      </c>
      <c r="B76" s="311">
        <v>1949</v>
      </c>
      <c r="C76" s="311">
        <v>1949</v>
      </c>
      <c r="D76" s="312">
        <v>1</v>
      </c>
      <c r="E76" s="314">
        <v>4.2493016361666953</v>
      </c>
      <c r="F76" s="311">
        <v>74537</v>
      </c>
      <c r="G76" s="315">
        <v>3.6421925762072964E-4</v>
      </c>
    </row>
    <row r="77" spans="1:7" x14ac:dyDescent="0.25">
      <c r="A77" s="309" t="s">
        <v>282</v>
      </c>
      <c r="B77" s="316">
        <v>1949</v>
      </c>
      <c r="C77" s="316">
        <v>1949</v>
      </c>
      <c r="D77" s="317">
        <v>1</v>
      </c>
      <c r="E77" s="319">
        <v>4.2493016361666953</v>
      </c>
      <c r="F77" s="316">
        <v>74537</v>
      </c>
      <c r="G77" s="320">
        <v>3.6421925762072964E-4</v>
      </c>
    </row>
    <row r="78" spans="1:7" ht="24" x14ac:dyDescent="0.25">
      <c r="A78" s="308" t="s">
        <v>495</v>
      </c>
      <c r="B78" s="311">
        <v>1625</v>
      </c>
      <c r="C78" s="311">
        <v>462</v>
      </c>
      <c r="D78" s="312">
        <v>0.28430769230769232</v>
      </c>
      <c r="E78" s="314">
        <v>3.6998556998556995</v>
      </c>
      <c r="F78" s="311">
        <v>15384</v>
      </c>
      <c r="G78" s="315">
        <v>7.5172720383665905E-5</v>
      </c>
    </row>
    <row r="79" spans="1:7" x14ac:dyDescent="0.25">
      <c r="A79" s="309" t="s">
        <v>281</v>
      </c>
      <c r="B79" s="316">
        <v>1625</v>
      </c>
      <c r="C79" s="316">
        <v>462</v>
      </c>
      <c r="D79" s="317">
        <v>0.28430769230769232</v>
      </c>
      <c r="E79" s="319">
        <v>3.6998556998556995</v>
      </c>
      <c r="F79" s="316">
        <v>15384</v>
      </c>
      <c r="G79" s="320">
        <v>7.5172720383665905E-5</v>
      </c>
    </row>
    <row r="80" spans="1:7" x14ac:dyDescent="0.25">
      <c r="A80" s="308" t="s">
        <v>48</v>
      </c>
      <c r="B80" s="311">
        <v>2682</v>
      </c>
      <c r="C80" s="311">
        <v>2317</v>
      </c>
      <c r="D80" s="312">
        <v>0.86390753169276657</v>
      </c>
      <c r="E80" s="314">
        <v>4.6242267299669111</v>
      </c>
      <c r="F80" s="311">
        <v>96429</v>
      </c>
      <c r="G80" s="315">
        <v>4.711928142145423E-4</v>
      </c>
    </row>
    <row r="81" spans="1:7" x14ac:dyDescent="0.25">
      <c r="A81" s="309" t="s">
        <v>279</v>
      </c>
      <c r="B81" s="316">
        <v>2682</v>
      </c>
      <c r="C81" s="316">
        <v>2317</v>
      </c>
      <c r="D81" s="317">
        <v>0.86390753169276657</v>
      </c>
      <c r="E81" s="319">
        <v>4.6242267299669111</v>
      </c>
      <c r="F81" s="316">
        <v>96429</v>
      </c>
      <c r="G81" s="320">
        <v>4.711928142145423E-4</v>
      </c>
    </row>
    <row r="82" spans="1:7" ht="24" x14ac:dyDescent="0.25">
      <c r="A82" s="308" t="s">
        <v>49</v>
      </c>
      <c r="B82" s="311">
        <v>176009</v>
      </c>
      <c r="C82" s="311">
        <v>69969</v>
      </c>
      <c r="D82" s="312">
        <v>0.39753080808367752</v>
      </c>
      <c r="E82" s="314">
        <v>4.5661666039404754</v>
      </c>
      <c r="F82" s="311">
        <v>2875411</v>
      </c>
      <c r="G82" s="315">
        <v>1.4050472379817807E-2</v>
      </c>
    </row>
    <row r="83" spans="1:7" x14ac:dyDescent="0.25">
      <c r="A83" s="309" t="s">
        <v>278</v>
      </c>
      <c r="B83" s="316">
        <v>176009</v>
      </c>
      <c r="C83" s="316">
        <v>69969</v>
      </c>
      <c r="D83" s="317">
        <v>0.39753080808367752</v>
      </c>
      <c r="E83" s="319">
        <v>4.5661666039404754</v>
      </c>
      <c r="F83" s="316">
        <v>2875411</v>
      </c>
      <c r="G83" s="320">
        <v>1.4050472379817807E-2</v>
      </c>
    </row>
    <row r="84" spans="1:7" x14ac:dyDescent="0.25">
      <c r="A84" s="308" t="s">
        <v>51</v>
      </c>
      <c r="B84" s="311">
        <v>223505</v>
      </c>
      <c r="C84" s="311">
        <v>161867</v>
      </c>
      <c r="D84" s="312">
        <v>0.72422093465470572</v>
      </c>
      <c r="E84" s="314">
        <v>4.2596607091006815</v>
      </c>
      <c r="F84" s="311">
        <v>6205486.5</v>
      </c>
      <c r="G84" s="315">
        <v>3.032262750319251E-2</v>
      </c>
    </row>
    <row r="85" spans="1:7" x14ac:dyDescent="0.25">
      <c r="A85" s="309" t="s">
        <v>267</v>
      </c>
      <c r="B85" s="316">
        <v>223505</v>
      </c>
      <c r="C85" s="316">
        <v>161867</v>
      </c>
      <c r="D85" s="317">
        <v>0.72422093465470572</v>
      </c>
      <c r="E85" s="319">
        <v>4.2596607091006815</v>
      </c>
      <c r="F85" s="316">
        <v>6205486.5</v>
      </c>
      <c r="G85" s="320">
        <v>3.032262750319251E-2</v>
      </c>
    </row>
    <row r="86" spans="1:7" x14ac:dyDescent="0.25">
      <c r="A86" s="308" t="s">
        <v>52</v>
      </c>
      <c r="B86" s="311">
        <v>480306</v>
      </c>
      <c r="C86" s="311">
        <v>134720</v>
      </c>
      <c r="D86" s="312">
        <v>0.28048785565868428</v>
      </c>
      <c r="E86" s="314">
        <v>4.1855431635985747</v>
      </c>
      <c r="F86" s="311">
        <v>5074887.375</v>
      </c>
      <c r="G86" s="315">
        <v>2.4798042746975509E-2</v>
      </c>
    </row>
    <row r="87" spans="1:7" x14ac:dyDescent="0.25">
      <c r="A87" s="309" t="s">
        <v>261</v>
      </c>
      <c r="B87" s="316">
        <v>480306</v>
      </c>
      <c r="C87" s="316">
        <v>134720</v>
      </c>
      <c r="D87" s="317">
        <v>0.28048785565868428</v>
      </c>
      <c r="E87" s="319">
        <v>4.1855431635985747</v>
      </c>
      <c r="F87" s="316">
        <v>5074887.375</v>
      </c>
      <c r="G87" s="320">
        <v>2.4798042746975509E-2</v>
      </c>
    </row>
    <row r="88" spans="1:7" x14ac:dyDescent="0.25">
      <c r="A88" s="308" t="s">
        <v>53</v>
      </c>
      <c r="B88" s="311">
        <v>4962</v>
      </c>
      <c r="C88" s="311">
        <v>1324</v>
      </c>
      <c r="D88" s="312">
        <v>0.26682789197904072</v>
      </c>
      <c r="E88" s="314">
        <v>4.0698220879489755</v>
      </c>
      <c r="F88" s="311">
        <v>48496</v>
      </c>
      <c r="G88" s="315">
        <v>2.3697193497960618E-4</v>
      </c>
    </row>
    <row r="89" spans="1:7" x14ac:dyDescent="0.25">
      <c r="A89" s="309" t="s">
        <v>277</v>
      </c>
      <c r="B89" s="316">
        <v>4962</v>
      </c>
      <c r="C89" s="316">
        <v>1324</v>
      </c>
      <c r="D89" s="317">
        <v>0.26682789197904072</v>
      </c>
      <c r="E89" s="319">
        <v>4.0698220879489755</v>
      </c>
      <c r="F89" s="316">
        <v>48496</v>
      </c>
      <c r="G89" s="320">
        <v>2.3697193497960618E-4</v>
      </c>
    </row>
    <row r="90" spans="1:7" x14ac:dyDescent="0.25">
      <c r="A90" s="308" t="s">
        <v>54</v>
      </c>
      <c r="B90" s="311">
        <v>43878</v>
      </c>
      <c r="C90" s="311">
        <v>10690</v>
      </c>
      <c r="D90" s="312">
        <v>0.24363006518072838</v>
      </c>
      <c r="E90" s="314">
        <v>4.1107057478432596</v>
      </c>
      <c r="F90" s="311">
        <v>395491</v>
      </c>
      <c r="G90" s="315">
        <v>1.9325360346630531E-3</v>
      </c>
    </row>
    <row r="91" spans="1:7" x14ac:dyDescent="0.25">
      <c r="A91" s="309" t="s">
        <v>276</v>
      </c>
      <c r="B91" s="316">
        <v>43878</v>
      </c>
      <c r="C91" s="316">
        <v>10690</v>
      </c>
      <c r="D91" s="317">
        <v>0.24363006518072838</v>
      </c>
      <c r="E91" s="319">
        <v>4.1107057478432596</v>
      </c>
      <c r="F91" s="316">
        <v>395491</v>
      </c>
      <c r="G91" s="320">
        <v>1.9325360346630531E-3</v>
      </c>
    </row>
    <row r="92" spans="1:7" x14ac:dyDescent="0.25">
      <c r="A92" s="308" t="s">
        <v>55</v>
      </c>
      <c r="B92" s="311">
        <v>230017</v>
      </c>
      <c r="C92" s="311">
        <v>67654</v>
      </c>
      <c r="D92" s="312">
        <v>0.29412608633274934</v>
      </c>
      <c r="E92" s="314">
        <v>4.082099317442017</v>
      </c>
      <c r="F92" s="311">
        <v>2485533.125</v>
      </c>
      <c r="G92" s="315">
        <v>1.2145364444225449E-2</v>
      </c>
    </row>
    <row r="93" spans="1:7" x14ac:dyDescent="0.25">
      <c r="A93" s="309" t="s">
        <v>275</v>
      </c>
      <c r="B93" s="316">
        <v>230017</v>
      </c>
      <c r="C93" s="316">
        <v>67654</v>
      </c>
      <c r="D93" s="317">
        <v>0.29412608633274934</v>
      </c>
      <c r="E93" s="319">
        <v>4.082099317442017</v>
      </c>
      <c r="F93" s="316">
        <v>2485533.125</v>
      </c>
      <c r="G93" s="320">
        <v>1.2145364444225449E-2</v>
      </c>
    </row>
    <row r="94" spans="1:7" ht="24" x14ac:dyDescent="0.25">
      <c r="A94" s="308" t="s">
        <v>56</v>
      </c>
      <c r="B94" s="311">
        <v>1767</v>
      </c>
      <c r="C94" s="311">
        <v>1521</v>
      </c>
      <c r="D94" s="312">
        <v>0.8607809847198642</v>
      </c>
      <c r="E94" s="314">
        <v>4.4911242603550292</v>
      </c>
      <c r="F94" s="311">
        <v>61479</v>
      </c>
      <c r="G94" s="315">
        <v>3.0041235546459933E-4</v>
      </c>
    </row>
    <row r="95" spans="1:7" x14ac:dyDescent="0.25">
      <c r="A95" s="309" t="s">
        <v>274</v>
      </c>
      <c r="B95" s="316">
        <v>1767</v>
      </c>
      <c r="C95" s="316">
        <v>1521</v>
      </c>
      <c r="D95" s="317">
        <v>0.8607809847198642</v>
      </c>
      <c r="E95" s="319">
        <v>4.4911242603550292</v>
      </c>
      <c r="F95" s="316">
        <v>61479</v>
      </c>
      <c r="G95" s="320">
        <v>3.0041235546459933E-4</v>
      </c>
    </row>
    <row r="96" spans="1:7" x14ac:dyDescent="0.25">
      <c r="A96" s="308" t="s">
        <v>491</v>
      </c>
      <c r="B96" s="311">
        <v>22538</v>
      </c>
      <c r="C96" s="311">
        <v>1299</v>
      </c>
      <c r="D96" s="312">
        <v>5.7635992545922443E-2</v>
      </c>
      <c r="E96" s="314">
        <v>4.0366948935078266</v>
      </c>
      <c r="F96" s="311">
        <v>47193</v>
      </c>
      <c r="G96" s="315">
        <v>2.3060492674638227E-4</v>
      </c>
    </row>
    <row r="97" spans="1:7" x14ac:dyDescent="0.25">
      <c r="A97" s="309" t="s">
        <v>489</v>
      </c>
      <c r="B97" s="316">
        <v>22538</v>
      </c>
      <c r="C97" s="316">
        <v>1299</v>
      </c>
      <c r="D97" s="317">
        <v>5.7635992545922443E-2</v>
      </c>
      <c r="E97" s="319">
        <v>4.0366948935078266</v>
      </c>
      <c r="F97" s="316">
        <v>47193</v>
      </c>
      <c r="G97" s="320">
        <v>2.3060492674638227E-4</v>
      </c>
    </row>
    <row r="98" spans="1:7" x14ac:dyDescent="0.25">
      <c r="A98" s="308" t="s">
        <v>129</v>
      </c>
      <c r="B98" s="311">
        <v>3300</v>
      </c>
      <c r="C98" s="311">
        <v>3300</v>
      </c>
      <c r="D98" s="312">
        <v>1</v>
      </c>
      <c r="E98" s="314">
        <v>5</v>
      </c>
      <c r="F98" s="311">
        <v>148500</v>
      </c>
      <c r="G98" s="315">
        <v>7.256337088516892E-4</v>
      </c>
    </row>
    <row r="99" spans="1:7" x14ac:dyDescent="0.25">
      <c r="A99" s="309" t="s">
        <v>273</v>
      </c>
      <c r="B99" s="316">
        <v>3300</v>
      </c>
      <c r="C99" s="316">
        <v>3300</v>
      </c>
      <c r="D99" s="317">
        <v>1</v>
      </c>
      <c r="E99" s="319">
        <v>5</v>
      </c>
      <c r="F99" s="316">
        <v>148500</v>
      </c>
      <c r="G99" s="320">
        <v>7.256337088516892E-4</v>
      </c>
    </row>
    <row r="100" spans="1:7" x14ac:dyDescent="0.25">
      <c r="A100" s="308" t="s">
        <v>57</v>
      </c>
      <c r="B100" s="311">
        <v>14621</v>
      </c>
      <c r="C100" s="311">
        <v>4570</v>
      </c>
      <c r="D100" s="312">
        <v>0.31256412010122425</v>
      </c>
      <c r="E100" s="314">
        <v>4.4320933625091179</v>
      </c>
      <c r="F100" s="311">
        <v>182292</v>
      </c>
      <c r="G100" s="315">
        <v>8.9075569059927353E-4</v>
      </c>
    </row>
    <row r="101" spans="1:7" x14ac:dyDescent="0.25">
      <c r="A101" s="309" t="s">
        <v>272</v>
      </c>
      <c r="B101" s="316">
        <v>14621</v>
      </c>
      <c r="C101" s="316">
        <v>4570</v>
      </c>
      <c r="D101" s="317">
        <v>0.31256412010122425</v>
      </c>
      <c r="E101" s="319">
        <v>4.4320933625091179</v>
      </c>
      <c r="F101" s="316">
        <v>182292</v>
      </c>
      <c r="G101" s="320">
        <v>8.9075569059927353E-4</v>
      </c>
    </row>
    <row r="102" spans="1:7" ht="24" x14ac:dyDescent="0.25">
      <c r="A102" s="308" t="s">
        <v>58</v>
      </c>
      <c r="B102" s="311">
        <v>262400</v>
      </c>
      <c r="C102" s="311">
        <v>99889</v>
      </c>
      <c r="D102" s="312">
        <v>0.38067454268292683</v>
      </c>
      <c r="E102" s="314">
        <v>4.0032459641312972</v>
      </c>
      <c r="F102" s="311">
        <v>3598922.125</v>
      </c>
      <c r="G102" s="315">
        <v>1.7585853262169378E-2</v>
      </c>
    </row>
    <row r="103" spans="1:7" x14ac:dyDescent="0.25">
      <c r="A103" s="309" t="s">
        <v>271</v>
      </c>
      <c r="B103" s="316">
        <v>262400</v>
      </c>
      <c r="C103" s="316">
        <v>99889</v>
      </c>
      <c r="D103" s="317">
        <v>0.38067454268292683</v>
      </c>
      <c r="E103" s="319">
        <v>4.0032459641312972</v>
      </c>
      <c r="F103" s="316">
        <v>3598922.125</v>
      </c>
      <c r="G103" s="320">
        <v>1.7585853262169378E-2</v>
      </c>
    </row>
    <row r="104" spans="1:7" x14ac:dyDescent="0.25">
      <c r="A104" s="308" t="s">
        <v>59</v>
      </c>
      <c r="B104" s="311">
        <v>717190</v>
      </c>
      <c r="C104" s="311">
        <v>407015</v>
      </c>
      <c r="D104" s="312">
        <v>0.56751349014905395</v>
      </c>
      <c r="E104" s="314">
        <v>4.1634067540508335</v>
      </c>
      <c r="F104" s="311">
        <v>15251121</v>
      </c>
      <c r="G104" s="315">
        <v>7.4523417477278669E-2</v>
      </c>
    </row>
    <row r="105" spans="1:7" x14ac:dyDescent="0.25">
      <c r="A105" s="309" t="s">
        <v>270</v>
      </c>
      <c r="B105" s="316">
        <v>717190</v>
      </c>
      <c r="C105" s="316">
        <v>407015</v>
      </c>
      <c r="D105" s="317">
        <v>0.56751349014905395</v>
      </c>
      <c r="E105" s="319">
        <v>4.1634067540508335</v>
      </c>
      <c r="F105" s="316">
        <v>15251121</v>
      </c>
      <c r="G105" s="320">
        <v>7.4523417477278669E-2</v>
      </c>
    </row>
    <row r="106" spans="1:7" x14ac:dyDescent="0.25">
      <c r="A106" s="308" t="s">
        <v>469</v>
      </c>
      <c r="B106" s="311">
        <v>53343</v>
      </c>
      <c r="C106" s="311">
        <v>18100</v>
      </c>
      <c r="D106" s="312">
        <v>0.33931349942822864</v>
      </c>
      <c r="E106" s="314">
        <v>4.2602701043585016</v>
      </c>
      <c r="F106" s="311">
        <v>693998</v>
      </c>
      <c r="G106" s="315">
        <v>3.3911672907451485E-3</v>
      </c>
    </row>
    <row r="107" spans="1:7" x14ac:dyDescent="0.25">
      <c r="A107" s="309" t="s">
        <v>230</v>
      </c>
      <c r="B107" s="316">
        <v>53343</v>
      </c>
      <c r="C107" s="316">
        <v>18100</v>
      </c>
      <c r="D107" s="317">
        <v>0.33931349942822864</v>
      </c>
      <c r="E107" s="319">
        <v>4.2602701043585016</v>
      </c>
      <c r="F107" s="316">
        <v>693998</v>
      </c>
      <c r="G107" s="320">
        <v>3.3911672907451485E-3</v>
      </c>
    </row>
    <row r="108" spans="1:7" x14ac:dyDescent="0.25">
      <c r="A108" s="308" t="s">
        <v>438</v>
      </c>
      <c r="B108" s="311">
        <v>579923</v>
      </c>
      <c r="C108" s="311">
        <v>289942</v>
      </c>
      <c r="D108" s="312">
        <v>0.49996637484631579</v>
      </c>
      <c r="E108" s="314">
        <v>4.0948134550281701</v>
      </c>
      <c r="F108" s="311">
        <v>10685325.625</v>
      </c>
      <c r="G108" s="315">
        <v>5.2213013222604333E-2</v>
      </c>
    </row>
    <row r="109" spans="1:7" x14ac:dyDescent="0.25">
      <c r="A109" s="309" t="s">
        <v>244</v>
      </c>
      <c r="B109" s="316">
        <v>579923</v>
      </c>
      <c r="C109" s="316">
        <v>289942</v>
      </c>
      <c r="D109" s="317">
        <v>0.49996637484631579</v>
      </c>
      <c r="E109" s="319">
        <v>4.0948134550281701</v>
      </c>
      <c r="F109" s="316">
        <v>10685325.625</v>
      </c>
      <c r="G109" s="320">
        <v>5.2213013222604333E-2</v>
      </c>
    </row>
    <row r="110" spans="1:7" x14ac:dyDescent="0.25">
      <c r="A110" s="308" t="s">
        <v>60</v>
      </c>
      <c r="B110" s="311">
        <v>220795</v>
      </c>
      <c r="C110" s="311">
        <v>72584</v>
      </c>
      <c r="D110" s="312">
        <v>0.32873932833623948</v>
      </c>
      <c r="E110" s="314">
        <v>4.2128139657347194</v>
      </c>
      <c r="F110" s="311">
        <v>2752046</v>
      </c>
      <c r="G110" s="315">
        <v>1.3447658895019903E-2</v>
      </c>
    </row>
    <row r="111" spans="1:7" x14ac:dyDescent="0.25">
      <c r="A111" s="309" t="s">
        <v>269</v>
      </c>
      <c r="B111" s="316">
        <v>220795</v>
      </c>
      <c r="C111" s="316">
        <v>72584</v>
      </c>
      <c r="D111" s="317">
        <v>0.32873932833623948</v>
      </c>
      <c r="E111" s="319">
        <v>4.2128139657347194</v>
      </c>
      <c r="F111" s="316">
        <v>2752046</v>
      </c>
      <c r="G111" s="320">
        <v>1.3447658895019903E-2</v>
      </c>
    </row>
    <row r="112" spans="1:7" x14ac:dyDescent="0.25">
      <c r="A112" s="308" t="s">
        <v>473</v>
      </c>
      <c r="B112" s="311">
        <v>295287</v>
      </c>
      <c r="C112" s="311">
        <v>160514</v>
      </c>
      <c r="D112" s="312">
        <v>0.54358640915448364</v>
      </c>
      <c r="E112" s="314">
        <v>4.0068567920001446</v>
      </c>
      <c r="F112" s="311">
        <v>5788409.5</v>
      </c>
      <c r="G112" s="315">
        <v>2.8284613157153884E-2</v>
      </c>
    </row>
    <row r="113" spans="1:7" x14ac:dyDescent="0.25">
      <c r="A113" s="309" t="s">
        <v>472</v>
      </c>
      <c r="B113" s="316">
        <v>295287</v>
      </c>
      <c r="C113" s="316">
        <v>160514</v>
      </c>
      <c r="D113" s="317">
        <v>0.54358640915448364</v>
      </c>
      <c r="E113" s="319">
        <v>4.0068567920001446</v>
      </c>
      <c r="F113" s="316">
        <v>5788409.5</v>
      </c>
      <c r="G113" s="320">
        <v>2.8284613157153884E-2</v>
      </c>
    </row>
    <row r="114" spans="1:7" x14ac:dyDescent="0.25">
      <c r="A114" s="308" t="s">
        <v>61</v>
      </c>
      <c r="B114" s="311">
        <v>5726</v>
      </c>
      <c r="C114" s="311">
        <v>1630</v>
      </c>
      <c r="D114" s="312">
        <v>0.28466643381068807</v>
      </c>
      <c r="E114" s="314">
        <v>4.245143149284254</v>
      </c>
      <c r="F114" s="311">
        <v>62276.25</v>
      </c>
      <c r="G114" s="315">
        <v>3.0430805562878791E-4</v>
      </c>
    </row>
    <row r="115" spans="1:7" x14ac:dyDescent="0.25">
      <c r="A115" s="309" t="s">
        <v>265</v>
      </c>
      <c r="B115" s="316">
        <v>5726</v>
      </c>
      <c r="C115" s="316">
        <v>1630</v>
      </c>
      <c r="D115" s="317">
        <v>0.28466643381068807</v>
      </c>
      <c r="E115" s="319">
        <v>4.245143149284254</v>
      </c>
      <c r="F115" s="316">
        <v>62276.25</v>
      </c>
      <c r="G115" s="320">
        <v>3.0430805562878791E-4</v>
      </c>
    </row>
    <row r="116" spans="1:7" ht="24" x14ac:dyDescent="0.25">
      <c r="A116" s="308" t="s">
        <v>496</v>
      </c>
      <c r="B116" s="311">
        <v>108</v>
      </c>
      <c r="C116" s="311">
        <v>26</v>
      </c>
      <c r="D116" s="312">
        <v>0.24074074074074073</v>
      </c>
      <c r="E116" s="314">
        <v>4.5470085470085468</v>
      </c>
      <c r="F116" s="311">
        <v>1064</v>
      </c>
      <c r="G116" s="315">
        <v>5.199153307866648E-6</v>
      </c>
    </row>
    <row r="117" spans="1:7" x14ac:dyDescent="0.25">
      <c r="A117" s="309" t="s">
        <v>264</v>
      </c>
      <c r="B117" s="316">
        <v>108</v>
      </c>
      <c r="C117" s="316">
        <v>26</v>
      </c>
      <c r="D117" s="317">
        <v>0.24074074074074073</v>
      </c>
      <c r="E117" s="319">
        <v>4.5470085470085468</v>
      </c>
      <c r="F117" s="316">
        <v>1064</v>
      </c>
      <c r="G117" s="320">
        <v>5.199153307866648E-6</v>
      </c>
    </row>
    <row r="118" spans="1:7" ht="24" x14ac:dyDescent="0.25">
      <c r="A118" s="308" t="s">
        <v>359</v>
      </c>
      <c r="B118" s="311">
        <v>9315</v>
      </c>
      <c r="C118" s="311">
        <v>2133</v>
      </c>
      <c r="D118" s="312">
        <v>0.22898550724637681</v>
      </c>
      <c r="E118" s="314">
        <v>4.2569672344637191</v>
      </c>
      <c r="F118" s="311">
        <v>81721</v>
      </c>
      <c r="G118" s="315">
        <v>3.9932331529339321E-4</v>
      </c>
    </row>
    <row r="119" spans="1:7" x14ac:dyDescent="0.25">
      <c r="A119" s="309" t="s">
        <v>263</v>
      </c>
      <c r="B119" s="316">
        <v>9315</v>
      </c>
      <c r="C119" s="316">
        <v>2133</v>
      </c>
      <c r="D119" s="317">
        <v>0.22898550724637681</v>
      </c>
      <c r="E119" s="319">
        <v>4.2569672344637191</v>
      </c>
      <c r="F119" s="316">
        <v>81721</v>
      </c>
      <c r="G119" s="320">
        <v>3.9932331529339321E-4</v>
      </c>
    </row>
    <row r="120" spans="1:7" x14ac:dyDescent="0.25">
      <c r="A120" s="308" t="s">
        <v>64</v>
      </c>
      <c r="B120" s="311">
        <v>3111</v>
      </c>
      <c r="C120" s="311">
        <v>1209</v>
      </c>
      <c r="D120" s="312">
        <v>0.38862102217936356</v>
      </c>
      <c r="E120" s="314">
        <v>4.3371932726771441</v>
      </c>
      <c r="F120" s="311">
        <v>47193</v>
      </c>
      <c r="G120" s="315">
        <v>2.3060492674638227E-4</v>
      </c>
    </row>
    <row r="121" spans="1:7" x14ac:dyDescent="0.25">
      <c r="A121" s="309" t="s">
        <v>262</v>
      </c>
      <c r="B121" s="316">
        <v>3111</v>
      </c>
      <c r="C121" s="316">
        <v>1209</v>
      </c>
      <c r="D121" s="317">
        <v>0.38862102217936356</v>
      </c>
      <c r="E121" s="319">
        <v>4.3371932726771441</v>
      </c>
      <c r="F121" s="316">
        <v>47193</v>
      </c>
      <c r="G121" s="320">
        <v>2.3060492674638227E-4</v>
      </c>
    </row>
    <row r="122" spans="1:7" x14ac:dyDescent="0.25">
      <c r="A122" s="308" t="s">
        <v>144</v>
      </c>
      <c r="B122" s="311">
        <v>312</v>
      </c>
      <c r="C122" s="311">
        <v>79</v>
      </c>
      <c r="D122" s="312">
        <v>0.25320512820512819</v>
      </c>
      <c r="E122" s="314">
        <v>4.3867791842475388</v>
      </c>
      <c r="F122" s="311">
        <v>3119</v>
      </c>
      <c r="G122" s="315">
        <v>1.5240751097026387E-5</v>
      </c>
    </row>
    <row r="123" spans="1:7" x14ac:dyDescent="0.25">
      <c r="A123" s="309" t="s">
        <v>260</v>
      </c>
      <c r="B123" s="316">
        <v>312</v>
      </c>
      <c r="C123" s="316">
        <v>79</v>
      </c>
      <c r="D123" s="317">
        <v>0.25320512820512819</v>
      </c>
      <c r="E123" s="319">
        <v>4.3867791842475388</v>
      </c>
      <c r="F123" s="316">
        <v>3119</v>
      </c>
      <c r="G123" s="320">
        <v>1.5240751097026387E-5</v>
      </c>
    </row>
    <row r="124" spans="1:7" x14ac:dyDescent="0.25">
      <c r="A124" s="308" t="s">
        <v>65</v>
      </c>
      <c r="B124" s="311">
        <v>3646</v>
      </c>
      <c r="C124" s="311">
        <v>1505</v>
      </c>
      <c r="D124" s="312">
        <v>0.41278113000548544</v>
      </c>
      <c r="E124" s="314">
        <v>4.110225175341454</v>
      </c>
      <c r="F124" s="311">
        <v>55673</v>
      </c>
      <c r="G124" s="315">
        <v>2.7204178769629691E-4</v>
      </c>
    </row>
    <row r="125" spans="1:7" x14ac:dyDescent="0.25">
      <c r="A125" s="309" t="s">
        <v>299</v>
      </c>
      <c r="B125" s="316">
        <v>3646</v>
      </c>
      <c r="C125" s="316">
        <v>1505</v>
      </c>
      <c r="D125" s="317">
        <v>0.41278113000548544</v>
      </c>
      <c r="E125" s="319">
        <v>4.110225175341454</v>
      </c>
      <c r="F125" s="316">
        <v>55673</v>
      </c>
      <c r="G125" s="320">
        <v>2.7204178769629691E-4</v>
      </c>
    </row>
    <row r="126" spans="1:7" x14ac:dyDescent="0.25">
      <c r="A126" s="308" t="s">
        <v>66</v>
      </c>
      <c r="B126" s="311">
        <v>2148</v>
      </c>
      <c r="C126" s="311">
        <v>1681</v>
      </c>
      <c r="D126" s="312">
        <v>0.78258845437616387</v>
      </c>
      <c r="E126" s="314">
        <v>4.609111639896887</v>
      </c>
      <c r="F126" s="311">
        <v>69731.25</v>
      </c>
      <c r="G126" s="315">
        <v>3.4073633373982729E-4</v>
      </c>
    </row>
    <row r="127" spans="1:7" x14ac:dyDescent="0.25">
      <c r="A127" s="309" t="s">
        <v>259</v>
      </c>
      <c r="B127" s="316">
        <v>2148</v>
      </c>
      <c r="C127" s="316">
        <v>1681</v>
      </c>
      <c r="D127" s="317">
        <v>0.78258845437616387</v>
      </c>
      <c r="E127" s="319">
        <v>4.609111639896887</v>
      </c>
      <c r="F127" s="316">
        <v>69731.25</v>
      </c>
      <c r="G127" s="320">
        <v>3.4073633373982729E-4</v>
      </c>
    </row>
    <row r="128" spans="1:7" x14ac:dyDescent="0.25">
      <c r="A128" s="308" t="s">
        <v>67</v>
      </c>
      <c r="B128" s="311">
        <v>483</v>
      </c>
      <c r="C128" s="311">
        <v>358</v>
      </c>
      <c r="D128" s="312">
        <v>0.74120082815734989</v>
      </c>
      <c r="E128" s="314">
        <v>4.6561142147734325</v>
      </c>
      <c r="F128" s="311">
        <v>15002</v>
      </c>
      <c r="G128" s="315">
        <v>7.3306107072007015E-5</v>
      </c>
    </row>
    <row r="129" spans="1:7" x14ac:dyDescent="0.25">
      <c r="A129" s="309" t="s">
        <v>258</v>
      </c>
      <c r="B129" s="316">
        <v>483</v>
      </c>
      <c r="C129" s="316">
        <v>358</v>
      </c>
      <c r="D129" s="317">
        <v>0.74120082815734989</v>
      </c>
      <c r="E129" s="319">
        <v>4.6561142147734325</v>
      </c>
      <c r="F129" s="316">
        <v>15002</v>
      </c>
      <c r="G129" s="320">
        <v>7.3306107072007015E-5</v>
      </c>
    </row>
    <row r="130" spans="1:7" x14ac:dyDescent="0.25">
      <c r="A130" s="308" t="s">
        <v>468</v>
      </c>
      <c r="B130" s="311">
        <v>26828</v>
      </c>
      <c r="C130" s="311">
        <v>5373</v>
      </c>
      <c r="D130" s="312">
        <v>0.20027583122111228</v>
      </c>
      <c r="E130" s="314">
        <v>4.2330789751225266</v>
      </c>
      <c r="F130" s="311">
        <v>204699</v>
      </c>
      <c r="G130" s="315">
        <v>1.0002457546682284E-3</v>
      </c>
    </row>
    <row r="131" spans="1:7" x14ac:dyDescent="0.25">
      <c r="A131" s="309" t="s">
        <v>296</v>
      </c>
      <c r="B131" s="316">
        <v>26828</v>
      </c>
      <c r="C131" s="316">
        <v>5373</v>
      </c>
      <c r="D131" s="317">
        <v>0.20027583122111228</v>
      </c>
      <c r="E131" s="319">
        <v>4.2330789751225266</v>
      </c>
      <c r="F131" s="316">
        <v>204699</v>
      </c>
      <c r="G131" s="320">
        <v>1.0002457546682284E-3</v>
      </c>
    </row>
    <row r="132" spans="1:7" x14ac:dyDescent="0.25">
      <c r="A132" s="308" t="s">
        <v>68</v>
      </c>
      <c r="B132" s="311">
        <v>144772</v>
      </c>
      <c r="C132" s="311">
        <v>28560</v>
      </c>
      <c r="D132" s="312">
        <v>0.19727571629873181</v>
      </c>
      <c r="E132" s="314">
        <v>4.1391364184562711</v>
      </c>
      <c r="F132" s="311">
        <v>1063923.625</v>
      </c>
      <c r="G132" s="315">
        <v>5.1987801073648731E-3</v>
      </c>
    </row>
    <row r="133" spans="1:7" x14ac:dyDescent="0.25">
      <c r="A133" s="309" t="s">
        <v>257</v>
      </c>
      <c r="B133" s="316">
        <v>144772</v>
      </c>
      <c r="C133" s="316">
        <v>28560</v>
      </c>
      <c r="D133" s="317">
        <v>0.19727571629873181</v>
      </c>
      <c r="E133" s="319">
        <v>4.1391364184562711</v>
      </c>
      <c r="F133" s="316">
        <v>1063923.625</v>
      </c>
      <c r="G133" s="320">
        <v>5.1987801073648731E-3</v>
      </c>
    </row>
    <row r="134" spans="1:7" x14ac:dyDescent="0.25">
      <c r="A134" s="308" t="s">
        <v>69</v>
      </c>
      <c r="B134" s="311">
        <v>131500</v>
      </c>
      <c r="C134" s="311">
        <v>35869</v>
      </c>
      <c r="D134" s="312">
        <v>0.2727680608365019</v>
      </c>
      <c r="E134" s="314">
        <v>4.1751427261547427</v>
      </c>
      <c r="F134" s="311">
        <v>1347823.75</v>
      </c>
      <c r="G134" s="315">
        <v>6.5860360039790697E-3</v>
      </c>
    </row>
    <row r="135" spans="1:7" x14ac:dyDescent="0.25">
      <c r="A135" s="309" t="s">
        <v>255</v>
      </c>
      <c r="B135" s="316">
        <v>131500</v>
      </c>
      <c r="C135" s="316">
        <v>35869</v>
      </c>
      <c r="D135" s="317">
        <v>0.2727680608365019</v>
      </c>
      <c r="E135" s="319">
        <v>4.1751427261547427</v>
      </c>
      <c r="F135" s="316">
        <v>1347823.75</v>
      </c>
      <c r="G135" s="320">
        <v>6.5860360039790697E-3</v>
      </c>
    </row>
    <row r="136" spans="1:7" ht="24" x14ac:dyDescent="0.25">
      <c r="A136" s="308" t="s">
        <v>70</v>
      </c>
      <c r="B136" s="311">
        <v>157749</v>
      </c>
      <c r="C136" s="311">
        <v>38655</v>
      </c>
      <c r="D136" s="312">
        <v>0.24504117300268147</v>
      </c>
      <c r="E136" s="314">
        <v>4.1007649578177325</v>
      </c>
      <c r="F136" s="311">
        <v>1426635.625</v>
      </c>
      <c r="G136" s="315">
        <v>6.971144106051836E-3</v>
      </c>
    </row>
    <row r="137" spans="1:7" x14ac:dyDescent="0.25">
      <c r="A137" s="309" t="s">
        <v>254</v>
      </c>
      <c r="B137" s="316">
        <v>157749</v>
      </c>
      <c r="C137" s="316">
        <v>38655</v>
      </c>
      <c r="D137" s="317">
        <v>0.24504117300268147</v>
      </c>
      <c r="E137" s="319">
        <v>4.1007649578177325</v>
      </c>
      <c r="F137" s="316">
        <v>1426635.625</v>
      </c>
      <c r="G137" s="320">
        <v>6.971144106051836E-3</v>
      </c>
    </row>
    <row r="138" spans="1:7" x14ac:dyDescent="0.25">
      <c r="A138" s="308" t="s">
        <v>71</v>
      </c>
      <c r="B138" s="311">
        <v>346558</v>
      </c>
      <c r="C138" s="311">
        <v>274339</v>
      </c>
      <c r="D138" s="312">
        <v>0.79161063948891675</v>
      </c>
      <c r="E138" s="314">
        <v>4.1503266842199693</v>
      </c>
      <c r="F138" s="311">
        <v>10247368.25</v>
      </c>
      <c r="G138" s="315">
        <v>5.0072968546912754E-2</v>
      </c>
    </row>
    <row r="139" spans="1:7" x14ac:dyDescent="0.25">
      <c r="A139" s="309" t="s">
        <v>253</v>
      </c>
      <c r="B139" s="316">
        <v>346558</v>
      </c>
      <c r="C139" s="316">
        <v>274339</v>
      </c>
      <c r="D139" s="317">
        <v>0.79161063948891675</v>
      </c>
      <c r="E139" s="319">
        <v>4.1503266842199693</v>
      </c>
      <c r="F139" s="316">
        <v>10247368.25</v>
      </c>
      <c r="G139" s="320">
        <v>5.0072968546912754E-2</v>
      </c>
    </row>
    <row r="140" spans="1:7" ht="24" x14ac:dyDescent="0.25">
      <c r="A140" s="308" t="s">
        <v>497</v>
      </c>
      <c r="B140" s="311">
        <v>11669</v>
      </c>
      <c r="C140" s="311">
        <v>4701</v>
      </c>
      <c r="D140" s="312">
        <v>0.40286228468591995</v>
      </c>
      <c r="E140" s="314">
        <v>4.3108558462738422</v>
      </c>
      <c r="F140" s="311">
        <v>182388</v>
      </c>
      <c r="G140" s="315">
        <v>8.9122478713832916E-4</v>
      </c>
    </row>
    <row r="141" spans="1:7" x14ac:dyDescent="0.25">
      <c r="A141" s="309" t="s">
        <v>251</v>
      </c>
      <c r="B141" s="316">
        <v>11669</v>
      </c>
      <c r="C141" s="316">
        <v>4701</v>
      </c>
      <c r="D141" s="317">
        <v>0.40286228468591995</v>
      </c>
      <c r="E141" s="319">
        <v>4.3108558462738422</v>
      </c>
      <c r="F141" s="316">
        <v>182388</v>
      </c>
      <c r="G141" s="320">
        <v>8.9122478713832916E-4</v>
      </c>
    </row>
    <row r="142" spans="1:7" x14ac:dyDescent="0.25">
      <c r="A142" s="308" t="s">
        <v>73</v>
      </c>
      <c r="B142" s="311">
        <v>32166</v>
      </c>
      <c r="C142" s="311">
        <v>7142</v>
      </c>
      <c r="D142" s="312">
        <v>0.22203568985885719</v>
      </c>
      <c r="E142" s="314">
        <v>4.2767004262733757</v>
      </c>
      <c r="F142" s="311">
        <v>274897.75</v>
      </c>
      <c r="G142" s="315">
        <v>1.343266490824811E-3</v>
      </c>
    </row>
    <row r="143" spans="1:7" x14ac:dyDescent="0.25">
      <c r="A143" s="309" t="s">
        <v>247</v>
      </c>
      <c r="B143" s="316">
        <v>32166</v>
      </c>
      <c r="C143" s="316">
        <v>7142</v>
      </c>
      <c r="D143" s="317">
        <v>0.22203568985885719</v>
      </c>
      <c r="E143" s="319">
        <v>4.2767004262733757</v>
      </c>
      <c r="F143" s="316">
        <v>274897.75</v>
      </c>
      <c r="G143" s="320">
        <v>1.343266490824811E-3</v>
      </c>
    </row>
    <row r="144" spans="1:7" x14ac:dyDescent="0.25">
      <c r="A144" s="308" t="s">
        <v>74</v>
      </c>
      <c r="B144" s="311">
        <v>34577</v>
      </c>
      <c r="C144" s="311">
        <v>12354</v>
      </c>
      <c r="D144" s="312">
        <v>0.35728952772073924</v>
      </c>
      <c r="E144" s="314">
        <v>4.4096064252693683</v>
      </c>
      <c r="F144" s="311">
        <v>490286.5</v>
      </c>
      <c r="G144" s="315">
        <v>2.3957468780802268E-3</v>
      </c>
    </row>
    <row r="145" spans="1:7" x14ac:dyDescent="0.25">
      <c r="A145" s="309" t="s">
        <v>249</v>
      </c>
      <c r="B145" s="316">
        <v>34577</v>
      </c>
      <c r="C145" s="316">
        <v>12354</v>
      </c>
      <c r="D145" s="317">
        <v>0.35728952772073924</v>
      </c>
      <c r="E145" s="319">
        <v>4.4096064252693683</v>
      </c>
      <c r="F145" s="316">
        <v>490286.5</v>
      </c>
      <c r="G145" s="320">
        <v>2.3957468780802268E-3</v>
      </c>
    </row>
    <row r="146" spans="1:7" x14ac:dyDescent="0.25">
      <c r="A146" s="308" t="s">
        <v>441</v>
      </c>
      <c r="B146" s="311">
        <v>139679</v>
      </c>
      <c r="C146" s="311">
        <v>37945</v>
      </c>
      <c r="D146" s="312">
        <v>0.27165858862105258</v>
      </c>
      <c r="E146" s="314">
        <v>4.283071990161198</v>
      </c>
      <c r="F146" s="311">
        <v>1462690.5</v>
      </c>
      <c r="G146" s="315">
        <v>7.1473234506204148E-3</v>
      </c>
    </row>
    <row r="147" spans="1:7" x14ac:dyDescent="0.25">
      <c r="A147" s="309" t="s">
        <v>280</v>
      </c>
      <c r="B147" s="316">
        <v>139679</v>
      </c>
      <c r="C147" s="316">
        <v>37945</v>
      </c>
      <c r="D147" s="317">
        <v>0.27165858862105258</v>
      </c>
      <c r="E147" s="319">
        <v>4.283071990161198</v>
      </c>
      <c r="F147" s="316">
        <v>1462690.5</v>
      </c>
      <c r="G147" s="320">
        <v>7.1473234506204148E-3</v>
      </c>
    </row>
    <row r="148" spans="1:7" x14ac:dyDescent="0.25">
      <c r="A148" s="308" t="s">
        <v>75</v>
      </c>
      <c r="B148" s="311">
        <v>135597</v>
      </c>
      <c r="C148" s="311">
        <v>39323</v>
      </c>
      <c r="D148" s="312">
        <v>0.28999904127672443</v>
      </c>
      <c r="E148" s="314">
        <v>4.1713808288618193</v>
      </c>
      <c r="F148" s="311">
        <v>1476280.875</v>
      </c>
      <c r="G148" s="315">
        <v>7.2137317618388343E-3</v>
      </c>
    </row>
    <row r="149" spans="1:7" x14ac:dyDescent="0.25">
      <c r="A149" s="309" t="s">
        <v>246</v>
      </c>
      <c r="B149" s="316">
        <v>135597</v>
      </c>
      <c r="C149" s="316">
        <v>39323</v>
      </c>
      <c r="D149" s="317">
        <v>0.28999904127672443</v>
      </c>
      <c r="E149" s="319">
        <v>4.1713808288618193</v>
      </c>
      <c r="F149" s="316">
        <v>1476280.875</v>
      </c>
      <c r="G149" s="320">
        <v>7.2137317618388343E-3</v>
      </c>
    </row>
    <row r="150" spans="1:7" x14ac:dyDescent="0.25">
      <c r="A150" s="308" t="s">
        <v>76</v>
      </c>
      <c r="B150" s="311">
        <v>117</v>
      </c>
      <c r="C150" s="311"/>
      <c r="D150" s="312"/>
      <c r="E150" s="314"/>
      <c r="F150" s="311"/>
      <c r="G150" s="315"/>
    </row>
    <row r="151" spans="1:7" x14ac:dyDescent="0.25">
      <c r="A151" s="309" t="s">
        <v>245</v>
      </c>
      <c r="B151" s="316">
        <v>117</v>
      </c>
      <c r="C151" s="316"/>
      <c r="D151" s="317"/>
      <c r="E151" s="319"/>
      <c r="F151" s="316"/>
      <c r="G151" s="320"/>
    </row>
    <row r="152" spans="1:7" x14ac:dyDescent="0.25">
      <c r="A152" s="308" t="s">
        <v>79</v>
      </c>
      <c r="B152" s="311">
        <v>3507</v>
      </c>
      <c r="C152" s="311">
        <v>664</v>
      </c>
      <c r="D152" s="312">
        <v>0.18933561448531508</v>
      </c>
      <c r="E152" s="314">
        <v>3.9643574297188757</v>
      </c>
      <c r="F152" s="311">
        <v>23691</v>
      </c>
      <c r="G152" s="315">
        <v>1.1576423027882403E-4</v>
      </c>
    </row>
    <row r="153" spans="1:7" x14ac:dyDescent="0.25">
      <c r="A153" s="309" t="s">
        <v>239</v>
      </c>
      <c r="B153" s="316">
        <v>3507</v>
      </c>
      <c r="C153" s="316">
        <v>664</v>
      </c>
      <c r="D153" s="317">
        <v>0.18933561448531508</v>
      </c>
      <c r="E153" s="319">
        <v>3.9643574297188757</v>
      </c>
      <c r="F153" s="316">
        <v>23691</v>
      </c>
      <c r="G153" s="320">
        <v>1.1576423027882403E-4</v>
      </c>
    </row>
    <row r="154" spans="1:7" x14ac:dyDescent="0.25">
      <c r="A154" s="308" t="s">
        <v>80</v>
      </c>
      <c r="B154" s="311">
        <v>61067</v>
      </c>
      <c r="C154" s="311">
        <v>13118</v>
      </c>
      <c r="D154" s="312">
        <v>0.214813237919007</v>
      </c>
      <c r="E154" s="314">
        <v>4.0231467364605038</v>
      </c>
      <c r="F154" s="311">
        <v>474980.75</v>
      </c>
      <c r="G154" s="315">
        <v>2.3209565202401143E-3</v>
      </c>
    </row>
    <row r="155" spans="1:7" x14ac:dyDescent="0.25">
      <c r="A155" s="309" t="s">
        <v>238</v>
      </c>
      <c r="B155" s="316">
        <v>61067</v>
      </c>
      <c r="C155" s="316">
        <v>13118</v>
      </c>
      <c r="D155" s="317">
        <v>0.214813237919007</v>
      </c>
      <c r="E155" s="319">
        <v>4.0231467364605038</v>
      </c>
      <c r="F155" s="316">
        <v>474980.75</v>
      </c>
      <c r="G155" s="320">
        <v>2.3209565202401143E-3</v>
      </c>
    </row>
    <row r="156" spans="1:7" x14ac:dyDescent="0.25">
      <c r="A156" s="308" t="s">
        <v>81</v>
      </c>
      <c r="B156" s="311">
        <v>102102</v>
      </c>
      <c r="C156" s="311">
        <v>66255</v>
      </c>
      <c r="D156" s="312">
        <v>0.64890991361579597</v>
      </c>
      <c r="E156" s="314">
        <v>4.2897911268751203</v>
      </c>
      <c r="F156" s="311">
        <v>2557981</v>
      </c>
      <c r="G156" s="315">
        <v>1.249937535489665E-2</v>
      </c>
    </row>
    <row r="157" spans="1:7" x14ac:dyDescent="0.25">
      <c r="A157" s="309" t="s">
        <v>237</v>
      </c>
      <c r="B157" s="316">
        <v>102102</v>
      </c>
      <c r="C157" s="316">
        <v>66255</v>
      </c>
      <c r="D157" s="317">
        <v>0.64890991361579597</v>
      </c>
      <c r="E157" s="319">
        <v>4.2897911268751203</v>
      </c>
      <c r="F157" s="316">
        <v>2557981</v>
      </c>
      <c r="G157" s="320">
        <v>1.249937535489665E-2</v>
      </c>
    </row>
    <row r="158" spans="1:7" ht="24" x14ac:dyDescent="0.25">
      <c r="A158" s="308" t="s">
        <v>498</v>
      </c>
      <c r="B158" s="311">
        <v>8222</v>
      </c>
      <c r="C158" s="311">
        <v>3287</v>
      </c>
      <c r="D158" s="312">
        <v>0.39978107516419364</v>
      </c>
      <c r="E158" s="314">
        <v>4.0025014366359057</v>
      </c>
      <c r="F158" s="311">
        <v>118406</v>
      </c>
      <c r="G158" s="315">
        <v>5.7858171670231045E-4</v>
      </c>
    </row>
    <row r="159" spans="1:7" x14ac:dyDescent="0.25">
      <c r="A159" s="309" t="s">
        <v>236</v>
      </c>
      <c r="B159" s="316">
        <v>8222</v>
      </c>
      <c r="C159" s="316">
        <v>3287</v>
      </c>
      <c r="D159" s="317">
        <v>0.39978107516419364</v>
      </c>
      <c r="E159" s="319">
        <v>4.0025014366359057</v>
      </c>
      <c r="F159" s="316">
        <v>118406</v>
      </c>
      <c r="G159" s="320">
        <v>5.7858171670231045E-4</v>
      </c>
    </row>
    <row r="160" spans="1:7" x14ac:dyDescent="0.25">
      <c r="A160" s="308" t="s">
        <v>83</v>
      </c>
      <c r="B160" s="311">
        <v>576320</v>
      </c>
      <c r="C160" s="311">
        <v>246890</v>
      </c>
      <c r="D160" s="312">
        <v>0.42839047751249304</v>
      </c>
      <c r="E160" s="314">
        <v>4.188962077128366</v>
      </c>
      <c r="F160" s="311">
        <v>9307915.625</v>
      </c>
      <c r="G160" s="315">
        <v>4.5482406307389485E-2</v>
      </c>
    </row>
    <row r="161" spans="1:7" x14ac:dyDescent="0.25">
      <c r="A161" s="309" t="s">
        <v>243</v>
      </c>
      <c r="B161" s="316">
        <v>576320</v>
      </c>
      <c r="C161" s="316">
        <v>246890</v>
      </c>
      <c r="D161" s="317">
        <v>0.42839047751249304</v>
      </c>
      <c r="E161" s="319">
        <v>4.188962077128366</v>
      </c>
      <c r="F161" s="316">
        <v>9307915.625</v>
      </c>
      <c r="G161" s="320">
        <v>4.5482406307389485E-2</v>
      </c>
    </row>
    <row r="162" spans="1:7" ht="24" x14ac:dyDescent="0.25">
      <c r="A162" s="308" t="s">
        <v>492</v>
      </c>
      <c r="B162" s="311">
        <v>26796</v>
      </c>
      <c r="C162" s="311">
        <v>5148</v>
      </c>
      <c r="D162" s="312">
        <v>0.19211822660098521</v>
      </c>
      <c r="E162" s="314">
        <v>4.0296555296555301</v>
      </c>
      <c r="F162" s="311">
        <v>186702</v>
      </c>
      <c r="G162" s="315">
        <v>9.1230481286214192E-4</v>
      </c>
    </row>
    <row r="163" spans="1:7" x14ac:dyDescent="0.25">
      <c r="A163" s="309" t="s">
        <v>233</v>
      </c>
      <c r="B163" s="316">
        <v>26796</v>
      </c>
      <c r="C163" s="316">
        <v>5148</v>
      </c>
      <c r="D163" s="317">
        <v>0.19211822660098521</v>
      </c>
      <c r="E163" s="319">
        <v>4.0296555296555301</v>
      </c>
      <c r="F163" s="316">
        <v>186702</v>
      </c>
      <c r="G163" s="320">
        <v>9.1230481286214192E-4</v>
      </c>
    </row>
    <row r="164" spans="1:7" x14ac:dyDescent="0.25">
      <c r="A164" s="308" t="s">
        <v>85</v>
      </c>
      <c r="B164" s="311">
        <v>2008</v>
      </c>
      <c r="C164" s="311">
        <v>608</v>
      </c>
      <c r="D164" s="312">
        <v>0.30278884462151395</v>
      </c>
      <c r="E164" s="314">
        <v>4.0215643274853798</v>
      </c>
      <c r="F164" s="311">
        <v>22006</v>
      </c>
      <c r="G164" s="315">
        <v>1.0753060873394122E-4</v>
      </c>
    </row>
    <row r="165" spans="1:7" x14ac:dyDescent="0.25">
      <c r="A165" s="309" t="s">
        <v>232</v>
      </c>
      <c r="B165" s="316">
        <v>2008</v>
      </c>
      <c r="C165" s="316">
        <v>608</v>
      </c>
      <c r="D165" s="317">
        <v>0.30278884462151395</v>
      </c>
      <c r="E165" s="319">
        <v>4.0215643274853798</v>
      </c>
      <c r="F165" s="316">
        <v>22006</v>
      </c>
      <c r="G165" s="320">
        <v>1.0753060873394122E-4</v>
      </c>
    </row>
    <row r="166" spans="1:7" ht="24" x14ac:dyDescent="0.25">
      <c r="A166" s="308" t="s">
        <v>86</v>
      </c>
      <c r="B166" s="311">
        <v>30838</v>
      </c>
      <c r="C166" s="311">
        <v>12525</v>
      </c>
      <c r="D166" s="312">
        <v>0.40615474414683184</v>
      </c>
      <c r="E166" s="314">
        <v>4.0651940563317801</v>
      </c>
      <c r="F166" s="311">
        <v>458249</v>
      </c>
      <c r="G166" s="315">
        <v>2.2391981242261124E-3</v>
      </c>
    </row>
    <row r="167" spans="1:7" x14ac:dyDescent="0.25">
      <c r="A167" s="309" t="s">
        <v>231</v>
      </c>
      <c r="B167" s="316">
        <v>30838</v>
      </c>
      <c r="C167" s="316">
        <v>12525</v>
      </c>
      <c r="D167" s="317">
        <v>0.40615474414683184</v>
      </c>
      <c r="E167" s="319">
        <v>4.0651940563317801</v>
      </c>
      <c r="F167" s="316">
        <v>458249</v>
      </c>
      <c r="G167" s="320">
        <v>2.2391981242261124E-3</v>
      </c>
    </row>
    <row r="168" spans="1:7" x14ac:dyDescent="0.25">
      <c r="A168" s="308" t="s">
        <v>87</v>
      </c>
      <c r="B168" s="311">
        <v>1987</v>
      </c>
      <c r="C168" s="311">
        <v>1534</v>
      </c>
      <c r="D168" s="312">
        <v>0.77201811776547558</v>
      </c>
      <c r="E168" s="314">
        <v>4.6278429668260177</v>
      </c>
      <c r="F168" s="311">
        <v>63892</v>
      </c>
      <c r="G168" s="315">
        <v>3.1220329243065401E-4</v>
      </c>
    </row>
    <row r="169" spans="1:7" x14ac:dyDescent="0.25">
      <c r="A169" s="309" t="s">
        <v>235</v>
      </c>
      <c r="B169" s="316">
        <v>1987</v>
      </c>
      <c r="C169" s="316">
        <v>1534</v>
      </c>
      <c r="D169" s="317">
        <v>0.77201811776547558</v>
      </c>
      <c r="E169" s="319">
        <v>4.6278429668260177</v>
      </c>
      <c r="F169" s="316">
        <v>63892</v>
      </c>
      <c r="G169" s="320">
        <v>3.1220329243065401E-4</v>
      </c>
    </row>
    <row r="170" spans="1:7" x14ac:dyDescent="0.25">
      <c r="A170" s="308" t="s">
        <v>88</v>
      </c>
      <c r="B170" s="311">
        <v>3129</v>
      </c>
      <c r="C170" s="311">
        <v>543</v>
      </c>
      <c r="D170" s="312">
        <v>0.17353787152444872</v>
      </c>
      <c r="E170" s="314">
        <v>3.8653570697769593</v>
      </c>
      <c r="F170" s="311">
        <v>18890</v>
      </c>
      <c r="G170" s="315">
        <v>9.230451690376033E-5</v>
      </c>
    </row>
    <row r="171" spans="1:7" x14ac:dyDescent="0.25">
      <c r="A171" s="309" t="s">
        <v>234</v>
      </c>
      <c r="B171" s="316">
        <v>3129</v>
      </c>
      <c r="C171" s="316">
        <v>543</v>
      </c>
      <c r="D171" s="317">
        <v>0.17353787152444872</v>
      </c>
      <c r="E171" s="319">
        <v>3.8653570697769593</v>
      </c>
      <c r="F171" s="316">
        <v>18890</v>
      </c>
      <c r="G171" s="320">
        <v>9.230451690376033E-5</v>
      </c>
    </row>
    <row r="172" spans="1:7" ht="24" x14ac:dyDescent="0.25">
      <c r="A172" s="308" t="s">
        <v>89</v>
      </c>
      <c r="B172" s="311">
        <v>27587</v>
      </c>
      <c r="C172" s="311">
        <v>13194</v>
      </c>
      <c r="D172" s="312">
        <v>0.47826874977344402</v>
      </c>
      <c r="E172" s="314">
        <v>4.1086394489077529</v>
      </c>
      <c r="F172" s="311">
        <v>487884.5</v>
      </c>
      <c r="G172" s="315">
        <v>2.3840096917592721E-3</v>
      </c>
    </row>
    <row r="173" spans="1:7" x14ac:dyDescent="0.25">
      <c r="A173" s="309" t="s">
        <v>229</v>
      </c>
      <c r="B173" s="316">
        <v>27587</v>
      </c>
      <c r="C173" s="316">
        <v>13194</v>
      </c>
      <c r="D173" s="317">
        <v>0.47826874977344402</v>
      </c>
      <c r="E173" s="319">
        <v>4.1086394489077529</v>
      </c>
      <c r="F173" s="316">
        <v>487884.5</v>
      </c>
      <c r="G173" s="320">
        <v>2.3840096917592721E-3</v>
      </c>
    </row>
    <row r="174" spans="1:7" x14ac:dyDescent="0.25">
      <c r="A174" s="308" t="s">
        <v>90</v>
      </c>
      <c r="B174" s="311">
        <v>135312</v>
      </c>
      <c r="C174" s="311">
        <v>50732</v>
      </c>
      <c r="D174" s="312">
        <v>0.37492609672460686</v>
      </c>
      <c r="E174" s="314">
        <v>4.0177364494905694</v>
      </c>
      <c r="F174" s="311">
        <v>1834450.25</v>
      </c>
      <c r="G174" s="315">
        <v>8.9638985765078012E-3</v>
      </c>
    </row>
    <row r="175" spans="1:7" x14ac:dyDescent="0.25">
      <c r="A175" s="309" t="s">
        <v>228</v>
      </c>
      <c r="B175" s="316">
        <v>135312</v>
      </c>
      <c r="C175" s="316">
        <v>50732</v>
      </c>
      <c r="D175" s="317">
        <v>0.37492609672460686</v>
      </c>
      <c r="E175" s="319">
        <v>4.0177364494905694</v>
      </c>
      <c r="F175" s="316">
        <v>1834450.25</v>
      </c>
      <c r="G175" s="320">
        <v>8.9638985765078012E-3</v>
      </c>
    </row>
    <row r="176" spans="1:7" x14ac:dyDescent="0.25">
      <c r="A176" s="308" t="s">
        <v>91</v>
      </c>
      <c r="B176" s="311">
        <v>6165</v>
      </c>
      <c r="C176" s="311"/>
      <c r="D176" s="312"/>
      <c r="E176" s="314"/>
      <c r="F176" s="311"/>
      <c r="G176" s="315"/>
    </row>
    <row r="177" spans="1:7" x14ac:dyDescent="0.25">
      <c r="A177" s="309" t="s">
        <v>227</v>
      </c>
      <c r="B177" s="316">
        <v>6165</v>
      </c>
      <c r="C177" s="316"/>
      <c r="D177" s="317"/>
      <c r="E177" s="319"/>
      <c r="F177" s="316"/>
      <c r="G177" s="320"/>
    </row>
    <row r="178" spans="1:7" x14ac:dyDescent="0.25">
      <c r="A178" s="308" t="s">
        <v>436</v>
      </c>
      <c r="B178" s="311">
        <v>130181</v>
      </c>
      <c r="C178" s="311">
        <v>17106</v>
      </c>
      <c r="D178" s="312">
        <v>0.13140166383727273</v>
      </c>
      <c r="E178" s="314">
        <v>4.1038345869545445</v>
      </c>
      <c r="F178" s="311">
        <v>631801.75</v>
      </c>
      <c r="G178" s="315">
        <v>3.0872501488989072E-3</v>
      </c>
    </row>
    <row r="179" spans="1:7" x14ac:dyDescent="0.25">
      <c r="A179" s="309" t="s">
        <v>250</v>
      </c>
      <c r="B179" s="316">
        <v>130181</v>
      </c>
      <c r="C179" s="316">
        <v>17106</v>
      </c>
      <c r="D179" s="317">
        <v>0.13140166383727273</v>
      </c>
      <c r="E179" s="319">
        <v>4.1038345869545445</v>
      </c>
      <c r="F179" s="316">
        <v>631801.75</v>
      </c>
      <c r="G179" s="320">
        <v>3.0872501488989072E-3</v>
      </c>
    </row>
    <row r="180" spans="1:7" x14ac:dyDescent="0.25">
      <c r="A180" s="308" t="s">
        <v>529</v>
      </c>
      <c r="B180" s="311">
        <v>3823</v>
      </c>
      <c r="C180" s="311">
        <v>744</v>
      </c>
      <c r="D180" s="312">
        <v>0.19461156160083704</v>
      </c>
      <c r="E180" s="314">
        <v>4.0822879330943849</v>
      </c>
      <c r="F180" s="311">
        <v>27335</v>
      </c>
      <c r="G180" s="315">
        <v>1.3357035307381092E-4</v>
      </c>
    </row>
    <row r="181" spans="1:7" x14ac:dyDescent="0.25">
      <c r="A181" s="309" t="s">
        <v>226</v>
      </c>
      <c r="B181" s="316">
        <v>3823</v>
      </c>
      <c r="C181" s="316">
        <v>744</v>
      </c>
      <c r="D181" s="317">
        <v>0.19461156160083704</v>
      </c>
      <c r="E181" s="319">
        <v>4.0822879330943849</v>
      </c>
      <c r="F181" s="316">
        <v>27335</v>
      </c>
      <c r="G181" s="320">
        <v>1.3357035307381092E-4</v>
      </c>
    </row>
    <row r="182" spans="1:7" x14ac:dyDescent="0.25">
      <c r="A182" s="308" t="s">
        <v>93</v>
      </c>
      <c r="B182" s="311">
        <v>4672</v>
      </c>
      <c r="C182" s="311">
        <v>866</v>
      </c>
      <c r="D182" s="312">
        <v>0.1853595890410959</v>
      </c>
      <c r="E182" s="314">
        <v>4.1344624069797282</v>
      </c>
      <c r="F182" s="311">
        <v>32224</v>
      </c>
      <c r="G182" s="315">
        <v>1.5746007160967563E-4</v>
      </c>
    </row>
    <row r="183" spans="1:7" x14ac:dyDescent="0.25">
      <c r="A183" s="309" t="s">
        <v>225</v>
      </c>
      <c r="B183" s="316">
        <v>4672</v>
      </c>
      <c r="C183" s="316">
        <v>866</v>
      </c>
      <c r="D183" s="317">
        <v>0.1853595890410959</v>
      </c>
      <c r="E183" s="319">
        <v>4.1344624069797282</v>
      </c>
      <c r="F183" s="316">
        <v>32224</v>
      </c>
      <c r="G183" s="320">
        <v>1.5746007160967563E-4</v>
      </c>
    </row>
    <row r="184" spans="1:7" x14ac:dyDescent="0.25">
      <c r="A184" s="308" t="s">
        <v>94</v>
      </c>
      <c r="B184" s="311">
        <v>302576</v>
      </c>
      <c r="C184" s="311">
        <v>111515</v>
      </c>
      <c r="D184" s="312">
        <v>0.36855203320818569</v>
      </c>
      <c r="E184" s="314">
        <v>4.3552074459340302</v>
      </c>
      <c r="F184" s="311">
        <v>4371038.625</v>
      </c>
      <c r="G184" s="315">
        <v>2.1358740531937627E-2</v>
      </c>
    </row>
    <row r="185" spans="1:7" x14ac:dyDescent="0.25">
      <c r="A185" s="309" t="s">
        <v>224</v>
      </c>
      <c r="B185" s="316">
        <v>302576</v>
      </c>
      <c r="C185" s="316">
        <v>111515</v>
      </c>
      <c r="D185" s="317">
        <v>0.36855203320818569</v>
      </c>
      <c r="E185" s="319">
        <v>4.3552074459340302</v>
      </c>
      <c r="F185" s="316">
        <v>4371038.625</v>
      </c>
      <c r="G185" s="320">
        <v>2.1358740531937627E-2</v>
      </c>
    </row>
    <row r="186" spans="1:7" x14ac:dyDescent="0.25">
      <c r="A186" s="308" t="s">
        <v>95</v>
      </c>
      <c r="B186" s="311">
        <v>161903</v>
      </c>
      <c r="C186" s="311">
        <v>33109</v>
      </c>
      <c r="D186" s="312">
        <v>0.20449899013606912</v>
      </c>
      <c r="E186" s="314">
        <v>4.3596286340404253</v>
      </c>
      <c r="F186" s="311">
        <v>1299086.5</v>
      </c>
      <c r="G186" s="315">
        <v>6.3478852196239719E-3</v>
      </c>
    </row>
    <row r="187" spans="1:7" x14ac:dyDescent="0.25">
      <c r="A187" s="309" t="s">
        <v>222</v>
      </c>
      <c r="B187" s="316">
        <v>161903</v>
      </c>
      <c r="C187" s="316">
        <v>33109</v>
      </c>
      <c r="D187" s="317">
        <v>0.20449899013606912</v>
      </c>
      <c r="E187" s="319">
        <v>4.3596286340404253</v>
      </c>
      <c r="F187" s="316">
        <v>1299086.5</v>
      </c>
      <c r="G187" s="320">
        <v>6.3478852196239719E-3</v>
      </c>
    </row>
    <row r="188" spans="1:7" x14ac:dyDescent="0.25">
      <c r="A188" s="308" t="s">
        <v>96</v>
      </c>
      <c r="B188" s="311">
        <v>293706</v>
      </c>
      <c r="C188" s="311">
        <v>65034</v>
      </c>
      <c r="D188" s="312">
        <v>0.22142550713979287</v>
      </c>
      <c r="E188" s="314">
        <v>4.1623381615770212</v>
      </c>
      <c r="F188" s="311">
        <v>2436241.5</v>
      </c>
      <c r="G188" s="315">
        <v>1.1904504749517862E-2</v>
      </c>
    </row>
    <row r="189" spans="1:7" x14ac:dyDescent="0.25">
      <c r="A189" s="309" t="s">
        <v>221</v>
      </c>
      <c r="B189" s="316">
        <v>293706</v>
      </c>
      <c r="C189" s="316">
        <v>65034</v>
      </c>
      <c r="D189" s="317">
        <v>0.22142550713979287</v>
      </c>
      <c r="E189" s="319">
        <v>4.1623381615770212</v>
      </c>
      <c r="F189" s="316">
        <v>2436241.5</v>
      </c>
      <c r="G189" s="320">
        <v>1.1904504749517862E-2</v>
      </c>
    </row>
    <row r="190" spans="1:7" x14ac:dyDescent="0.25">
      <c r="A190" s="308" t="s">
        <v>97</v>
      </c>
      <c r="B190" s="311">
        <v>475477</v>
      </c>
      <c r="C190" s="311">
        <v>342655</v>
      </c>
      <c r="D190" s="312">
        <v>0.72065525777272088</v>
      </c>
      <c r="E190" s="314">
        <v>4.1671197057617073</v>
      </c>
      <c r="F190" s="311">
        <v>12850959.625</v>
      </c>
      <c r="G190" s="315">
        <v>6.2795215454492001E-2</v>
      </c>
    </row>
    <row r="191" spans="1:7" x14ac:dyDescent="0.25">
      <c r="A191" s="309" t="s">
        <v>220</v>
      </c>
      <c r="B191" s="316">
        <v>475477</v>
      </c>
      <c r="C191" s="316">
        <v>342655</v>
      </c>
      <c r="D191" s="317">
        <v>0.72065525777272088</v>
      </c>
      <c r="E191" s="319">
        <v>4.1671197057617073</v>
      </c>
      <c r="F191" s="316">
        <v>12850959.625</v>
      </c>
      <c r="G191" s="320">
        <v>6.2795215454492001E-2</v>
      </c>
    </row>
    <row r="192" spans="1:7" x14ac:dyDescent="0.25">
      <c r="A192" s="308" t="s">
        <v>98</v>
      </c>
      <c r="B192" s="311">
        <v>760612</v>
      </c>
      <c r="C192" s="311">
        <v>137861</v>
      </c>
      <c r="D192" s="312">
        <v>0.1812500986048077</v>
      </c>
      <c r="E192" s="314">
        <v>4.2972186558280523</v>
      </c>
      <c r="F192" s="311">
        <v>5331769.75</v>
      </c>
      <c r="G192" s="315">
        <v>2.6053278507984806E-2</v>
      </c>
    </row>
    <row r="193" spans="1:7" x14ac:dyDescent="0.25">
      <c r="A193" s="309" t="s">
        <v>219</v>
      </c>
      <c r="B193" s="316">
        <v>760612</v>
      </c>
      <c r="C193" s="316">
        <v>137861</v>
      </c>
      <c r="D193" s="317">
        <v>0.1812500986048077</v>
      </c>
      <c r="E193" s="319">
        <v>4.2972186558280523</v>
      </c>
      <c r="F193" s="316">
        <v>5331769.75</v>
      </c>
      <c r="G193" s="320">
        <v>2.6053278507984806E-2</v>
      </c>
    </row>
    <row r="194" spans="1:7" x14ac:dyDescent="0.25">
      <c r="A194" s="308" t="s">
        <v>99</v>
      </c>
      <c r="B194" s="311">
        <v>454900</v>
      </c>
      <c r="C194" s="311">
        <v>210652</v>
      </c>
      <c r="D194" s="312">
        <v>0.46307320290173665</v>
      </c>
      <c r="E194" s="314">
        <v>4.1448803397704905</v>
      </c>
      <c r="F194" s="311">
        <v>7858146</v>
      </c>
      <c r="G194" s="315">
        <v>3.8398219708269801E-2</v>
      </c>
    </row>
    <row r="195" spans="1:7" x14ac:dyDescent="0.25">
      <c r="A195" s="309" t="s">
        <v>218</v>
      </c>
      <c r="B195" s="316">
        <v>454900</v>
      </c>
      <c r="C195" s="316">
        <v>210652</v>
      </c>
      <c r="D195" s="317">
        <v>0.46307320290173665</v>
      </c>
      <c r="E195" s="319">
        <v>4.1448803397704905</v>
      </c>
      <c r="F195" s="316">
        <v>7858146</v>
      </c>
      <c r="G195" s="320">
        <v>3.8398219708269801E-2</v>
      </c>
    </row>
    <row r="196" spans="1:7" x14ac:dyDescent="0.25">
      <c r="A196" s="308" t="s">
        <v>100</v>
      </c>
      <c r="B196" s="311">
        <v>192664</v>
      </c>
      <c r="C196" s="311">
        <v>121810</v>
      </c>
      <c r="D196" s="312">
        <v>0.63224058464477018</v>
      </c>
      <c r="E196" s="314">
        <v>4.2301830491931884</v>
      </c>
      <c r="F196" s="311">
        <v>4637507.375</v>
      </c>
      <c r="G196" s="315">
        <v>2.2660819369348897E-2</v>
      </c>
    </row>
    <row r="197" spans="1:7" x14ac:dyDescent="0.25">
      <c r="A197" s="309" t="s">
        <v>217</v>
      </c>
      <c r="B197" s="316">
        <v>192664</v>
      </c>
      <c r="C197" s="316">
        <v>121810</v>
      </c>
      <c r="D197" s="317">
        <v>0.63224058464477018</v>
      </c>
      <c r="E197" s="319">
        <v>4.2301830491931884</v>
      </c>
      <c r="F197" s="316">
        <v>4637507.375</v>
      </c>
      <c r="G197" s="320">
        <v>2.2660819369348897E-2</v>
      </c>
    </row>
    <row r="198" spans="1:7" ht="24" x14ac:dyDescent="0.25">
      <c r="A198" s="308" t="s">
        <v>130</v>
      </c>
      <c r="B198" s="311">
        <v>186</v>
      </c>
      <c r="C198" s="311">
        <v>77</v>
      </c>
      <c r="D198" s="312">
        <v>0.41397849462365593</v>
      </c>
      <c r="E198" s="314">
        <v>4.8441558441558445</v>
      </c>
      <c r="F198" s="311">
        <v>3357</v>
      </c>
      <c r="G198" s="315">
        <v>1.6403719600101822E-5</v>
      </c>
    </row>
    <row r="199" spans="1:7" x14ac:dyDescent="0.25">
      <c r="A199" s="309" t="s">
        <v>213</v>
      </c>
      <c r="B199" s="316">
        <v>186</v>
      </c>
      <c r="C199" s="316">
        <v>77</v>
      </c>
      <c r="D199" s="317">
        <v>0.41397849462365593</v>
      </c>
      <c r="E199" s="319">
        <v>4.8441558441558445</v>
      </c>
      <c r="F199" s="316">
        <v>3357</v>
      </c>
      <c r="G199" s="320">
        <v>1.6403719600101822E-5</v>
      </c>
    </row>
    <row r="200" spans="1:7" ht="24" x14ac:dyDescent="0.25">
      <c r="A200" s="308" t="s">
        <v>467</v>
      </c>
      <c r="B200" s="311">
        <v>11823</v>
      </c>
      <c r="C200" s="311">
        <v>4928</v>
      </c>
      <c r="D200" s="312">
        <v>0.41681468324452337</v>
      </c>
      <c r="E200" s="314">
        <v>4.057472041847042</v>
      </c>
      <c r="F200" s="311">
        <v>179957</v>
      </c>
      <c r="G200" s="315">
        <v>8.7934589457120153E-4</v>
      </c>
    </row>
    <row r="201" spans="1:7" x14ac:dyDescent="0.25">
      <c r="A201" s="309" t="s">
        <v>212</v>
      </c>
      <c r="B201" s="316">
        <v>11823</v>
      </c>
      <c r="C201" s="316">
        <v>4928</v>
      </c>
      <c r="D201" s="317">
        <v>0.41681468324452337</v>
      </c>
      <c r="E201" s="319">
        <v>4.057472041847042</v>
      </c>
      <c r="F201" s="316">
        <v>179957</v>
      </c>
      <c r="G201" s="320">
        <v>8.7934589457120153E-4</v>
      </c>
    </row>
    <row r="202" spans="1:7" ht="24" x14ac:dyDescent="0.25">
      <c r="A202" s="308" t="s">
        <v>103</v>
      </c>
      <c r="B202" s="311">
        <v>23455</v>
      </c>
      <c r="C202" s="311">
        <v>9267</v>
      </c>
      <c r="D202" s="312">
        <v>0.39509699424429762</v>
      </c>
      <c r="E202" s="314">
        <v>4.2078162656019567</v>
      </c>
      <c r="F202" s="311">
        <v>350944.5</v>
      </c>
      <c r="G202" s="315">
        <v>1.7148630244855328E-3</v>
      </c>
    </row>
    <row r="203" spans="1:7" x14ac:dyDescent="0.25">
      <c r="A203" s="309" t="s">
        <v>211</v>
      </c>
      <c r="B203" s="316">
        <v>23455</v>
      </c>
      <c r="C203" s="316">
        <v>9267</v>
      </c>
      <c r="D203" s="317">
        <v>0.39509699424429762</v>
      </c>
      <c r="E203" s="319">
        <v>4.2078162656019567</v>
      </c>
      <c r="F203" s="316">
        <v>350944.5</v>
      </c>
      <c r="G203" s="320">
        <v>1.7148630244855328E-3</v>
      </c>
    </row>
    <row r="204" spans="1:7" x14ac:dyDescent="0.25">
      <c r="A204" s="308" t="s">
        <v>104</v>
      </c>
      <c r="B204" s="311">
        <v>22484</v>
      </c>
      <c r="C204" s="311">
        <v>14197</v>
      </c>
      <c r="D204" s="312">
        <v>0.63142679238569654</v>
      </c>
      <c r="E204" s="314">
        <v>4.2640542211578349</v>
      </c>
      <c r="F204" s="311">
        <v>544831</v>
      </c>
      <c r="G204" s="315">
        <v>2.6622743382314793E-3</v>
      </c>
    </row>
    <row r="205" spans="1:7" x14ac:dyDescent="0.25">
      <c r="A205" s="309" t="s">
        <v>210</v>
      </c>
      <c r="B205" s="316">
        <v>22484</v>
      </c>
      <c r="C205" s="316">
        <v>14197</v>
      </c>
      <c r="D205" s="317">
        <v>0.63142679238569654</v>
      </c>
      <c r="E205" s="319">
        <v>4.2640542211578349</v>
      </c>
      <c r="F205" s="316">
        <v>544831</v>
      </c>
      <c r="G205" s="320">
        <v>2.6622743382314793E-3</v>
      </c>
    </row>
    <row r="206" spans="1:7" x14ac:dyDescent="0.25">
      <c r="A206" s="308" t="s">
        <v>433</v>
      </c>
      <c r="B206" s="311">
        <v>22160</v>
      </c>
      <c r="C206" s="311">
        <v>1312</v>
      </c>
      <c r="D206" s="312">
        <v>5.92057761732852E-2</v>
      </c>
      <c r="E206" s="314">
        <v>3.6902947154471542</v>
      </c>
      <c r="F206" s="311">
        <v>43575</v>
      </c>
      <c r="G206" s="315">
        <v>2.1292585093072292E-4</v>
      </c>
    </row>
    <row r="207" spans="1:7" x14ac:dyDescent="0.25">
      <c r="A207" s="309" t="s">
        <v>209</v>
      </c>
      <c r="B207" s="316">
        <v>22160</v>
      </c>
      <c r="C207" s="316">
        <v>1312</v>
      </c>
      <c r="D207" s="317">
        <v>5.92057761732852E-2</v>
      </c>
      <c r="E207" s="319">
        <v>3.6902947154471542</v>
      </c>
      <c r="F207" s="316">
        <v>43575</v>
      </c>
      <c r="G207" s="320">
        <v>2.1292585093072292E-4</v>
      </c>
    </row>
    <row r="208" spans="1:7" x14ac:dyDescent="0.25">
      <c r="A208" s="308" t="s">
        <v>105</v>
      </c>
      <c r="B208" s="311">
        <v>34728</v>
      </c>
      <c r="C208" s="311">
        <v>16225</v>
      </c>
      <c r="D208" s="312">
        <v>0.46720225754434463</v>
      </c>
      <c r="E208" s="314">
        <v>4.3400787536380756</v>
      </c>
      <c r="F208" s="311">
        <v>633760</v>
      </c>
      <c r="G208" s="315">
        <v>3.0968189853323E-3</v>
      </c>
    </row>
    <row r="209" spans="1:7" x14ac:dyDescent="0.25">
      <c r="A209" s="309" t="s">
        <v>208</v>
      </c>
      <c r="B209" s="316">
        <v>34728</v>
      </c>
      <c r="C209" s="316">
        <v>16225</v>
      </c>
      <c r="D209" s="317">
        <v>0.46720225754434463</v>
      </c>
      <c r="E209" s="319">
        <v>4.3400787536380756</v>
      </c>
      <c r="F209" s="316">
        <v>633760</v>
      </c>
      <c r="G209" s="320">
        <v>3.0968189853323E-3</v>
      </c>
    </row>
    <row r="210" spans="1:7" ht="24" x14ac:dyDescent="0.25">
      <c r="A210" s="308" t="s">
        <v>106</v>
      </c>
      <c r="B210" s="311">
        <v>59514</v>
      </c>
      <c r="C210" s="311">
        <v>9432</v>
      </c>
      <c r="D210" s="312">
        <v>0.15848371811674564</v>
      </c>
      <c r="E210" s="314">
        <v>3.8474342663273964</v>
      </c>
      <c r="F210" s="311">
        <v>326601</v>
      </c>
      <c r="G210" s="315">
        <v>1.595910403667815E-3</v>
      </c>
    </row>
    <row r="211" spans="1:7" x14ac:dyDescent="0.25">
      <c r="A211" s="309" t="s">
        <v>207</v>
      </c>
      <c r="B211" s="316">
        <v>59514</v>
      </c>
      <c r="C211" s="316">
        <v>9432</v>
      </c>
      <c r="D211" s="317">
        <v>0.15848371811674564</v>
      </c>
      <c r="E211" s="319">
        <v>3.8474342663273964</v>
      </c>
      <c r="F211" s="316">
        <v>326601</v>
      </c>
      <c r="G211" s="320">
        <v>1.595910403667815E-3</v>
      </c>
    </row>
    <row r="212" spans="1:7" ht="24" x14ac:dyDescent="0.25">
      <c r="A212" s="308" t="s">
        <v>107</v>
      </c>
      <c r="B212" s="311">
        <v>143617</v>
      </c>
      <c r="C212" s="311">
        <v>32343</v>
      </c>
      <c r="D212" s="312">
        <v>0.22520314447453993</v>
      </c>
      <c r="E212" s="314">
        <v>4.0542947641083247</v>
      </c>
      <c r="F212" s="311">
        <v>1180152.5</v>
      </c>
      <c r="G212" s="315">
        <v>5.766723471956856E-3</v>
      </c>
    </row>
    <row r="213" spans="1:7" x14ac:dyDescent="0.25">
      <c r="A213" s="309" t="s">
        <v>206</v>
      </c>
      <c r="B213" s="316">
        <v>143617</v>
      </c>
      <c r="C213" s="316">
        <v>32343</v>
      </c>
      <c r="D213" s="317">
        <v>0.22520314447453993</v>
      </c>
      <c r="E213" s="319">
        <v>4.0542947641083247</v>
      </c>
      <c r="F213" s="316">
        <v>1180152.5</v>
      </c>
      <c r="G213" s="320">
        <v>5.766723471956856E-3</v>
      </c>
    </row>
    <row r="214" spans="1:7" x14ac:dyDescent="0.25">
      <c r="A214" s="308" t="s">
        <v>108</v>
      </c>
      <c r="B214" s="311">
        <v>410237</v>
      </c>
      <c r="C214" s="311">
        <v>106397</v>
      </c>
      <c r="D214" s="312">
        <v>0.25935495823146132</v>
      </c>
      <c r="E214" s="314">
        <v>4.1577156519659599</v>
      </c>
      <c r="F214" s="311">
        <v>3981316.25</v>
      </c>
      <c r="G214" s="315">
        <v>1.9454392435010095E-2</v>
      </c>
    </row>
    <row r="215" spans="1:7" x14ac:dyDescent="0.25">
      <c r="A215" s="309" t="s">
        <v>205</v>
      </c>
      <c r="B215" s="316">
        <v>410237</v>
      </c>
      <c r="C215" s="316">
        <v>106397</v>
      </c>
      <c r="D215" s="317">
        <v>0.25935495823146132</v>
      </c>
      <c r="E215" s="319">
        <v>4.1577156519659599</v>
      </c>
      <c r="F215" s="316">
        <v>3981316.25</v>
      </c>
      <c r="G215" s="320">
        <v>1.9454392435010095E-2</v>
      </c>
    </row>
    <row r="216" spans="1:7" x14ac:dyDescent="0.25">
      <c r="A216" s="308" t="s">
        <v>109</v>
      </c>
      <c r="B216" s="311">
        <v>804317</v>
      </c>
      <c r="C216" s="311">
        <v>208647</v>
      </c>
      <c r="D216" s="312">
        <v>0.2594089146443504</v>
      </c>
      <c r="E216" s="314">
        <v>4.0623724254096372</v>
      </c>
      <c r="F216" s="311">
        <v>7628416.375</v>
      </c>
      <c r="G216" s="315">
        <v>3.7275663749873456E-2</v>
      </c>
    </row>
    <row r="217" spans="1:7" x14ac:dyDescent="0.25">
      <c r="A217" s="309" t="s">
        <v>204</v>
      </c>
      <c r="B217" s="316">
        <v>804317</v>
      </c>
      <c r="C217" s="316">
        <v>208647</v>
      </c>
      <c r="D217" s="317">
        <v>0.2594089146443504</v>
      </c>
      <c r="E217" s="319">
        <v>4.0623724254096372</v>
      </c>
      <c r="F217" s="316">
        <v>7628416.375</v>
      </c>
      <c r="G217" s="320">
        <v>3.7275663749873456E-2</v>
      </c>
    </row>
    <row r="218" spans="1:7" x14ac:dyDescent="0.25">
      <c r="A218" s="308" t="s">
        <v>111</v>
      </c>
      <c r="B218" s="311">
        <v>9629</v>
      </c>
      <c r="C218" s="311">
        <v>4076</v>
      </c>
      <c r="D218" s="312">
        <v>0.42330460068542941</v>
      </c>
      <c r="E218" s="314">
        <v>4.2026223966852037</v>
      </c>
      <c r="F218" s="311">
        <v>154169</v>
      </c>
      <c r="G218" s="315">
        <v>7.533348367673809E-4</v>
      </c>
    </row>
    <row r="219" spans="1:7" x14ac:dyDescent="0.25">
      <c r="A219" s="309" t="s">
        <v>202</v>
      </c>
      <c r="B219" s="316">
        <v>9629</v>
      </c>
      <c r="C219" s="316">
        <v>4076</v>
      </c>
      <c r="D219" s="317">
        <v>0.42330460068542941</v>
      </c>
      <c r="E219" s="319">
        <v>4.2026223966852037</v>
      </c>
      <c r="F219" s="316">
        <v>154169</v>
      </c>
      <c r="G219" s="320">
        <v>7.533348367673809E-4</v>
      </c>
    </row>
    <row r="220" spans="1:7" x14ac:dyDescent="0.25">
      <c r="A220" s="308" t="s">
        <v>112</v>
      </c>
      <c r="B220" s="311">
        <v>8099</v>
      </c>
      <c r="C220" s="311">
        <v>1986</v>
      </c>
      <c r="D220" s="312">
        <v>0.24521545869860475</v>
      </c>
      <c r="E220" s="314">
        <v>4.1186639812017454</v>
      </c>
      <c r="F220" s="311">
        <v>73617</v>
      </c>
      <c r="G220" s="315">
        <v>3.5972374912144646E-4</v>
      </c>
    </row>
    <row r="221" spans="1:7" x14ac:dyDescent="0.25">
      <c r="A221" s="309" t="s">
        <v>198</v>
      </c>
      <c r="B221" s="316">
        <v>8099</v>
      </c>
      <c r="C221" s="316">
        <v>1986</v>
      </c>
      <c r="D221" s="317">
        <v>0.24521545869860475</v>
      </c>
      <c r="E221" s="319">
        <v>4.1186639812017454</v>
      </c>
      <c r="F221" s="316">
        <v>73617</v>
      </c>
      <c r="G221" s="320">
        <v>3.5972374912144646E-4</v>
      </c>
    </row>
    <row r="222" spans="1:7" x14ac:dyDescent="0.25">
      <c r="A222" s="308" t="s">
        <v>113</v>
      </c>
      <c r="B222" s="311">
        <v>4204</v>
      </c>
      <c r="C222" s="311">
        <v>972</v>
      </c>
      <c r="D222" s="312">
        <v>0.23120837297811608</v>
      </c>
      <c r="E222" s="314">
        <v>3.8662551440329218</v>
      </c>
      <c r="F222" s="311">
        <v>33822</v>
      </c>
      <c r="G222" s="315">
        <v>1.6526857441603927E-4</v>
      </c>
    </row>
    <row r="223" spans="1:7" x14ac:dyDescent="0.25">
      <c r="A223" s="309" t="s">
        <v>199</v>
      </c>
      <c r="B223" s="316">
        <v>4204</v>
      </c>
      <c r="C223" s="316">
        <v>972</v>
      </c>
      <c r="D223" s="317">
        <v>0.23120837297811608</v>
      </c>
      <c r="E223" s="319">
        <v>3.8662551440329218</v>
      </c>
      <c r="F223" s="316">
        <v>33822</v>
      </c>
      <c r="G223" s="320">
        <v>1.6526857441603927E-4</v>
      </c>
    </row>
    <row r="224" spans="1:7" x14ac:dyDescent="0.25">
      <c r="A224" s="308" t="s">
        <v>114</v>
      </c>
      <c r="B224" s="311">
        <v>112639</v>
      </c>
      <c r="C224" s="311">
        <v>31491</v>
      </c>
      <c r="D224" s="312">
        <v>0.27957457008673725</v>
      </c>
      <c r="E224" s="314">
        <v>4.1437941704684578</v>
      </c>
      <c r="F224" s="311">
        <v>1174430</v>
      </c>
      <c r="G224" s="315">
        <v>5.7387609204490857E-3</v>
      </c>
    </row>
    <row r="225" spans="1:7" x14ac:dyDescent="0.25">
      <c r="A225" s="309" t="s">
        <v>196</v>
      </c>
      <c r="B225" s="316">
        <v>112639</v>
      </c>
      <c r="C225" s="316">
        <v>31491</v>
      </c>
      <c r="D225" s="317">
        <v>0.27957457008673725</v>
      </c>
      <c r="E225" s="319">
        <v>4.1437941704684578</v>
      </c>
      <c r="F225" s="316">
        <v>1174430</v>
      </c>
      <c r="G225" s="320">
        <v>5.7387609204490857E-3</v>
      </c>
    </row>
    <row r="226" spans="1:7" x14ac:dyDescent="0.25">
      <c r="A226" s="308" t="s">
        <v>115</v>
      </c>
      <c r="B226" s="311">
        <v>21593</v>
      </c>
      <c r="C226" s="311">
        <v>5994</v>
      </c>
      <c r="D226" s="312">
        <v>0.277589959709165</v>
      </c>
      <c r="E226" s="314">
        <v>4.3336299262225184</v>
      </c>
      <c r="F226" s="311">
        <v>233782</v>
      </c>
      <c r="G226" s="315">
        <v>1.1423575738906775E-3</v>
      </c>
    </row>
    <row r="227" spans="1:7" x14ac:dyDescent="0.25">
      <c r="A227" s="309" t="s">
        <v>195</v>
      </c>
      <c r="B227" s="316">
        <v>21593</v>
      </c>
      <c r="C227" s="316">
        <v>5994</v>
      </c>
      <c r="D227" s="317">
        <v>0.277589959709165</v>
      </c>
      <c r="E227" s="319">
        <v>4.3336299262225184</v>
      </c>
      <c r="F227" s="316">
        <v>233782</v>
      </c>
      <c r="G227" s="320">
        <v>1.1423575738906775E-3</v>
      </c>
    </row>
    <row r="228" spans="1:7" x14ac:dyDescent="0.25">
      <c r="A228" s="308" t="s">
        <v>116</v>
      </c>
      <c r="B228" s="311">
        <v>279094</v>
      </c>
      <c r="C228" s="311">
        <v>62083</v>
      </c>
      <c r="D228" s="312">
        <v>0.22244476771267027</v>
      </c>
      <c r="E228" s="314">
        <v>3.997266428276125</v>
      </c>
      <c r="F228" s="311">
        <v>2233460.625</v>
      </c>
      <c r="G228" s="315">
        <v>1.0913631763588968E-2</v>
      </c>
    </row>
    <row r="229" spans="1:7" x14ac:dyDescent="0.25">
      <c r="A229" s="309" t="s">
        <v>194</v>
      </c>
      <c r="B229" s="316">
        <v>279094</v>
      </c>
      <c r="C229" s="316">
        <v>62083</v>
      </c>
      <c r="D229" s="317">
        <v>0.22244476771267027</v>
      </c>
      <c r="E229" s="319">
        <v>3.997266428276125</v>
      </c>
      <c r="F229" s="316">
        <v>2233460.625</v>
      </c>
      <c r="G229" s="320">
        <v>1.0913631763588968E-2</v>
      </c>
    </row>
    <row r="230" spans="1:7" x14ac:dyDescent="0.25">
      <c r="A230" s="308" t="s">
        <v>538</v>
      </c>
      <c r="B230" s="311">
        <v>1318</v>
      </c>
      <c r="C230" s="311">
        <v>841</v>
      </c>
      <c r="D230" s="312">
        <v>0.63808801213960542</v>
      </c>
      <c r="E230" s="314">
        <v>4.6504161712247321</v>
      </c>
      <c r="F230" s="311">
        <v>35199</v>
      </c>
      <c r="G230" s="315">
        <v>1.7199717789811856E-4</v>
      </c>
    </row>
    <row r="231" spans="1:7" x14ac:dyDescent="0.25">
      <c r="A231" s="309" t="s">
        <v>381</v>
      </c>
      <c r="B231" s="316">
        <v>1318</v>
      </c>
      <c r="C231" s="316">
        <v>841</v>
      </c>
      <c r="D231" s="317">
        <v>0.63808801213960542</v>
      </c>
      <c r="E231" s="319">
        <v>4.6504161712247321</v>
      </c>
      <c r="F231" s="316">
        <v>35199</v>
      </c>
      <c r="G231" s="320">
        <v>1.7199717789811856E-4</v>
      </c>
    </row>
    <row r="232" spans="1:7" x14ac:dyDescent="0.25">
      <c r="A232" s="308" t="s">
        <v>117</v>
      </c>
      <c r="B232" s="311">
        <v>21147</v>
      </c>
      <c r="C232" s="311">
        <v>3522</v>
      </c>
      <c r="D232" s="312">
        <v>0.16654844658816853</v>
      </c>
      <c r="E232" s="314">
        <v>4.4638147517193509</v>
      </c>
      <c r="F232" s="311">
        <v>141494</v>
      </c>
      <c r="G232" s="315">
        <v>6.9139943434519131E-4</v>
      </c>
    </row>
    <row r="233" spans="1:7" x14ac:dyDescent="0.25">
      <c r="A233" s="309" t="s">
        <v>193</v>
      </c>
      <c r="B233" s="316">
        <v>21147</v>
      </c>
      <c r="C233" s="316">
        <v>3522</v>
      </c>
      <c r="D233" s="317">
        <v>0.16654844658816853</v>
      </c>
      <c r="E233" s="319">
        <v>4.4638147517193509</v>
      </c>
      <c r="F233" s="316">
        <v>141494</v>
      </c>
      <c r="G233" s="320">
        <v>6.9139943434519131E-4</v>
      </c>
    </row>
    <row r="234" spans="1:7" ht="24" x14ac:dyDescent="0.25">
      <c r="A234" s="308" t="s">
        <v>439</v>
      </c>
      <c r="B234" s="311">
        <v>219118</v>
      </c>
      <c r="C234" s="311">
        <v>51276</v>
      </c>
      <c r="D234" s="312">
        <v>0.23401089823747934</v>
      </c>
      <c r="E234" s="314">
        <v>4.573180760329719</v>
      </c>
      <c r="F234" s="311">
        <v>2110449.75</v>
      </c>
      <c r="G234" s="315">
        <v>1.0312548683081617E-2</v>
      </c>
    </row>
    <row r="235" spans="1:7" x14ac:dyDescent="0.25">
      <c r="A235" s="309" t="s">
        <v>192</v>
      </c>
      <c r="B235" s="316">
        <v>219118</v>
      </c>
      <c r="C235" s="316">
        <v>51276</v>
      </c>
      <c r="D235" s="317">
        <v>0.23401089823747934</v>
      </c>
      <c r="E235" s="319">
        <v>4.573180760329719</v>
      </c>
      <c r="F235" s="316">
        <v>2110449.75</v>
      </c>
      <c r="G235" s="320">
        <v>1.0312548683081617E-2</v>
      </c>
    </row>
    <row r="236" spans="1:7" x14ac:dyDescent="0.25">
      <c r="A236" s="308" t="s">
        <v>119</v>
      </c>
      <c r="B236" s="311">
        <v>163697</v>
      </c>
      <c r="C236" s="311">
        <v>17609</v>
      </c>
      <c r="D236" s="312">
        <v>0.10757069463704283</v>
      </c>
      <c r="E236" s="314">
        <v>4.0439051053438577</v>
      </c>
      <c r="F236" s="311">
        <v>640882.125</v>
      </c>
      <c r="G236" s="315">
        <v>3.1316206956262752E-3</v>
      </c>
    </row>
    <row r="237" spans="1:7" x14ac:dyDescent="0.25">
      <c r="A237" s="309" t="s">
        <v>191</v>
      </c>
      <c r="B237" s="316">
        <v>163697</v>
      </c>
      <c r="C237" s="316">
        <v>17609</v>
      </c>
      <c r="D237" s="317">
        <v>0.10757069463704283</v>
      </c>
      <c r="E237" s="319">
        <v>4.0439051053438577</v>
      </c>
      <c r="F237" s="316">
        <v>640882.125</v>
      </c>
      <c r="G237" s="320">
        <v>3.1316206956262752E-3</v>
      </c>
    </row>
    <row r="238" spans="1:7" ht="24" x14ac:dyDescent="0.25">
      <c r="A238" s="308" t="s">
        <v>120</v>
      </c>
      <c r="B238" s="311">
        <v>90872</v>
      </c>
      <c r="C238" s="311">
        <v>22390</v>
      </c>
      <c r="D238" s="312">
        <v>0.24639052733515274</v>
      </c>
      <c r="E238" s="314">
        <v>4.1408224157610043</v>
      </c>
      <c r="F238" s="311">
        <v>834417.125</v>
      </c>
      <c r="G238" s="315">
        <v>4.0773144319401584E-3</v>
      </c>
    </row>
    <row r="239" spans="1:7" x14ac:dyDescent="0.25">
      <c r="A239" s="309" t="s">
        <v>190</v>
      </c>
      <c r="B239" s="316">
        <v>90872</v>
      </c>
      <c r="C239" s="316">
        <v>22390</v>
      </c>
      <c r="D239" s="317">
        <v>0.24639052733515274</v>
      </c>
      <c r="E239" s="319">
        <v>4.1408224157610043</v>
      </c>
      <c r="F239" s="316">
        <v>834417.125</v>
      </c>
      <c r="G239" s="320">
        <v>4.0773144319401584E-3</v>
      </c>
    </row>
    <row r="240" spans="1:7" ht="24" x14ac:dyDescent="0.25">
      <c r="A240" s="308" t="s">
        <v>499</v>
      </c>
      <c r="B240" s="311">
        <v>957</v>
      </c>
      <c r="C240" s="311">
        <v>697</v>
      </c>
      <c r="D240" s="312">
        <v>0.7283176593521421</v>
      </c>
      <c r="E240" s="314">
        <v>4.5687868643392315</v>
      </c>
      <c r="F240" s="311">
        <v>28660</v>
      </c>
      <c r="G240" s="315">
        <v>1.400448625972351E-4</v>
      </c>
    </row>
    <row r="241" spans="1:7" x14ac:dyDescent="0.25">
      <c r="A241" s="309" t="s">
        <v>189</v>
      </c>
      <c r="B241" s="316">
        <v>957</v>
      </c>
      <c r="C241" s="316">
        <v>697</v>
      </c>
      <c r="D241" s="317">
        <v>0.7283176593521421</v>
      </c>
      <c r="E241" s="319">
        <v>4.5687868643392315</v>
      </c>
      <c r="F241" s="316">
        <v>28660</v>
      </c>
      <c r="G241" s="320">
        <v>1.400448625972351E-4</v>
      </c>
    </row>
    <row r="242" spans="1:7" x14ac:dyDescent="0.25">
      <c r="A242" s="308" t="s">
        <v>122</v>
      </c>
      <c r="B242" s="311">
        <v>201381</v>
      </c>
      <c r="C242" s="311">
        <v>60796</v>
      </c>
      <c r="D242" s="312">
        <v>0.30189541217890464</v>
      </c>
      <c r="E242" s="314">
        <v>4.1018017449978439</v>
      </c>
      <c r="F242" s="311">
        <v>2244358.25</v>
      </c>
      <c r="G242" s="315">
        <v>1.096688216120799E-2</v>
      </c>
    </row>
    <row r="243" spans="1:7" x14ac:dyDescent="0.25">
      <c r="A243" s="309" t="s">
        <v>185</v>
      </c>
      <c r="B243" s="316">
        <v>201381</v>
      </c>
      <c r="C243" s="316">
        <v>60796</v>
      </c>
      <c r="D243" s="317">
        <v>0.30189541217890464</v>
      </c>
      <c r="E243" s="319">
        <v>4.1018017449978439</v>
      </c>
      <c r="F243" s="316">
        <v>2244358.25</v>
      </c>
      <c r="G243" s="320">
        <v>1.096688216120799E-2</v>
      </c>
    </row>
    <row r="244" spans="1:7" x14ac:dyDescent="0.25">
      <c r="A244" s="308" t="s">
        <v>123</v>
      </c>
      <c r="B244" s="311">
        <v>14023</v>
      </c>
      <c r="C244" s="311">
        <v>5969</v>
      </c>
      <c r="D244" s="312">
        <v>0.42565784782143623</v>
      </c>
      <c r="E244" s="314">
        <v>4.2495485936598349</v>
      </c>
      <c r="F244" s="311">
        <v>228290</v>
      </c>
      <c r="G244" s="315">
        <v>1.1155213427188695E-3</v>
      </c>
    </row>
    <row r="245" spans="1:7" x14ac:dyDescent="0.25">
      <c r="A245" s="309" t="s">
        <v>184</v>
      </c>
      <c r="B245" s="316">
        <v>14023</v>
      </c>
      <c r="C245" s="316">
        <v>5969</v>
      </c>
      <c r="D245" s="317">
        <v>0.42565784782143623</v>
      </c>
      <c r="E245" s="319">
        <v>4.2495485936598349</v>
      </c>
      <c r="F245" s="316">
        <v>228290</v>
      </c>
      <c r="G245" s="320">
        <v>1.1155213427188695E-3</v>
      </c>
    </row>
    <row r="246" spans="1:7" x14ac:dyDescent="0.25">
      <c r="A246" s="308" t="s">
        <v>124</v>
      </c>
      <c r="B246" s="311">
        <v>158280</v>
      </c>
      <c r="C246" s="311">
        <v>70653</v>
      </c>
      <c r="D246" s="312">
        <v>0.446379833206975</v>
      </c>
      <c r="E246" s="314">
        <v>4.2670353307322015</v>
      </c>
      <c r="F246" s="311">
        <v>2713309.625</v>
      </c>
      <c r="G246" s="315">
        <v>1.3258376609102599E-2</v>
      </c>
    </row>
    <row r="247" spans="1:7" x14ac:dyDescent="0.25">
      <c r="A247" s="309" t="s">
        <v>179</v>
      </c>
      <c r="B247" s="316">
        <v>158280</v>
      </c>
      <c r="C247" s="316">
        <v>70653</v>
      </c>
      <c r="D247" s="317">
        <v>0.446379833206975</v>
      </c>
      <c r="E247" s="319">
        <v>4.2670353307322015</v>
      </c>
      <c r="F247" s="316">
        <v>2713309.625</v>
      </c>
      <c r="G247" s="320">
        <v>1.3258376609102599E-2</v>
      </c>
    </row>
    <row r="248" spans="1:7" ht="24" x14ac:dyDescent="0.25">
      <c r="A248" s="308" t="s">
        <v>125</v>
      </c>
      <c r="B248" s="311">
        <v>149328</v>
      </c>
      <c r="C248" s="311">
        <v>46462</v>
      </c>
      <c r="D248" s="312">
        <v>0.31114057644915888</v>
      </c>
      <c r="E248" s="314">
        <v>4.0668661725950477</v>
      </c>
      <c r="F248" s="311">
        <v>1700592.625</v>
      </c>
      <c r="G248" s="315">
        <v>8.3098136951150151E-3</v>
      </c>
    </row>
    <row r="249" spans="1:7" x14ac:dyDescent="0.25">
      <c r="A249" s="309" t="s">
        <v>177</v>
      </c>
      <c r="B249" s="316">
        <v>149328</v>
      </c>
      <c r="C249" s="316">
        <v>46462</v>
      </c>
      <c r="D249" s="317">
        <v>0.31114057644915888</v>
      </c>
      <c r="E249" s="319">
        <v>4.0668661725950477</v>
      </c>
      <c r="F249" s="316">
        <v>1700592.625</v>
      </c>
      <c r="G249" s="320">
        <v>8.3098136951150151E-3</v>
      </c>
    </row>
    <row r="250" spans="1:7" x14ac:dyDescent="0.25">
      <c r="A250" s="310" t="s">
        <v>13</v>
      </c>
      <c r="B250" s="321">
        <v>15498441</v>
      </c>
      <c r="C250" s="321">
        <v>5464312</v>
      </c>
      <c r="D250" s="322">
        <v>0.3525717199555749</v>
      </c>
      <c r="E250" s="324">
        <v>4.1613189694430979</v>
      </c>
      <c r="F250" s="321">
        <v>204648706.625</v>
      </c>
      <c r="G250" s="325">
        <v>1</v>
      </c>
    </row>
    <row r="253" spans="1:7" x14ac:dyDescent="0.25">
      <c r="A253" s="144" t="s">
        <v>573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95F4-634F-4EA5-8FFF-6E2317311325}">
  <sheetPr>
    <pageSetUpPr fitToPage="1"/>
  </sheetPr>
  <dimension ref="A1:CO146"/>
  <sheetViews>
    <sheetView showGridLines="0" zoomScaleNormal="100" workbookViewId="0">
      <pane ySplit="7" topLeftCell="A112" activePane="bottomLeft" state="frozen"/>
      <selection pane="bottomLeft" activeCell="A2" sqref="A2"/>
    </sheetView>
  </sheetViews>
  <sheetFormatPr defaultColWidth="9.140625" defaultRowHeight="12.75" x14ac:dyDescent="0.2"/>
  <cols>
    <col min="1" max="1" width="42.28515625" style="16" customWidth="1"/>
    <col min="2" max="2" width="9.5703125" style="16" customWidth="1"/>
    <col min="3" max="3" width="12.7109375" style="16" customWidth="1"/>
    <col min="4" max="5" width="11.7109375" style="16" customWidth="1"/>
    <col min="6" max="7" width="14.7109375" style="16" customWidth="1"/>
    <col min="8" max="9" width="12.7109375" style="16" customWidth="1"/>
    <col min="10" max="10" width="10.7109375" style="16" customWidth="1"/>
    <col min="11" max="12" width="12.7109375" style="16" customWidth="1"/>
    <col min="13" max="13" width="6.7109375" style="16" hidden="1" customWidth="1"/>
    <col min="14" max="14" width="42.28515625" style="16" customWidth="1"/>
    <col min="15" max="15" width="9.5703125" style="16" customWidth="1"/>
    <col min="16" max="16" width="13.7109375" style="16" customWidth="1"/>
    <col min="17" max="17" width="14.7109375" style="16" customWidth="1"/>
    <col min="18" max="18" width="12.7109375" style="16" customWidth="1"/>
    <col min="19" max="19" width="11.7109375" style="16" customWidth="1"/>
    <col min="20" max="20" width="14.7109375" style="16" customWidth="1"/>
    <col min="21" max="22" width="11.7109375" style="16" customWidth="1"/>
    <col min="23" max="24" width="14.7109375" style="16" customWidth="1"/>
    <col min="25" max="25" width="11.7109375" style="16" customWidth="1"/>
    <col min="26" max="26" width="6.7109375" style="16" hidden="1" customWidth="1"/>
    <col min="27" max="27" width="42.28515625" style="16" customWidth="1"/>
    <col min="28" max="28" width="9.5703125" style="16" customWidth="1"/>
    <col min="29" max="29" width="14.7109375" style="16" customWidth="1"/>
    <col min="30" max="31" width="11.7109375" style="16" customWidth="1"/>
    <col min="32" max="32" width="12.85546875" style="16" customWidth="1"/>
    <col min="33" max="33" width="11.7109375" style="16" customWidth="1"/>
    <col min="34" max="34" width="12.7109375" style="16" customWidth="1"/>
    <col min="35" max="36" width="11.7109375" style="16" customWidth="1"/>
    <col min="37" max="37" width="12.7109375" style="16" customWidth="1"/>
    <col min="38" max="38" width="11.7109375" style="16" customWidth="1"/>
    <col min="39" max="47" width="12.7109375" style="16" customWidth="1"/>
    <col min="48" max="16384" width="9.140625" style="16"/>
  </cols>
  <sheetData>
    <row r="1" spans="1:93" ht="12.75" customHeight="1" x14ac:dyDescent="0.25">
      <c r="A1" s="1" t="s">
        <v>527</v>
      </c>
      <c r="N1" s="1"/>
      <c r="AA1" s="1"/>
    </row>
    <row r="2" spans="1:93" ht="12.75" customHeight="1" x14ac:dyDescent="0.25">
      <c r="S2" s="144"/>
    </row>
    <row r="3" spans="1:93" ht="12.75" customHeight="1" x14ac:dyDescent="0.25">
      <c r="A3" s="144" t="s">
        <v>572</v>
      </c>
      <c r="G3" s="144"/>
      <c r="N3" s="90"/>
      <c r="Q3" s="141"/>
      <c r="S3" s="144"/>
      <c r="AA3" s="90"/>
      <c r="AE3" s="144"/>
      <c r="AF3" s="144"/>
      <c r="AG3" s="144"/>
      <c r="AH3" s="144"/>
      <c r="AI3" s="144"/>
    </row>
    <row r="4" spans="1:93" s="144" customFormat="1" ht="15" customHeight="1" x14ac:dyDescent="0.25"/>
    <row r="5" spans="1:93" ht="15.95" customHeight="1" x14ac:dyDescent="0.2">
      <c r="A5" s="230" t="s">
        <v>537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2"/>
      <c r="N5" s="230" t="s">
        <v>537</v>
      </c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2"/>
      <c r="AA5" s="230" t="s">
        <v>537</v>
      </c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2"/>
    </row>
    <row r="6" spans="1:93" ht="12.75" customHeight="1" x14ac:dyDescent="0.2">
      <c r="A6" s="123"/>
      <c r="B6" s="124"/>
      <c r="C6" s="127">
        <v>1</v>
      </c>
      <c r="D6" s="127">
        <v>2</v>
      </c>
      <c r="E6" s="127">
        <v>3</v>
      </c>
      <c r="F6" s="127">
        <v>4</v>
      </c>
      <c r="G6" s="127">
        <v>5</v>
      </c>
      <c r="H6" s="127">
        <v>6</v>
      </c>
      <c r="I6" s="127">
        <v>7</v>
      </c>
      <c r="J6" s="127">
        <v>8</v>
      </c>
      <c r="K6" s="127">
        <v>9</v>
      </c>
      <c r="L6" s="128">
        <v>10</v>
      </c>
      <c r="M6" s="224"/>
      <c r="N6" s="123"/>
      <c r="O6" s="124"/>
      <c r="P6" s="127">
        <v>11</v>
      </c>
      <c r="Q6" s="127">
        <v>12</v>
      </c>
      <c r="R6" s="127">
        <v>13</v>
      </c>
      <c r="S6" s="127">
        <v>14</v>
      </c>
      <c r="T6" s="127">
        <v>15</v>
      </c>
      <c r="U6" s="127">
        <v>16</v>
      </c>
      <c r="V6" s="127">
        <v>17</v>
      </c>
      <c r="W6" s="127">
        <v>18</v>
      </c>
      <c r="X6" s="127">
        <v>19</v>
      </c>
      <c r="Y6" s="128">
        <v>20</v>
      </c>
      <c r="Z6" s="224"/>
      <c r="AA6" s="123"/>
      <c r="AB6" s="124"/>
      <c r="AC6" s="127">
        <v>21</v>
      </c>
      <c r="AD6" s="127">
        <v>22</v>
      </c>
      <c r="AE6" s="127">
        <v>23</v>
      </c>
      <c r="AF6" s="127">
        <v>24</v>
      </c>
      <c r="AG6" s="127">
        <v>25</v>
      </c>
      <c r="AH6" s="127">
        <v>26</v>
      </c>
      <c r="AI6" s="127">
        <v>27</v>
      </c>
      <c r="AJ6" s="127">
        <v>28</v>
      </c>
      <c r="AK6" s="127">
        <v>29</v>
      </c>
      <c r="AL6" s="128">
        <v>30</v>
      </c>
    </row>
    <row r="7" spans="1:93" ht="54.75" customHeight="1" x14ac:dyDescent="0.2">
      <c r="A7" s="129" t="s">
        <v>0</v>
      </c>
      <c r="B7" s="130" t="s">
        <v>384</v>
      </c>
      <c r="C7" s="131" t="s">
        <v>401</v>
      </c>
      <c r="D7" s="132" t="s">
        <v>398</v>
      </c>
      <c r="E7" s="131" t="s">
        <v>142</v>
      </c>
      <c r="F7" s="131" t="s">
        <v>385</v>
      </c>
      <c r="G7" s="131" t="s">
        <v>525</v>
      </c>
      <c r="H7" s="131" t="s">
        <v>400</v>
      </c>
      <c r="I7" s="131" t="s">
        <v>386</v>
      </c>
      <c r="J7" s="131" t="s">
        <v>387</v>
      </c>
      <c r="K7" s="131" t="s">
        <v>388</v>
      </c>
      <c r="L7" s="133" t="s">
        <v>389</v>
      </c>
      <c r="M7" s="225"/>
      <c r="N7" s="129" t="s">
        <v>0</v>
      </c>
      <c r="O7" s="130" t="s">
        <v>384</v>
      </c>
      <c r="P7" s="131" t="s">
        <v>390</v>
      </c>
      <c r="Q7" s="131" t="s">
        <v>11</v>
      </c>
      <c r="R7" s="131" t="s">
        <v>402</v>
      </c>
      <c r="S7" s="131" t="s">
        <v>391</v>
      </c>
      <c r="T7" s="131" t="s">
        <v>392</v>
      </c>
      <c r="U7" s="131" t="s">
        <v>393</v>
      </c>
      <c r="V7" s="131" t="s">
        <v>394</v>
      </c>
      <c r="W7" s="131" t="s">
        <v>395</v>
      </c>
      <c r="X7" s="131" t="s">
        <v>465</v>
      </c>
      <c r="Y7" s="133" t="s">
        <v>396</v>
      </c>
      <c r="Z7" s="225"/>
      <c r="AA7" s="129" t="s">
        <v>0</v>
      </c>
      <c r="AB7" s="130" t="s">
        <v>384</v>
      </c>
      <c r="AC7" s="131" t="s">
        <v>397</v>
      </c>
      <c r="AD7" s="131" t="s">
        <v>403</v>
      </c>
      <c r="AE7" s="131" t="s">
        <v>521</v>
      </c>
      <c r="AF7" s="131" t="s">
        <v>522</v>
      </c>
      <c r="AG7" s="131" t="s">
        <v>526</v>
      </c>
      <c r="AH7" s="131" t="s">
        <v>523</v>
      </c>
      <c r="AI7" s="131" t="s">
        <v>524</v>
      </c>
      <c r="AJ7" s="131" t="s">
        <v>404</v>
      </c>
      <c r="AK7" s="131" t="s">
        <v>466</v>
      </c>
      <c r="AL7" s="133" t="s">
        <v>464</v>
      </c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</row>
    <row r="8" spans="1:93" ht="15" customHeight="1" x14ac:dyDescent="0.2">
      <c r="A8" s="125" t="s">
        <v>380</v>
      </c>
      <c r="B8" s="16" t="s">
        <v>379</v>
      </c>
      <c r="C8" s="162">
        <v>4335</v>
      </c>
      <c r="D8" s="162">
        <v>670</v>
      </c>
      <c r="E8" s="226">
        <v>0.86114857234649356</v>
      </c>
      <c r="F8" s="180">
        <v>3733.1</v>
      </c>
      <c r="G8" s="162">
        <v>25476005</v>
      </c>
      <c r="H8" s="162">
        <v>148510</v>
      </c>
      <c r="I8" s="162">
        <v>25624515</v>
      </c>
      <c r="J8" s="162">
        <v>1960</v>
      </c>
      <c r="K8" s="180">
        <v>44314.051968999367</v>
      </c>
      <c r="L8" s="17">
        <v>398353</v>
      </c>
      <c r="M8" s="162"/>
      <c r="N8" s="125" t="s">
        <v>380</v>
      </c>
      <c r="O8" s="16" t="s">
        <v>379</v>
      </c>
      <c r="P8" s="180">
        <v>266120.2</v>
      </c>
      <c r="Q8" s="180">
        <v>310434.2</v>
      </c>
      <c r="R8" s="162">
        <v>8686261</v>
      </c>
      <c r="S8" s="162">
        <v>3479</v>
      </c>
      <c r="T8" s="180">
        <v>6926.6</v>
      </c>
      <c r="U8" s="162">
        <v>3333186</v>
      </c>
      <c r="V8" s="162">
        <v>30140</v>
      </c>
      <c r="W8" s="180">
        <v>65316.2</v>
      </c>
      <c r="X8" s="162">
        <v>315708</v>
      </c>
      <c r="Y8" s="17">
        <v>86265</v>
      </c>
      <c r="Z8" s="162"/>
      <c r="AA8" s="125" t="s">
        <v>380</v>
      </c>
      <c r="AB8" s="16" t="s">
        <v>379</v>
      </c>
      <c r="AC8" s="180">
        <v>363227.8</v>
      </c>
      <c r="AD8" s="162">
        <v>858433</v>
      </c>
      <c r="AE8" s="162">
        <v>4643995</v>
      </c>
      <c r="AF8" s="180">
        <v>11371153.5</v>
      </c>
      <c r="AG8" s="162">
        <v>809800</v>
      </c>
      <c r="AH8" s="180">
        <v>4431022.3</v>
      </c>
      <c r="AI8" s="162">
        <v>193471</v>
      </c>
      <c r="AJ8" s="162">
        <v>5510598</v>
      </c>
      <c r="AK8" s="162">
        <v>39821374</v>
      </c>
      <c r="AL8" s="17">
        <v>2250956</v>
      </c>
    </row>
    <row r="9" spans="1:93" ht="15" customHeight="1" x14ac:dyDescent="0.2">
      <c r="A9" s="125" t="s">
        <v>15</v>
      </c>
      <c r="B9" s="16" t="s">
        <v>321</v>
      </c>
      <c r="C9" s="162">
        <v>339</v>
      </c>
      <c r="D9" s="162">
        <v>15</v>
      </c>
      <c r="E9" s="226">
        <v>1.1460354682609952</v>
      </c>
      <c r="F9" s="180">
        <v>388.5</v>
      </c>
      <c r="G9" s="162">
        <v>2651262</v>
      </c>
      <c r="H9" s="162">
        <v>6822</v>
      </c>
      <c r="I9" s="162">
        <v>2658084</v>
      </c>
      <c r="J9" s="162">
        <v>180</v>
      </c>
      <c r="K9" s="180">
        <v>6636.1318379999984</v>
      </c>
      <c r="L9" s="17">
        <v>31929</v>
      </c>
      <c r="M9" s="162"/>
      <c r="N9" s="125" t="s">
        <v>15</v>
      </c>
      <c r="O9" s="16" t="s">
        <v>321</v>
      </c>
      <c r="P9" s="180">
        <v>31629.3</v>
      </c>
      <c r="Q9" s="180">
        <v>38265.4</v>
      </c>
      <c r="R9" s="162">
        <v>1069050</v>
      </c>
      <c r="S9" s="162">
        <v>274</v>
      </c>
      <c r="T9" s="180">
        <v>708.1</v>
      </c>
      <c r="U9" s="162">
        <v>340749</v>
      </c>
      <c r="V9" s="162">
        <v>3225</v>
      </c>
      <c r="W9" s="180">
        <v>4818.2</v>
      </c>
      <c r="X9" s="162">
        <v>23289</v>
      </c>
      <c r="Y9" s="17">
        <v>7114</v>
      </c>
      <c r="Z9" s="162"/>
      <c r="AA9" s="125" t="s">
        <v>15</v>
      </c>
      <c r="AB9" s="16" t="s">
        <v>321</v>
      </c>
      <c r="AC9" s="180">
        <v>31898.2</v>
      </c>
      <c r="AD9" s="162">
        <v>75386</v>
      </c>
      <c r="AE9" s="162">
        <v>330952</v>
      </c>
      <c r="AF9" s="180">
        <v>746811.1</v>
      </c>
      <c r="AG9" s="162">
        <v>53184</v>
      </c>
      <c r="AH9" s="180">
        <v>491703.3</v>
      </c>
      <c r="AI9" s="162">
        <v>21469</v>
      </c>
      <c r="AJ9" s="162">
        <v>514077</v>
      </c>
      <c r="AK9" s="162">
        <v>4241211</v>
      </c>
      <c r="AL9" s="17">
        <v>165105</v>
      </c>
    </row>
    <row r="10" spans="1:93" ht="15" customHeight="1" x14ac:dyDescent="0.2">
      <c r="A10" s="125" t="s">
        <v>16</v>
      </c>
      <c r="B10" s="16" t="s">
        <v>320</v>
      </c>
      <c r="C10" s="162">
        <v>102</v>
      </c>
      <c r="D10" s="162">
        <v>0</v>
      </c>
      <c r="E10" s="226">
        <v>6.2133090880650732</v>
      </c>
      <c r="F10" s="180">
        <v>633.79999999999995</v>
      </c>
      <c r="G10" s="162">
        <v>4325277</v>
      </c>
      <c r="H10" s="162">
        <v>0</v>
      </c>
      <c r="I10" s="162">
        <v>4325277</v>
      </c>
      <c r="J10" s="162">
        <v>15</v>
      </c>
      <c r="K10" s="180">
        <v>3488.4000000000005</v>
      </c>
      <c r="L10" s="17">
        <v>2537</v>
      </c>
      <c r="M10" s="162"/>
      <c r="N10" s="125" t="s">
        <v>16</v>
      </c>
      <c r="O10" s="16" t="s">
        <v>320</v>
      </c>
      <c r="P10" s="180">
        <v>8591.7000000000007</v>
      </c>
      <c r="Q10" s="180">
        <v>12080.099999999999</v>
      </c>
      <c r="R10" s="162">
        <v>337491</v>
      </c>
      <c r="S10" s="162">
        <v>2</v>
      </c>
      <c r="T10" s="180">
        <v>22.1</v>
      </c>
      <c r="U10" s="162">
        <v>10635</v>
      </c>
      <c r="V10" s="162">
        <v>307</v>
      </c>
      <c r="W10" s="180">
        <v>307</v>
      </c>
      <c r="X10" s="162">
        <v>1484</v>
      </c>
      <c r="Y10" s="17">
        <v>881</v>
      </c>
      <c r="Z10" s="162"/>
      <c r="AA10" s="125" t="s">
        <v>16</v>
      </c>
      <c r="AB10" s="16" t="s">
        <v>320</v>
      </c>
      <c r="AC10" s="180">
        <v>2341.3000000000002</v>
      </c>
      <c r="AD10" s="162">
        <v>5533</v>
      </c>
      <c r="AE10" s="162">
        <v>29302</v>
      </c>
      <c r="AF10" s="180">
        <v>48233.599999999999</v>
      </c>
      <c r="AG10" s="162">
        <v>3435</v>
      </c>
      <c r="AH10" s="180">
        <v>36927</v>
      </c>
      <c r="AI10" s="162">
        <v>1612</v>
      </c>
      <c r="AJ10" s="162">
        <v>22699</v>
      </c>
      <c r="AK10" s="162">
        <v>4685467</v>
      </c>
      <c r="AL10" s="17">
        <v>144545</v>
      </c>
    </row>
    <row r="11" spans="1:93" ht="15" customHeight="1" x14ac:dyDescent="0.2">
      <c r="A11" s="125" t="s">
        <v>488</v>
      </c>
      <c r="B11" s="16" t="s">
        <v>487</v>
      </c>
      <c r="C11" s="162">
        <v>1770</v>
      </c>
      <c r="D11" s="162">
        <v>0</v>
      </c>
      <c r="E11" s="226">
        <v>5.2561723772528604</v>
      </c>
      <c r="F11" s="180">
        <v>9303.4</v>
      </c>
      <c r="G11" s="162">
        <v>63489718</v>
      </c>
      <c r="H11" s="162">
        <v>27433</v>
      </c>
      <c r="I11" s="162">
        <v>63517151</v>
      </c>
      <c r="J11" s="162">
        <v>349</v>
      </c>
      <c r="K11" s="180">
        <v>97409.971782000168</v>
      </c>
      <c r="L11" s="17">
        <v>66450</v>
      </c>
      <c r="M11" s="162"/>
      <c r="N11" s="125" t="s">
        <v>488</v>
      </c>
      <c r="O11" s="16" t="s">
        <v>487</v>
      </c>
      <c r="P11" s="180">
        <v>267040.2</v>
      </c>
      <c r="Q11" s="180">
        <v>364450.19999999995</v>
      </c>
      <c r="R11" s="162">
        <v>10181914</v>
      </c>
      <c r="S11" s="162">
        <v>274</v>
      </c>
      <c r="T11" s="180">
        <v>1620.1</v>
      </c>
      <c r="U11" s="162">
        <v>779617</v>
      </c>
      <c r="V11" s="162">
        <v>5504</v>
      </c>
      <c r="W11" s="180">
        <v>9019.7999999999993</v>
      </c>
      <c r="X11" s="162">
        <v>43597</v>
      </c>
      <c r="Y11" s="17">
        <v>16843</v>
      </c>
      <c r="Z11" s="162"/>
      <c r="AA11" s="125" t="s">
        <v>488</v>
      </c>
      <c r="AB11" s="16" t="s">
        <v>487</v>
      </c>
      <c r="AC11" s="180">
        <v>80434</v>
      </c>
      <c r="AD11" s="162">
        <v>190093</v>
      </c>
      <c r="AE11" s="162">
        <v>836109</v>
      </c>
      <c r="AF11" s="180">
        <v>1887571.4</v>
      </c>
      <c r="AG11" s="162">
        <v>134424</v>
      </c>
      <c r="AH11" s="180">
        <v>1161337</v>
      </c>
      <c r="AI11" s="162">
        <v>50707</v>
      </c>
      <c r="AJ11" s="162">
        <v>1198438</v>
      </c>
      <c r="AK11" s="162">
        <v>74897503</v>
      </c>
      <c r="AL11" s="17">
        <v>3018199</v>
      </c>
    </row>
    <row r="12" spans="1:93" ht="15" customHeight="1" x14ac:dyDescent="0.2">
      <c r="A12" s="125" t="s">
        <v>17</v>
      </c>
      <c r="B12" s="16" t="s">
        <v>319</v>
      </c>
      <c r="C12" s="162">
        <v>1177</v>
      </c>
      <c r="D12" s="162">
        <v>0</v>
      </c>
      <c r="E12" s="226">
        <v>5.4480939642878905</v>
      </c>
      <c r="F12" s="180">
        <v>6412.4</v>
      </c>
      <c r="G12" s="162">
        <v>43760503</v>
      </c>
      <c r="H12" s="162">
        <v>5000</v>
      </c>
      <c r="I12" s="162">
        <v>43765503</v>
      </c>
      <c r="J12" s="162">
        <v>222</v>
      </c>
      <c r="K12" s="180">
        <v>72312.47713800006</v>
      </c>
      <c r="L12" s="17">
        <v>43077</v>
      </c>
      <c r="M12" s="162"/>
      <c r="N12" s="125" t="s">
        <v>17</v>
      </c>
      <c r="O12" s="16" t="s">
        <v>319</v>
      </c>
      <c r="P12" s="180">
        <v>198788.9</v>
      </c>
      <c r="Q12" s="180">
        <v>271101.40000000002</v>
      </c>
      <c r="R12" s="162">
        <v>7580023</v>
      </c>
      <c r="S12" s="162">
        <v>133</v>
      </c>
      <c r="T12" s="180">
        <v>876.8</v>
      </c>
      <c r="U12" s="162">
        <v>421930</v>
      </c>
      <c r="V12" s="162">
        <v>3529</v>
      </c>
      <c r="W12" s="180">
        <v>5597.5</v>
      </c>
      <c r="X12" s="162">
        <v>27056</v>
      </c>
      <c r="Y12" s="17">
        <v>8603</v>
      </c>
      <c r="Z12" s="162"/>
      <c r="AA12" s="125" t="s">
        <v>17</v>
      </c>
      <c r="AB12" s="16" t="s">
        <v>319</v>
      </c>
      <c r="AC12" s="180">
        <v>36071.5</v>
      </c>
      <c r="AD12" s="162">
        <v>85249</v>
      </c>
      <c r="AE12" s="162">
        <v>407006</v>
      </c>
      <c r="AF12" s="180">
        <v>876180.8</v>
      </c>
      <c r="AG12" s="162">
        <v>62397</v>
      </c>
      <c r="AH12" s="180">
        <v>378345</v>
      </c>
      <c r="AI12" s="162">
        <v>16520</v>
      </c>
      <c r="AJ12" s="162">
        <v>613152</v>
      </c>
      <c r="AK12" s="162">
        <v>51958678</v>
      </c>
      <c r="AL12" s="17">
        <v>2827118</v>
      </c>
    </row>
    <row r="13" spans="1:93" ht="15" customHeight="1" x14ac:dyDescent="0.2">
      <c r="A13" s="125" t="s">
        <v>147</v>
      </c>
      <c r="B13" s="16" t="s">
        <v>317</v>
      </c>
      <c r="C13" s="162">
        <v>75</v>
      </c>
      <c r="D13" s="162">
        <v>0</v>
      </c>
      <c r="E13" s="226">
        <v>0.72549506833038502</v>
      </c>
      <c r="F13" s="180">
        <v>54.4</v>
      </c>
      <c r="G13" s="162">
        <v>371245</v>
      </c>
      <c r="H13" s="162">
        <v>7000</v>
      </c>
      <c r="I13" s="162">
        <v>378245</v>
      </c>
      <c r="J13" s="162">
        <v>142</v>
      </c>
      <c r="K13" s="180">
        <v>1816.0730729999973</v>
      </c>
      <c r="L13" s="17">
        <v>24250</v>
      </c>
      <c r="M13" s="162"/>
      <c r="N13" s="125" t="s">
        <v>147</v>
      </c>
      <c r="O13" s="16" t="s">
        <v>317</v>
      </c>
      <c r="P13" s="180">
        <v>4867.2</v>
      </c>
      <c r="Q13" s="180">
        <v>6683.3</v>
      </c>
      <c r="R13" s="162">
        <v>187473</v>
      </c>
      <c r="S13" s="162">
        <v>60</v>
      </c>
      <c r="T13" s="180">
        <v>119</v>
      </c>
      <c r="U13" s="162">
        <v>57265</v>
      </c>
      <c r="V13" s="162">
        <v>1019</v>
      </c>
      <c r="W13" s="180">
        <v>2008.4</v>
      </c>
      <c r="X13" s="162">
        <v>9708</v>
      </c>
      <c r="Y13" s="17">
        <v>3683</v>
      </c>
      <c r="Z13" s="162"/>
      <c r="AA13" s="125" t="s">
        <v>147</v>
      </c>
      <c r="AB13" s="16" t="s">
        <v>317</v>
      </c>
      <c r="AC13" s="180">
        <v>15007.1</v>
      </c>
      <c r="AD13" s="162">
        <v>35467</v>
      </c>
      <c r="AE13" s="162">
        <v>274150</v>
      </c>
      <c r="AF13" s="180">
        <v>671275.9</v>
      </c>
      <c r="AG13" s="162">
        <v>47805</v>
      </c>
      <c r="AH13" s="180">
        <v>201491</v>
      </c>
      <c r="AI13" s="162">
        <v>8798</v>
      </c>
      <c r="AJ13" s="162">
        <v>159043</v>
      </c>
      <c r="AK13" s="162">
        <v>724761</v>
      </c>
      <c r="AL13" s="17">
        <v>27082</v>
      </c>
    </row>
    <row r="14" spans="1:93" ht="15" customHeight="1" x14ac:dyDescent="0.2">
      <c r="A14" s="125" t="s">
        <v>19</v>
      </c>
      <c r="B14" s="16" t="s">
        <v>316</v>
      </c>
      <c r="C14" s="162">
        <v>1809</v>
      </c>
      <c r="D14" s="162">
        <v>10</v>
      </c>
      <c r="E14" s="226">
        <v>1.088960463644298</v>
      </c>
      <c r="F14" s="180">
        <v>1969.9</v>
      </c>
      <c r="G14" s="162">
        <v>13443300</v>
      </c>
      <c r="H14" s="162">
        <v>70114</v>
      </c>
      <c r="I14" s="162">
        <v>13513414</v>
      </c>
      <c r="J14" s="162">
        <v>560</v>
      </c>
      <c r="K14" s="180">
        <v>28665.789515999983</v>
      </c>
      <c r="L14" s="17">
        <v>120038</v>
      </c>
      <c r="M14" s="162"/>
      <c r="N14" s="125" t="s">
        <v>19</v>
      </c>
      <c r="O14" s="16" t="s">
        <v>316</v>
      </c>
      <c r="P14" s="180">
        <v>115392.1</v>
      </c>
      <c r="Q14" s="180">
        <v>144057.9</v>
      </c>
      <c r="R14" s="162">
        <v>4024652</v>
      </c>
      <c r="S14" s="162">
        <v>1213</v>
      </c>
      <c r="T14" s="180">
        <v>3209.3</v>
      </c>
      <c r="U14" s="162">
        <v>1544364</v>
      </c>
      <c r="V14" s="162">
        <v>5994</v>
      </c>
      <c r="W14" s="180">
        <v>13458</v>
      </c>
      <c r="X14" s="162">
        <v>65050</v>
      </c>
      <c r="Y14" s="17">
        <v>20671</v>
      </c>
      <c r="Z14" s="162"/>
      <c r="AA14" s="125" t="s">
        <v>19</v>
      </c>
      <c r="AB14" s="16" t="s">
        <v>316</v>
      </c>
      <c r="AC14" s="180">
        <v>99531.3</v>
      </c>
      <c r="AD14" s="162">
        <v>235227</v>
      </c>
      <c r="AE14" s="162">
        <v>805633</v>
      </c>
      <c r="AF14" s="180">
        <v>1902783.1</v>
      </c>
      <c r="AG14" s="162">
        <v>135507</v>
      </c>
      <c r="AH14" s="180">
        <v>891490</v>
      </c>
      <c r="AI14" s="162">
        <v>38925</v>
      </c>
      <c r="AJ14" s="162">
        <v>2019073</v>
      </c>
      <c r="AK14" s="162">
        <v>19557139</v>
      </c>
      <c r="AL14" s="17">
        <v>1356794</v>
      </c>
    </row>
    <row r="15" spans="1:93" ht="15" customHeight="1" x14ac:dyDescent="0.2">
      <c r="A15" s="125" t="s">
        <v>148</v>
      </c>
      <c r="B15" s="16" t="s">
        <v>175</v>
      </c>
      <c r="C15" s="162">
        <v>3095</v>
      </c>
      <c r="D15" s="162">
        <v>220</v>
      </c>
      <c r="E15" s="226">
        <v>0.97987834544302499</v>
      </c>
      <c r="F15" s="180">
        <v>3032.7</v>
      </c>
      <c r="G15" s="162">
        <v>20696226</v>
      </c>
      <c r="H15" s="162">
        <v>96755</v>
      </c>
      <c r="I15" s="162">
        <v>20792981</v>
      </c>
      <c r="J15" s="162">
        <v>1527</v>
      </c>
      <c r="K15" s="180">
        <v>52873.852636000345</v>
      </c>
      <c r="L15" s="17">
        <v>299576</v>
      </c>
      <c r="M15" s="162"/>
      <c r="N15" s="125" t="s">
        <v>148</v>
      </c>
      <c r="O15" s="16" t="s">
        <v>175</v>
      </c>
      <c r="P15" s="180">
        <v>227972.6</v>
      </c>
      <c r="Q15" s="180">
        <v>280846.5</v>
      </c>
      <c r="R15" s="162">
        <v>7846216</v>
      </c>
      <c r="S15" s="162">
        <v>2400</v>
      </c>
      <c r="T15" s="180">
        <v>5563.3</v>
      </c>
      <c r="U15" s="162">
        <v>2677145</v>
      </c>
      <c r="V15" s="162">
        <v>17965</v>
      </c>
      <c r="W15" s="180">
        <v>38280.6</v>
      </c>
      <c r="X15" s="162">
        <v>185030</v>
      </c>
      <c r="Y15" s="17">
        <v>55394</v>
      </c>
      <c r="Z15" s="162"/>
      <c r="AA15" s="125" t="s">
        <v>148</v>
      </c>
      <c r="AB15" s="16" t="s">
        <v>175</v>
      </c>
      <c r="AC15" s="180">
        <v>241967.8</v>
      </c>
      <c r="AD15" s="162">
        <v>571854</v>
      </c>
      <c r="AE15" s="162">
        <v>2435898</v>
      </c>
      <c r="AF15" s="180">
        <v>5339301.4000000004</v>
      </c>
      <c r="AG15" s="162">
        <v>380240</v>
      </c>
      <c r="AH15" s="180">
        <v>2522914.5</v>
      </c>
      <c r="AI15" s="162">
        <v>110158</v>
      </c>
      <c r="AJ15" s="162">
        <v>3924427</v>
      </c>
      <c r="AK15" s="162">
        <v>32563624</v>
      </c>
      <c r="AL15" s="17">
        <v>1973663</v>
      </c>
    </row>
    <row r="16" spans="1:93" ht="15" customHeight="1" x14ac:dyDescent="0.2">
      <c r="A16" s="125" t="s">
        <v>20</v>
      </c>
      <c r="B16" s="16" t="s">
        <v>315</v>
      </c>
      <c r="C16" s="162">
        <v>2</v>
      </c>
      <c r="D16" s="162">
        <v>2</v>
      </c>
      <c r="E16" s="226">
        <v>0.790686</v>
      </c>
      <c r="F16" s="180">
        <v>1.6</v>
      </c>
      <c r="G16" s="162">
        <v>10919</v>
      </c>
      <c r="H16" s="162">
        <v>0</v>
      </c>
      <c r="I16" s="162">
        <v>10919</v>
      </c>
      <c r="J16" s="162">
        <v>0</v>
      </c>
      <c r="K16" s="180">
        <v>0</v>
      </c>
      <c r="L16" s="17">
        <v>0</v>
      </c>
      <c r="M16" s="162"/>
      <c r="N16" s="125" t="s">
        <v>20</v>
      </c>
      <c r="O16" s="16" t="s">
        <v>315</v>
      </c>
      <c r="P16" s="180">
        <v>0</v>
      </c>
      <c r="Q16" s="180">
        <v>0</v>
      </c>
      <c r="R16" s="162">
        <v>0</v>
      </c>
      <c r="S16" s="162">
        <v>7</v>
      </c>
      <c r="T16" s="180">
        <v>12</v>
      </c>
      <c r="U16" s="162">
        <v>5775</v>
      </c>
      <c r="V16" s="162">
        <v>83</v>
      </c>
      <c r="W16" s="180">
        <v>143</v>
      </c>
      <c r="X16" s="162">
        <v>691</v>
      </c>
      <c r="Y16" s="17">
        <v>303</v>
      </c>
      <c r="Z16" s="162"/>
      <c r="AA16" s="125" t="s">
        <v>20</v>
      </c>
      <c r="AB16" s="16" t="s">
        <v>315</v>
      </c>
      <c r="AC16" s="180">
        <v>909</v>
      </c>
      <c r="AD16" s="162">
        <v>2148</v>
      </c>
      <c r="AE16" s="162">
        <v>5203</v>
      </c>
      <c r="AF16" s="180">
        <v>12101.6</v>
      </c>
      <c r="AG16" s="162">
        <v>862</v>
      </c>
      <c r="AH16" s="180">
        <v>7175</v>
      </c>
      <c r="AI16" s="162">
        <v>313</v>
      </c>
      <c r="AJ16" s="162">
        <v>9789</v>
      </c>
      <c r="AK16" s="162">
        <v>20708</v>
      </c>
      <c r="AL16" s="17">
        <v>0</v>
      </c>
    </row>
    <row r="17" spans="1:38" ht="15" customHeight="1" x14ac:dyDescent="0.2">
      <c r="A17" s="125" t="s">
        <v>21</v>
      </c>
      <c r="B17" s="16" t="s">
        <v>314</v>
      </c>
      <c r="C17" s="162">
        <v>7196</v>
      </c>
      <c r="D17" s="162">
        <v>250</v>
      </c>
      <c r="E17" s="226">
        <v>1.0069060917680845</v>
      </c>
      <c r="F17" s="180">
        <v>7245.7</v>
      </c>
      <c r="G17" s="162">
        <v>49447239</v>
      </c>
      <c r="H17" s="162">
        <v>217753</v>
      </c>
      <c r="I17" s="162">
        <v>49664992</v>
      </c>
      <c r="J17" s="162">
        <v>2400</v>
      </c>
      <c r="K17" s="180">
        <v>107865.02240399957</v>
      </c>
      <c r="L17" s="17">
        <v>484552</v>
      </c>
      <c r="M17" s="162"/>
      <c r="N17" s="125" t="s">
        <v>21</v>
      </c>
      <c r="O17" s="16" t="s">
        <v>314</v>
      </c>
      <c r="P17" s="180">
        <v>415286.3</v>
      </c>
      <c r="Q17" s="180">
        <v>523151.3</v>
      </c>
      <c r="R17" s="162">
        <v>14615665</v>
      </c>
      <c r="S17" s="162">
        <v>3688</v>
      </c>
      <c r="T17" s="180">
        <v>11340.6</v>
      </c>
      <c r="U17" s="162">
        <v>5457270</v>
      </c>
      <c r="V17" s="162">
        <v>21487</v>
      </c>
      <c r="W17" s="180">
        <v>47553.7</v>
      </c>
      <c r="X17" s="162">
        <v>229852</v>
      </c>
      <c r="Y17" s="17">
        <v>71003</v>
      </c>
      <c r="Z17" s="162"/>
      <c r="AA17" s="125" t="s">
        <v>21</v>
      </c>
      <c r="AB17" s="16" t="s">
        <v>314</v>
      </c>
      <c r="AC17" s="180">
        <v>369868.1</v>
      </c>
      <c r="AD17" s="162">
        <v>874126</v>
      </c>
      <c r="AE17" s="162">
        <v>3031495</v>
      </c>
      <c r="AF17" s="180">
        <v>7129627.5</v>
      </c>
      <c r="AG17" s="162">
        <v>507738</v>
      </c>
      <c r="AH17" s="180">
        <v>3080936.8</v>
      </c>
      <c r="AI17" s="162">
        <v>134523</v>
      </c>
      <c r="AJ17" s="162">
        <v>7203509</v>
      </c>
      <c r="AK17" s="162">
        <v>71484166</v>
      </c>
      <c r="AL17" s="17">
        <v>0</v>
      </c>
    </row>
    <row r="18" spans="1:38" ht="15" customHeight="1" x14ac:dyDescent="0.2">
      <c r="A18" s="125" t="s">
        <v>22</v>
      </c>
      <c r="B18" s="16" t="s">
        <v>313</v>
      </c>
      <c r="C18" s="162">
        <v>3023</v>
      </c>
      <c r="D18" s="162">
        <v>200</v>
      </c>
      <c r="E18" s="226">
        <v>1.1065535581045247</v>
      </c>
      <c r="F18" s="180">
        <v>3345.1</v>
      </c>
      <c r="G18" s="162">
        <v>22828155</v>
      </c>
      <c r="H18" s="162">
        <v>108629</v>
      </c>
      <c r="I18" s="162">
        <v>22936784</v>
      </c>
      <c r="J18" s="162">
        <v>1110</v>
      </c>
      <c r="K18" s="180">
        <v>54382.343405000378</v>
      </c>
      <c r="L18" s="17">
        <v>214123.5</v>
      </c>
      <c r="M18" s="162"/>
      <c r="N18" s="125" t="s">
        <v>22</v>
      </c>
      <c r="O18" s="16" t="s">
        <v>313</v>
      </c>
      <c r="P18" s="180">
        <v>205716.3</v>
      </c>
      <c r="Q18" s="180">
        <v>260098.6</v>
      </c>
      <c r="R18" s="162">
        <v>7266567</v>
      </c>
      <c r="S18" s="162">
        <v>1637</v>
      </c>
      <c r="T18" s="180">
        <v>5375.8</v>
      </c>
      <c r="U18" s="162">
        <v>2586917</v>
      </c>
      <c r="V18" s="162">
        <v>12233</v>
      </c>
      <c r="W18" s="180">
        <v>25533.5</v>
      </c>
      <c r="X18" s="162">
        <v>123417</v>
      </c>
      <c r="Y18" s="17">
        <v>37073</v>
      </c>
      <c r="Z18" s="162"/>
      <c r="AA18" s="125" t="s">
        <v>22</v>
      </c>
      <c r="AB18" s="16" t="s">
        <v>313</v>
      </c>
      <c r="AC18" s="180">
        <v>172021.6</v>
      </c>
      <c r="AD18" s="162">
        <v>406547</v>
      </c>
      <c r="AE18" s="162">
        <v>2057532</v>
      </c>
      <c r="AF18" s="180">
        <v>5038014.0999999996</v>
      </c>
      <c r="AG18" s="162">
        <v>358784</v>
      </c>
      <c r="AH18" s="180">
        <v>4889225.5</v>
      </c>
      <c r="AI18" s="162">
        <v>213478</v>
      </c>
      <c r="AJ18" s="162">
        <v>3689143</v>
      </c>
      <c r="AK18" s="162">
        <v>33892494</v>
      </c>
      <c r="AL18" s="17">
        <v>0</v>
      </c>
    </row>
    <row r="19" spans="1:38" ht="15" customHeight="1" x14ac:dyDescent="0.2">
      <c r="A19" s="125" t="s">
        <v>23</v>
      </c>
      <c r="B19" s="16" t="s">
        <v>311</v>
      </c>
      <c r="C19" s="162">
        <v>2546</v>
      </c>
      <c r="D19" s="162">
        <v>90</v>
      </c>
      <c r="E19" s="226">
        <v>1.2285448279651416</v>
      </c>
      <c r="F19" s="180">
        <v>3127.9</v>
      </c>
      <c r="G19" s="162">
        <v>21345904</v>
      </c>
      <c r="H19" s="162">
        <v>125056</v>
      </c>
      <c r="I19" s="162">
        <v>21470960</v>
      </c>
      <c r="J19" s="162">
        <v>830</v>
      </c>
      <c r="K19" s="180">
        <v>51975.590906000201</v>
      </c>
      <c r="L19" s="17">
        <v>163877.5</v>
      </c>
      <c r="M19" s="162"/>
      <c r="N19" s="125" t="s">
        <v>23</v>
      </c>
      <c r="O19" s="16" t="s">
        <v>311</v>
      </c>
      <c r="P19" s="180">
        <v>177840.3</v>
      </c>
      <c r="Q19" s="180">
        <v>229815.90000000002</v>
      </c>
      <c r="R19" s="162">
        <v>6420538</v>
      </c>
      <c r="S19" s="162">
        <v>1402</v>
      </c>
      <c r="T19" s="180">
        <v>4308.2</v>
      </c>
      <c r="U19" s="162">
        <v>2073172</v>
      </c>
      <c r="V19" s="162">
        <v>18050</v>
      </c>
      <c r="W19" s="180">
        <v>31104.400000000001</v>
      </c>
      <c r="X19" s="162">
        <v>150344</v>
      </c>
      <c r="Y19" s="17">
        <v>26642</v>
      </c>
      <c r="Z19" s="162"/>
      <c r="AA19" s="125" t="s">
        <v>23</v>
      </c>
      <c r="AB19" s="16" t="s">
        <v>311</v>
      </c>
      <c r="AC19" s="180">
        <v>124800.5</v>
      </c>
      <c r="AD19" s="162">
        <v>294947</v>
      </c>
      <c r="AE19" s="162">
        <v>2050729</v>
      </c>
      <c r="AF19" s="180">
        <v>4553011.9000000004</v>
      </c>
      <c r="AG19" s="162">
        <v>324244</v>
      </c>
      <c r="AH19" s="180">
        <v>2777597</v>
      </c>
      <c r="AI19" s="162">
        <v>121278</v>
      </c>
      <c r="AJ19" s="162">
        <v>2963985</v>
      </c>
      <c r="AK19" s="162">
        <v>30855483</v>
      </c>
      <c r="AL19" s="17">
        <v>1748831</v>
      </c>
    </row>
    <row r="20" spans="1:38" ht="15" customHeight="1" x14ac:dyDescent="0.2">
      <c r="A20" s="125" t="s">
        <v>24</v>
      </c>
      <c r="B20" s="16" t="s">
        <v>310</v>
      </c>
      <c r="C20" s="162">
        <v>25</v>
      </c>
      <c r="D20" s="162">
        <v>0</v>
      </c>
      <c r="E20" s="226">
        <v>0.75057772043010607</v>
      </c>
      <c r="F20" s="180">
        <v>18.8</v>
      </c>
      <c r="G20" s="162">
        <v>128298</v>
      </c>
      <c r="H20" s="162">
        <v>0</v>
      </c>
      <c r="I20" s="162">
        <v>128298</v>
      </c>
      <c r="J20" s="162">
        <v>14</v>
      </c>
      <c r="K20" s="180">
        <v>319.41000000000003</v>
      </c>
      <c r="L20" s="17">
        <v>2060</v>
      </c>
      <c r="M20" s="162"/>
      <c r="N20" s="125" t="s">
        <v>24</v>
      </c>
      <c r="O20" s="16" t="s">
        <v>310</v>
      </c>
      <c r="P20" s="180">
        <v>1044.4000000000001</v>
      </c>
      <c r="Q20" s="180">
        <v>1363.8</v>
      </c>
      <c r="R20" s="162">
        <v>38256</v>
      </c>
      <c r="S20" s="162">
        <v>27</v>
      </c>
      <c r="T20" s="180">
        <v>66.5</v>
      </c>
      <c r="U20" s="162">
        <v>32001</v>
      </c>
      <c r="V20" s="162">
        <v>207</v>
      </c>
      <c r="W20" s="180">
        <v>225.8</v>
      </c>
      <c r="X20" s="162">
        <v>1091</v>
      </c>
      <c r="Y20" s="17">
        <v>586</v>
      </c>
      <c r="Z20" s="162"/>
      <c r="AA20" s="125" t="s">
        <v>24</v>
      </c>
      <c r="AB20" s="16" t="s">
        <v>310</v>
      </c>
      <c r="AC20" s="180">
        <v>1917.8</v>
      </c>
      <c r="AD20" s="162">
        <v>4532</v>
      </c>
      <c r="AE20" s="162">
        <v>18743</v>
      </c>
      <c r="AF20" s="180">
        <v>33296</v>
      </c>
      <c r="AG20" s="162">
        <v>2371</v>
      </c>
      <c r="AH20" s="180">
        <v>22176</v>
      </c>
      <c r="AI20" s="162">
        <v>968</v>
      </c>
      <c r="AJ20" s="162">
        <v>40963</v>
      </c>
      <c r="AK20" s="162">
        <v>207517</v>
      </c>
      <c r="AL20" s="17">
        <v>0</v>
      </c>
    </row>
    <row r="21" spans="1:38" ht="15" customHeight="1" x14ac:dyDescent="0.2">
      <c r="A21" s="125" t="s">
        <v>470</v>
      </c>
      <c r="B21" s="16" t="s">
        <v>318</v>
      </c>
      <c r="C21" s="162">
        <v>20</v>
      </c>
      <c r="D21" s="162">
        <v>0</v>
      </c>
      <c r="E21" s="226">
        <v>0.95000000000000207</v>
      </c>
      <c r="F21" s="180">
        <v>19</v>
      </c>
      <c r="G21" s="162">
        <v>129663</v>
      </c>
      <c r="H21" s="162">
        <v>1325000</v>
      </c>
      <c r="I21" s="162">
        <v>1454663</v>
      </c>
      <c r="J21" s="162">
        <v>0</v>
      </c>
      <c r="K21" s="180">
        <v>0</v>
      </c>
      <c r="L21" s="17">
        <v>0</v>
      </c>
      <c r="M21" s="162"/>
      <c r="N21" s="125" t="s">
        <v>470</v>
      </c>
      <c r="O21" s="16" t="s">
        <v>318</v>
      </c>
      <c r="P21" s="180">
        <v>0</v>
      </c>
      <c r="Q21" s="180">
        <v>0</v>
      </c>
      <c r="R21" s="162">
        <v>0</v>
      </c>
      <c r="S21" s="162">
        <v>0</v>
      </c>
      <c r="T21" s="180">
        <v>0</v>
      </c>
      <c r="U21" s="162">
        <v>0</v>
      </c>
      <c r="V21" s="162">
        <v>0</v>
      </c>
      <c r="W21" s="180">
        <v>0</v>
      </c>
      <c r="X21" s="162">
        <v>0</v>
      </c>
      <c r="Y21" s="17">
        <v>0</v>
      </c>
      <c r="Z21" s="162"/>
      <c r="AA21" s="125" t="s">
        <v>470</v>
      </c>
      <c r="AB21" s="16" t="s">
        <v>318</v>
      </c>
      <c r="AC21" s="180">
        <v>0</v>
      </c>
      <c r="AD21" s="162">
        <v>0</v>
      </c>
      <c r="AE21" s="162">
        <v>0</v>
      </c>
      <c r="AF21" s="180">
        <v>0</v>
      </c>
      <c r="AG21" s="162">
        <v>0</v>
      </c>
      <c r="AH21" s="180">
        <v>0</v>
      </c>
      <c r="AI21" s="162">
        <v>0</v>
      </c>
      <c r="AJ21" s="162">
        <v>0</v>
      </c>
      <c r="AK21" s="162">
        <v>1454663</v>
      </c>
      <c r="AL21" s="17">
        <v>42884</v>
      </c>
    </row>
    <row r="22" spans="1:38" ht="15" customHeight="1" x14ac:dyDescent="0.2">
      <c r="A22" s="125" t="s">
        <v>25</v>
      </c>
      <c r="B22" s="16" t="s">
        <v>309</v>
      </c>
      <c r="C22" s="162">
        <v>107</v>
      </c>
      <c r="D22" s="162">
        <v>0</v>
      </c>
      <c r="E22" s="226">
        <v>1.6481001221586118</v>
      </c>
      <c r="F22" s="180">
        <v>176.3</v>
      </c>
      <c r="G22" s="162">
        <v>1203134</v>
      </c>
      <c r="H22" s="162">
        <v>0</v>
      </c>
      <c r="I22" s="162">
        <v>1203134</v>
      </c>
      <c r="J22" s="162">
        <v>47</v>
      </c>
      <c r="K22" s="180">
        <v>2370.9416109999993</v>
      </c>
      <c r="L22" s="17">
        <v>12400</v>
      </c>
      <c r="M22" s="162"/>
      <c r="N22" s="125" t="s">
        <v>25</v>
      </c>
      <c r="O22" s="16" t="s">
        <v>309</v>
      </c>
      <c r="P22" s="180">
        <v>11076.1</v>
      </c>
      <c r="Q22" s="180">
        <v>13447</v>
      </c>
      <c r="R22" s="162">
        <v>375952</v>
      </c>
      <c r="S22" s="162">
        <v>71</v>
      </c>
      <c r="T22" s="180">
        <v>213</v>
      </c>
      <c r="U22" s="162">
        <v>102499</v>
      </c>
      <c r="V22" s="162">
        <v>842</v>
      </c>
      <c r="W22" s="180">
        <v>957.6</v>
      </c>
      <c r="X22" s="162">
        <v>4629</v>
      </c>
      <c r="Y22" s="17">
        <v>1985</v>
      </c>
      <c r="Z22" s="162"/>
      <c r="AA22" s="125" t="s">
        <v>25</v>
      </c>
      <c r="AB22" s="16" t="s">
        <v>309</v>
      </c>
      <c r="AC22" s="180">
        <v>7023.8</v>
      </c>
      <c r="AD22" s="162">
        <v>16600</v>
      </c>
      <c r="AE22" s="162">
        <v>30236</v>
      </c>
      <c r="AF22" s="180">
        <v>69706.399999999994</v>
      </c>
      <c r="AG22" s="162">
        <v>4964</v>
      </c>
      <c r="AH22" s="180">
        <v>20181</v>
      </c>
      <c r="AI22" s="162">
        <v>881</v>
      </c>
      <c r="AJ22" s="162">
        <v>129573</v>
      </c>
      <c r="AK22" s="162">
        <v>1708659</v>
      </c>
      <c r="AL22" s="17">
        <v>304080</v>
      </c>
    </row>
    <row r="23" spans="1:38" ht="15" customHeight="1" x14ac:dyDescent="0.2">
      <c r="A23" s="125" t="s">
        <v>383</v>
      </c>
      <c r="B23" s="16" t="s">
        <v>308</v>
      </c>
      <c r="C23" s="162">
        <v>20</v>
      </c>
      <c r="D23" s="162">
        <v>0</v>
      </c>
      <c r="E23" s="226">
        <v>1.715204177354392</v>
      </c>
      <c r="F23" s="180">
        <v>34.299999999999997</v>
      </c>
      <c r="G23" s="162">
        <v>234075</v>
      </c>
      <c r="H23" s="162">
        <v>0</v>
      </c>
      <c r="I23" s="162">
        <v>234075</v>
      </c>
      <c r="J23" s="162">
        <v>3</v>
      </c>
      <c r="K23" s="180">
        <v>209.52</v>
      </c>
      <c r="L23" s="17">
        <v>540</v>
      </c>
      <c r="M23" s="162"/>
      <c r="N23" s="125" t="s">
        <v>383</v>
      </c>
      <c r="O23" s="16" t="s">
        <v>308</v>
      </c>
      <c r="P23" s="180">
        <v>503.9</v>
      </c>
      <c r="Q23" s="180">
        <v>713.4</v>
      </c>
      <c r="R23" s="162">
        <v>20012</v>
      </c>
      <c r="S23" s="162">
        <v>4</v>
      </c>
      <c r="T23" s="180">
        <v>15.3</v>
      </c>
      <c r="U23" s="162">
        <v>7363</v>
      </c>
      <c r="V23" s="162">
        <v>0</v>
      </c>
      <c r="W23" s="180">
        <v>0</v>
      </c>
      <c r="X23" s="162">
        <v>0</v>
      </c>
      <c r="Y23" s="17">
        <v>0</v>
      </c>
      <c r="Z23" s="162"/>
      <c r="AA23" s="125" t="s">
        <v>383</v>
      </c>
      <c r="AB23" s="16" t="s">
        <v>308</v>
      </c>
      <c r="AC23" s="180">
        <v>0</v>
      </c>
      <c r="AD23" s="162">
        <v>0</v>
      </c>
      <c r="AE23" s="162">
        <v>0</v>
      </c>
      <c r="AF23" s="180">
        <v>0</v>
      </c>
      <c r="AG23" s="162">
        <v>0</v>
      </c>
      <c r="AH23" s="180">
        <v>0</v>
      </c>
      <c r="AI23" s="162">
        <v>0</v>
      </c>
      <c r="AJ23" s="162">
        <v>7363</v>
      </c>
      <c r="AK23" s="162">
        <v>261450</v>
      </c>
      <c r="AL23" s="17">
        <v>0</v>
      </c>
    </row>
    <row r="24" spans="1:38" ht="15" customHeight="1" x14ac:dyDescent="0.2">
      <c r="A24" s="125" t="s">
        <v>128</v>
      </c>
      <c r="B24" s="16" t="s">
        <v>307</v>
      </c>
      <c r="C24" s="162">
        <v>29</v>
      </c>
      <c r="D24" s="162">
        <v>0</v>
      </c>
      <c r="E24" s="226">
        <v>0.74527666193464259</v>
      </c>
      <c r="F24" s="180">
        <v>21.6</v>
      </c>
      <c r="G24" s="162">
        <v>147406</v>
      </c>
      <c r="H24" s="162">
        <v>0</v>
      </c>
      <c r="I24" s="162">
        <v>147406</v>
      </c>
      <c r="J24" s="162">
        <v>124</v>
      </c>
      <c r="K24" s="180">
        <v>2153.2331059999965</v>
      </c>
      <c r="L24" s="17">
        <v>19460</v>
      </c>
      <c r="M24" s="162"/>
      <c r="N24" s="125" t="s">
        <v>128</v>
      </c>
      <c r="O24" s="16" t="s">
        <v>307</v>
      </c>
      <c r="P24" s="180">
        <v>1782.2</v>
      </c>
      <c r="Q24" s="180">
        <v>3935.5</v>
      </c>
      <c r="R24" s="162">
        <v>110394</v>
      </c>
      <c r="S24" s="162">
        <v>71</v>
      </c>
      <c r="T24" s="180">
        <v>195.5</v>
      </c>
      <c r="U24" s="162">
        <v>94078</v>
      </c>
      <c r="V24" s="162">
        <v>360</v>
      </c>
      <c r="W24" s="180">
        <v>751.5</v>
      </c>
      <c r="X24" s="162">
        <v>3632</v>
      </c>
      <c r="Y24" s="17">
        <v>1942</v>
      </c>
      <c r="Z24" s="162"/>
      <c r="AA24" s="125" t="s">
        <v>128</v>
      </c>
      <c r="AB24" s="16" t="s">
        <v>307</v>
      </c>
      <c r="AC24" s="180">
        <v>10039.6</v>
      </c>
      <c r="AD24" s="162">
        <v>23727</v>
      </c>
      <c r="AE24" s="162">
        <v>9240</v>
      </c>
      <c r="AF24" s="180">
        <v>9240</v>
      </c>
      <c r="AG24" s="162">
        <v>658</v>
      </c>
      <c r="AH24" s="180">
        <v>10395</v>
      </c>
      <c r="AI24" s="162">
        <v>454</v>
      </c>
      <c r="AJ24" s="162">
        <v>122549</v>
      </c>
      <c r="AK24" s="162">
        <v>380349</v>
      </c>
      <c r="AL24" s="17">
        <v>12166</v>
      </c>
    </row>
    <row r="25" spans="1:38" ht="15" customHeight="1" x14ac:dyDescent="0.2">
      <c r="A25" s="125" t="s">
        <v>26</v>
      </c>
      <c r="B25" s="16" t="s">
        <v>306</v>
      </c>
      <c r="C25" s="162">
        <v>136</v>
      </c>
      <c r="D25" s="162">
        <v>0</v>
      </c>
      <c r="E25" s="226">
        <v>1.0235978753973971</v>
      </c>
      <c r="F25" s="180">
        <v>139.19999999999999</v>
      </c>
      <c r="G25" s="162">
        <v>949950</v>
      </c>
      <c r="H25" s="162">
        <v>5000</v>
      </c>
      <c r="I25" s="162">
        <v>954950</v>
      </c>
      <c r="J25" s="162">
        <v>52</v>
      </c>
      <c r="K25" s="180">
        <v>1608.3084599999991</v>
      </c>
      <c r="L25" s="17">
        <v>12385</v>
      </c>
      <c r="M25" s="162"/>
      <c r="N25" s="125" t="s">
        <v>26</v>
      </c>
      <c r="O25" s="16" t="s">
        <v>306</v>
      </c>
      <c r="P25" s="180">
        <v>10379.799999999999</v>
      </c>
      <c r="Q25" s="180">
        <v>11988.1</v>
      </c>
      <c r="R25" s="162">
        <v>334921</v>
      </c>
      <c r="S25" s="162">
        <v>97</v>
      </c>
      <c r="T25" s="180">
        <v>221</v>
      </c>
      <c r="U25" s="162">
        <v>106349</v>
      </c>
      <c r="V25" s="162">
        <v>731</v>
      </c>
      <c r="W25" s="180">
        <v>1516.7</v>
      </c>
      <c r="X25" s="162">
        <v>7331</v>
      </c>
      <c r="Y25" s="17">
        <v>2087</v>
      </c>
      <c r="Z25" s="162"/>
      <c r="AA25" s="125" t="s">
        <v>26</v>
      </c>
      <c r="AB25" s="16" t="s">
        <v>306</v>
      </c>
      <c r="AC25" s="180">
        <v>10876.4</v>
      </c>
      <c r="AD25" s="162">
        <v>25705</v>
      </c>
      <c r="AE25" s="162">
        <v>262450</v>
      </c>
      <c r="AF25" s="180">
        <v>560929.69999999995</v>
      </c>
      <c r="AG25" s="162">
        <v>39947</v>
      </c>
      <c r="AH25" s="180">
        <v>263799</v>
      </c>
      <c r="AI25" s="162">
        <v>11518</v>
      </c>
      <c r="AJ25" s="162">
        <v>190850</v>
      </c>
      <c r="AK25" s="162">
        <v>1480721</v>
      </c>
      <c r="AL25" s="17">
        <v>67439</v>
      </c>
    </row>
    <row r="26" spans="1:38" ht="15" customHeight="1" x14ac:dyDescent="0.2">
      <c r="A26" s="125" t="s">
        <v>27</v>
      </c>
      <c r="B26" s="16" t="s">
        <v>305</v>
      </c>
      <c r="C26" s="162">
        <v>192</v>
      </c>
      <c r="D26" s="162">
        <v>0</v>
      </c>
      <c r="E26" s="226">
        <v>1.63805913163491</v>
      </c>
      <c r="F26" s="180">
        <v>314.5</v>
      </c>
      <c r="G26" s="162">
        <v>2146260</v>
      </c>
      <c r="H26" s="162">
        <v>16705</v>
      </c>
      <c r="I26" s="162">
        <v>2162965</v>
      </c>
      <c r="J26" s="162">
        <v>87</v>
      </c>
      <c r="K26" s="180">
        <v>5950.6838640000042</v>
      </c>
      <c r="L26" s="17">
        <v>17184</v>
      </c>
      <c r="M26" s="162"/>
      <c r="N26" s="125" t="s">
        <v>27</v>
      </c>
      <c r="O26" s="16" t="s">
        <v>305</v>
      </c>
      <c r="P26" s="180">
        <v>21822.400000000001</v>
      </c>
      <c r="Q26" s="180">
        <v>27773.1</v>
      </c>
      <c r="R26" s="162">
        <v>777916</v>
      </c>
      <c r="S26" s="162">
        <v>100</v>
      </c>
      <c r="T26" s="180">
        <v>323.8</v>
      </c>
      <c r="U26" s="162">
        <v>155818</v>
      </c>
      <c r="V26" s="162">
        <v>648</v>
      </c>
      <c r="W26" s="180">
        <v>1373.7</v>
      </c>
      <c r="X26" s="162">
        <v>6640</v>
      </c>
      <c r="Y26" s="17">
        <v>2236</v>
      </c>
      <c r="Z26" s="162"/>
      <c r="AA26" s="125" t="s">
        <v>27</v>
      </c>
      <c r="AB26" s="16" t="s">
        <v>305</v>
      </c>
      <c r="AC26" s="180">
        <v>11921.5</v>
      </c>
      <c r="AD26" s="162">
        <v>28175</v>
      </c>
      <c r="AE26" s="162">
        <v>305459</v>
      </c>
      <c r="AF26" s="180">
        <v>707326</v>
      </c>
      <c r="AG26" s="162">
        <v>50372</v>
      </c>
      <c r="AH26" s="180">
        <v>169521</v>
      </c>
      <c r="AI26" s="162">
        <v>7402</v>
      </c>
      <c r="AJ26" s="162">
        <v>248407</v>
      </c>
      <c r="AK26" s="162">
        <v>3189288</v>
      </c>
      <c r="AL26" s="17">
        <v>311689</v>
      </c>
    </row>
    <row r="27" spans="1:38" ht="15" customHeight="1" x14ac:dyDescent="0.2">
      <c r="A27" s="125" t="s">
        <v>143</v>
      </c>
      <c r="B27" s="16" t="s">
        <v>304</v>
      </c>
      <c r="C27" s="162">
        <v>30</v>
      </c>
      <c r="D27" s="162">
        <v>0</v>
      </c>
      <c r="E27" s="226">
        <v>0.72540000000000249</v>
      </c>
      <c r="F27" s="180">
        <v>21.8</v>
      </c>
      <c r="G27" s="162">
        <v>148771</v>
      </c>
      <c r="H27" s="162">
        <v>0</v>
      </c>
      <c r="I27" s="162">
        <v>148771</v>
      </c>
      <c r="J27" s="162">
        <v>26</v>
      </c>
      <c r="K27" s="180">
        <v>264.654</v>
      </c>
      <c r="L27" s="17">
        <v>4680</v>
      </c>
      <c r="M27" s="162"/>
      <c r="N27" s="125" t="s">
        <v>143</v>
      </c>
      <c r="O27" s="16" t="s">
        <v>304</v>
      </c>
      <c r="P27" s="180">
        <v>1703.5</v>
      </c>
      <c r="Q27" s="180">
        <v>1968.2</v>
      </c>
      <c r="R27" s="162">
        <v>55210</v>
      </c>
      <c r="S27" s="162">
        <v>20</v>
      </c>
      <c r="T27" s="180">
        <v>41.9</v>
      </c>
      <c r="U27" s="162">
        <v>20163</v>
      </c>
      <c r="V27" s="162">
        <v>216</v>
      </c>
      <c r="W27" s="180">
        <v>466.3</v>
      </c>
      <c r="X27" s="162">
        <v>2254</v>
      </c>
      <c r="Y27" s="17">
        <v>693</v>
      </c>
      <c r="Z27" s="162"/>
      <c r="AA27" s="125" t="s">
        <v>143</v>
      </c>
      <c r="AB27" s="16" t="s">
        <v>304</v>
      </c>
      <c r="AC27" s="180">
        <v>3086.5</v>
      </c>
      <c r="AD27" s="162">
        <v>7294</v>
      </c>
      <c r="AE27" s="162">
        <v>31296</v>
      </c>
      <c r="AF27" s="180">
        <v>71602.8</v>
      </c>
      <c r="AG27" s="162">
        <v>5099</v>
      </c>
      <c r="AH27" s="180">
        <v>115618</v>
      </c>
      <c r="AI27" s="162">
        <v>5048</v>
      </c>
      <c r="AJ27" s="162">
        <v>39858</v>
      </c>
      <c r="AK27" s="162">
        <v>243839</v>
      </c>
      <c r="AL27" s="17">
        <v>4450</v>
      </c>
    </row>
    <row r="28" spans="1:38" ht="15" customHeight="1" x14ac:dyDescent="0.2">
      <c r="A28" s="125" t="s">
        <v>28</v>
      </c>
      <c r="B28" s="16" t="s">
        <v>303</v>
      </c>
      <c r="C28" s="162">
        <v>9489</v>
      </c>
      <c r="D28" s="162">
        <v>230</v>
      </c>
      <c r="E28" s="226">
        <v>1.156871095076428</v>
      </c>
      <c r="F28" s="180">
        <v>10977.5</v>
      </c>
      <c r="G28" s="162">
        <v>74914373</v>
      </c>
      <c r="H28" s="162">
        <v>228824</v>
      </c>
      <c r="I28" s="162">
        <v>75143197</v>
      </c>
      <c r="J28" s="162">
        <v>2659</v>
      </c>
      <c r="K28" s="180">
        <v>148025.79428300034</v>
      </c>
      <c r="L28" s="17">
        <v>520190</v>
      </c>
      <c r="M28" s="162"/>
      <c r="N28" s="125" t="s">
        <v>28</v>
      </c>
      <c r="O28" s="16" t="s">
        <v>303</v>
      </c>
      <c r="P28" s="180">
        <v>500008.2</v>
      </c>
      <c r="Q28" s="180">
        <v>648034</v>
      </c>
      <c r="R28" s="162">
        <v>18104606</v>
      </c>
      <c r="S28" s="162">
        <v>4943</v>
      </c>
      <c r="T28" s="180">
        <v>14892.4</v>
      </c>
      <c r="U28" s="162">
        <v>7166450</v>
      </c>
      <c r="V28" s="162">
        <v>25110</v>
      </c>
      <c r="W28" s="180">
        <v>57906.6</v>
      </c>
      <c r="X28" s="162">
        <v>279893</v>
      </c>
      <c r="Y28" s="17">
        <v>54790</v>
      </c>
      <c r="Z28" s="162"/>
      <c r="AA28" s="125" t="s">
        <v>28</v>
      </c>
      <c r="AB28" s="16" t="s">
        <v>303</v>
      </c>
      <c r="AC28" s="180">
        <v>324432.40000000002</v>
      </c>
      <c r="AD28" s="162">
        <v>766746</v>
      </c>
      <c r="AE28" s="162">
        <v>4756269</v>
      </c>
      <c r="AF28" s="180">
        <v>11217317.9</v>
      </c>
      <c r="AG28" s="162">
        <v>798844</v>
      </c>
      <c r="AH28" s="180">
        <v>3726075.4</v>
      </c>
      <c r="AI28" s="162">
        <v>162691</v>
      </c>
      <c r="AJ28" s="162">
        <v>9174624</v>
      </c>
      <c r="AK28" s="162">
        <v>102422427</v>
      </c>
      <c r="AL28" s="17">
        <v>0</v>
      </c>
    </row>
    <row r="29" spans="1:38" ht="15" customHeight="1" x14ac:dyDescent="0.2">
      <c r="A29" s="125" t="s">
        <v>29</v>
      </c>
      <c r="B29" s="16" t="s">
        <v>300</v>
      </c>
      <c r="C29" s="162">
        <v>61</v>
      </c>
      <c r="D29" s="162">
        <v>0</v>
      </c>
      <c r="E29" s="226">
        <v>1.4774553535207851</v>
      </c>
      <c r="F29" s="180">
        <v>90.1</v>
      </c>
      <c r="G29" s="162">
        <v>614875</v>
      </c>
      <c r="H29" s="162">
        <v>120000</v>
      </c>
      <c r="I29" s="162">
        <v>734875</v>
      </c>
      <c r="J29" s="162">
        <v>33</v>
      </c>
      <c r="K29" s="180">
        <v>2601.7197299999998</v>
      </c>
      <c r="L29" s="17">
        <v>5568</v>
      </c>
      <c r="M29" s="162"/>
      <c r="N29" s="125" t="s">
        <v>29</v>
      </c>
      <c r="O29" s="16" t="s">
        <v>300</v>
      </c>
      <c r="P29" s="180">
        <v>7384</v>
      </c>
      <c r="Q29" s="180">
        <v>9985.8000000000011</v>
      </c>
      <c r="R29" s="162">
        <v>281581</v>
      </c>
      <c r="S29" s="162">
        <v>83</v>
      </c>
      <c r="T29" s="180">
        <v>187.2</v>
      </c>
      <c r="U29" s="162">
        <v>90084</v>
      </c>
      <c r="V29" s="162">
        <v>471</v>
      </c>
      <c r="W29" s="180">
        <v>865</v>
      </c>
      <c r="X29" s="162">
        <v>4181</v>
      </c>
      <c r="Y29" s="17">
        <v>1136</v>
      </c>
      <c r="Z29" s="162"/>
      <c r="AA29" s="125" t="s">
        <v>29</v>
      </c>
      <c r="AB29" s="16" t="s">
        <v>300</v>
      </c>
      <c r="AC29" s="180">
        <v>3579.8</v>
      </c>
      <c r="AD29" s="162">
        <v>8460</v>
      </c>
      <c r="AE29" s="162">
        <v>20055</v>
      </c>
      <c r="AF29" s="180">
        <v>46670.7</v>
      </c>
      <c r="AG29" s="162">
        <v>3324</v>
      </c>
      <c r="AH29" s="180">
        <v>74150</v>
      </c>
      <c r="AI29" s="162">
        <v>3238</v>
      </c>
      <c r="AJ29" s="162">
        <v>109287</v>
      </c>
      <c r="AK29" s="162">
        <v>1125743</v>
      </c>
      <c r="AL29" s="17">
        <v>27564</v>
      </c>
    </row>
    <row r="30" spans="1:38" ht="15" customHeight="1" x14ac:dyDescent="0.2">
      <c r="A30" s="125" t="s">
        <v>30</v>
      </c>
      <c r="B30" s="16" t="s">
        <v>302</v>
      </c>
      <c r="C30" s="162">
        <v>2069</v>
      </c>
      <c r="D30" s="162">
        <v>0</v>
      </c>
      <c r="E30" s="226">
        <v>0.92177846068495983</v>
      </c>
      <c r="F30" s="180">
        <v>1907.2</v>
      </c>
      <c r="G30" s="162">
        <v>13015413</v>
      </c>
      <c r="H30" s="162">
        <v>0</v>
      </c>
      <c r="I30" s="162">
        <v>13015413</v>
      </c>
      <c r="J30" s="162">
        <v>727</v>
      </c>
      <c r="K30" s="180">
        <v>31414.443840000084</v>
      </c>
      <c r="L30" s="17">
        <v>132696.5</v>
      </c>
      <c r="M30" s="162"/>
      <c r="N30" s="125" t="s">
        <v>30</v>
      </c>
      <c r="O30" s="16" t="s">
        <v>302</v>
      </c>
      <c r="P30" s="180">
        <v>107370.3</v>
      </c>
      <c r="Q30" s="180">
        <v>138784.69999999998</v>
      </c>
      <c r="R30" s="162">
        <v>3877332</v>
      </c>
      <c r="S30" s="162">
        <v>910</v>
      </c>
      <c r="T30" s="180">
        <v>3168.1</v>
      </c>
      <c r="U30" s="162">
        <v>1524538</v>
      </c>
      <c r="V30" s="162">
        <v>8698</v>
      </c>
      <c r="W30" s="180">
        <v>17609.599999999999</v>
      </c>
      <c r="X30" s="162">
        <v>85117</v>
      </c>
      <c r="Y30" s="17">
        <v>15149</v>
      </c>
      <c r="Z30" s="162"/>
      <c r="AA30" s="125" t="s">
        <v>30</v>
      </c>
      <c r="AB30" s="16" t="s">
        <v>302</v>
      </c>
      <c r="AC30" s="180">
        <v>92341.8</v>
      </c>
      <c r="AD30" s="162">
        <v>218236</v>
      </c>
      <c r="AE30" s="162">
        <v>1404352</v>
      </c>
      <c r="AF30" s="180">
        <v>3180472.2</v>
      </c>
      <c r="AG30" s="162">
        <v>226498</v>
      </c>
      <c r="AH30" s="180">
        <v>1000867.5</v>
      </c>
      <c r="AI30" s="162">
        <v>43701</v>
      </c>
      <c r="AJ30" s="162">
        <v>2098090</v>
      </c>
      <c r="AK30" s="162">
        <v>18990835</v>
      </c>
      <c r="AL30" s="17">
        <v>1405181</v>
      </c>
    </row>
    <row r="31" spans="1:38" ht="15" customHeight="1" x14ac:dyDescent="0.2">
      <c r="A31" s="125" t="s">
        <v>31</v>
      </c>
      <c r="B31" s="16" t="s">
        <v>301</v>
      </c>
      <c r="C31" s="162">
        <v>310</v>
      </c>
      <c r="D31" s="162">
        <v>0</v>
      </c>
      <c r="E31" s="226">
        <v>1.5114262936099914</v>
      </c>
      <c r="F31" s="180">
        <v>468.5</v>
      </c>
      <c r="G31" s="162">
        <v>3197211</v>
      </c>
      <c r="H31" s="162">
        <v>12171</v>
      </c>
      <c r="I31" s="162">
        <v>3209382</v>
      </c>
      <c r="J31" s="162">
        <v>130</v>
      </c>
      <c r="K31" s="180">
        <v>8792.1361469999938</v>
      </c>
      <c r="L31" s="17">
        <v>21194</v>
      </c>
      <c r="M31" s="162"/>
      <c r="N31" s="125" t="s">
        <v>31</v>
      </c>
      <c r="O31" s="16" t="s">
        <v>301</v>
      </c>
      <c r="P31" s="180">
        <v>25864.3</v>
      </c>
      <c r="Q31" s="180">
        <v>34656.5</v>
      </c>
      <c r="R31" s="162">
        <v>968980</v>
      </c>
      <c r="S31" s="162">
        <v>230</v>
      </c>
      <c r="T31" s="180">
        <v>731.9</v>
      </c>
      <c r="U31" s="162">
        <v>352201</v>
      </c>
      <c r="V31" s="162">
        <v>958</v>
      </c>
      <c r="W31" s="180">
        <v>1968.3</v>
      </c>
      <c r="X31" s="162">
        <v>9514</v>
      </c>
      <c r="Y31" s="17">
        <v>2256</v>
      </c>
      <c r="Z31" s="162"/>
      <c r="AA31" s="125" t="s">
        <v>31</v>
      </c>
      <c r="AB31" s="16" t="s">
        <v>301</v>
      </c>
      <c r="AC31" s="180">
        <v>11644.5</v>
      </c>
      <c r="AD31" s="162">
        <v>27520</v>
      </c>
      <c r="AE31" s="162">
        <v>475647</v>
      </c>
      <c r="AF31" s="180">
        <v>1064430.1000000001</v>
      </c>
      <c r="AG31" s="162">
        <v>75804</v>
      </c>
      <c r="AH31" s="180">
        <v>197567.3</v>
      </c>
      <c r="AI31" s="162">
        <v>8626</v>
      </c>
      <c r="AJ31" s="162">
        <v>473665</v>
      </c>
      <c r="AK31" s="162">
        <v>4652027</v>
      </c>
      <c r="AL31" s="17">
        <v>369337</v>
      </c>
    </row>
    <row r="32" spans="1:38" ht="15" customHeight="1" x14ac:dyDescent="0.2">
      <c r="A32" s="125" t="s">
        <v>32</v>
      </c>
      <c r="B32" s="16" t="s">
        <v>298</v>
      </c>
      <c r="C32" s="162">
        <v>3725</v>
      </c>
      <c r="D32" s="162">
        <v>180</v>
      </c>
      <c r="E32" s="226">
        <v>1.0968055267594172</v>
      </c>
      <c r="F32" s="180">
        <v>4085.6</v>
      </c>
      <c r="G32" s="162">
        <v>27881591</v>
      </c>
      <c r="H32" s="162">
        <v>195239</v>
      </c>
      <c r="I32" s="162">
        <v>28076830</v>
      </c>
      <c r="J32" s="162">
        <v>1216</v>
      </c>
      <c r="K32" s="180">
        <v>57688.020739000058</v>
      </c>
      <c r="L32" s="17">
        <v>245604</v>
      </c>
      <c r="M32" s="162"/>
      <c r="N32" s="125" t="s">
        <v>32</v>
      </c>
      <c r="O32" s="16" t="s">
        <v>298</v>
      </c>
      <c r="P32" s="180">
        <v>223448.6</v>
      </c>
      <c r="Q32" s="180">
        <v>281136.60000000003</v>
      </c>
      <c r="R32" s="162">
        <v>7868681</v>
      </c>
      <c r="S32" s="162">
        <v>2423</v>
      </c>
      <c r="T32" s="180">
        <v>6242.2</v>
      </c>
      <c r="U32" s="162">
        <v>3003842</v>
      </c>
      <c r="V32" s="162">
        <v>11162</v>
      </c>
      <c r="W32" s="180">
        <v>26076.5</v>
      </c>
      <c r="X32" s="162">
        <v>126042</v>
      </c>
      <c r="Y32" s="17">
        <v>34732</v>
      </c>
      <c r="Z32" s="162"/>
      <c r="AA32" s="125" t="s">
        <v>32</v>
      </c>
      <c r="AB32" s="16" t="s">
        <v>298</v>
      </c>
      <c r="AC32" s="180">
        <v>178495.5</v>
      </c>
      <c r="AD32" s="162">
        <v>421847</v>
      </c>
      <c r="AE32" s="162">
        <v>1333431</v>
      </c>
      <c r="AF32" s="180">
        <v>3179755.6</v>
      </c>
      <c r="AG32" s="162">
        <v>226447</v>
      </c>
      <c r="AH32" s="180">
        <v>1528381.1</v>
      </c>
      <c r="AI32" s="162">
        <v>66734</v>
      </c>
      <c r="AJ32" s="162">
        <v>3844912</v>
      </c>
      <c r="AK32" s="162">
        <v>39790423</v>
      </c>
      <c r="AL32" s="17">
        <v>3800165</v>
      </c>
    </row>
    <row r="33" spans="1:38" ht="15" customHeight="1" x14ac:dyDescent="0.2">
      <c r="A33" s="125" t="s">
        <v>33</v>
      </c>
      <c r="B33" s="16" t="s">
        <v>297</v>
      </c>
      <c r="C33" s="162">
        <v>497</v>
      </c>
      <c r="D33" s="162">
        <v>0</v>
      </c>
      <c r="E33" s="226">
        <v>1.3102541231768667</v>
      </c>
      <c r="F33" s="180">
        <v>651.20000000000005</v>
      </c>
      <c r="G33" s="162">
        <v>4444021</v>
      </c>
      <c r="H33" s="162">
        <v>6000</v>
      </c>
      <c r="I33" s="162">
        <v>4450021</v>
      </c>
      <c r="J33" s="162">
        <v>203</v>
      </c>
      <c r="K33" s="180">
        <v>7343.4357479999926</v>
      </c>
      <c r="L33" s="17">
        <v>38810</v>
      </c>
      <c r="M33" s="162"/>
      <c r="N33" s="125" t="s">
        <v>33</v>
      </c>
      <c r="O33" s="16" t="s">
        <v>297</v>
      </c>
      <c r="P33" s="180">
        <v>35832.699999999997</v>
      </c>
      <c r="Q33" s="180">
        <v>43176.1</v>
      </c>
      <c r="R33" s="162">
        <v>1208375</v>
      </c>
      <c r="S33" s="162">
        <v>403</v>
      </c>
      <c r="T33" s="180">
        <v>818.6</v>
      </c>
      <c r="U33" s="162">
        <v>393923</v>
      </c>
      <c r="V33" s="162">
        <v>1662</v>
      </c>
      <c r="W33" s="180">
        <v>3788.8</v>
      </c>
      <c r="X33" s="162">
        <v>18313</v>
      </c>
      <c r="Y33" s="17">
        <v>5101</v>
      </c>
      <c r="Z33" s="162"/>
      <c r="AA33" s="125" t="s">
        <v>33</v>
      </c>
      <c r="AB33" s="16" t="s">
        <v>297</v>
      </c>
      <c r="AC33" s="180">
        <v>26703.7</v>
      </c>
      <c r="AD33" s="162">
        <v>63110</v>
      </c>
      <c r="AE33" s="162">
        <v>555312</v>
      </c>
      <c r="AF33" s="180">
        <v>1243519.1000000001</v>
      </c>
      <c r="AG33" s="162">
        <v>88558</v>
      </c>
      <c r="AH33" s="180">
        <v>863530</v>
      </c>
      <c r="AI33" s="162">
        <v>37704</v>
      </c>
      <c r="AJ33" s="162">
        <v>601608</v>
      </c>
      <c r="AK33" s="162">
        <v>6260004</v>
      </c>
      <c r="AL33" s="17">
        <v>556360</v>
      </c>
    </row>
    <row r="34" spans="1:38" ht="15" customHeight="1" x14ac:dyDescent="0.2">
      <c r="A34" s="125" t="s">
        <v>34</v>
      </c>
      <c r="B34" s="16" t="s">
        <v>295</v>
      </c>
      <c r="C34" s="162">
        <v>38</v>
      </c>
      <c r="D34" s="162">
        <v>0</v>
      </c>
      <c r="E34" s="226">
        <v>1.4118911237279919</v>
      </c>
      <c r="F34" s="180">
        <v>53.7</v>
      </c>
      <c r="G34" s="162">
        <v>366468</v>
      </c>
      <c r="H34" s="162">
        <v>0</v>
      </c>
      <c r="I34" s="162">
        <v>366468</v>
      </c>
      <c r="J34" s="162">
        <v>27</v>
      </c>
      <c r="K34" s="180">
        <v>1565.6760729999994</v>
      </c>
      <c r="L34" s="17">
        <v>4501</v>
      </c>
      <c r="M34" s="162"/>
      <c r="N34" s="125" t="s">
        <v>34</v>
      </c>
      <c r="O34" s="16" t="s">
        <v>295</v>
      </c>
      <c r="P34" s="180">
        <v>4020.7</v>
      </c>
      <c r="Q34" s="180">
        <v>5586.2999999999993</v>
      </c>
      <c r="R34" s="162">
        <v>156069</v>
      </c>
      <c r="S34" s="162">
        <v>24</v>
      </c>
      <c r="T34" s="180">
        <v>87.7</v>
      </c>
      <c r="U34" s="162">
        <v>42203</v>
      </c>
      <c r="V34" s="162">
        <v>133</v>
      </c>
      <c r="W34" s="180">
        <v>297.3</v>
      </c>
      <c r="X34" s="162">
        <v>1437</v>
      </c>
      <c r="Y34" s="17">
        <v>323</v>
      </c>
      <c r="Z34" s="162"/>
      <c r="AA34" s="125" t="s">
        <v>34</v>
      </c>
      <c r="AB34" s="16" t="s">
        <v>295</v>
      </c>
      <c r="AC34" s="180">
        <v>2143.8000000000002</v>
      </c>
      <c r="AD34" s="162">
        <v>5067</v>
      </c>
      <c r="AE34" s="162">
        <v>15000</v>
      </c>
      <c r="AF34" s="180">
        <v>35012.9</v>
      </c>
      <c r="AG34" s="162">
        <v>2493</v>
      </c>
      <c r="AH34" s="180">
        <v>40452</v>
      </c>
      <c r="AI34" s="162">
        <v>1766</v>
      </c>
      <c r="AJ34" s="162">
        <v>52966</v>
      </c>
      <c r="AK34" s="162">
        <v>575503</v>
      </c>
      <c r="AL34" s="17">
        <v>59375</v>
      </c>
    </row>
    <row r="35" spans="1:38" ht="15" customHeight="1" x14ac:dyDescent="0.2">
      <c r="A35" s="125" t="s">
        <v>35</v>
      </c>
      <c r="B35" s="16" t="s">
        <v>294</v>
      </c>
      <c r="C35" s="162">
        <v>1509</v>
      </c>
      <c r="D35" s="162">
        <v>60</v>
      </c>
      <c r="E35" s="226">
        <v>1.0515970325025894</v>
      </c>
      <c r="F35" s="180">
        <v>1586.9</v>
      </c>
      <c r="G35" s="162">
        <v>10829571</v>
      </c>
      <c r="H35" s="162">
        <v>79529</v>
      </c>
      <c r="I35" s="162">
        <v>10909100</v>
      </c>
      <c r="J35" s="162">
        <v>907</v>
      </c>
      <c r="K35" s="180">
        <v>27834.23769600012</v>
      </c>
      <c r="L35" s="17">
        <v>163678</v>
      </c>
      <c r="M35" s="162"/>
      <c r="N35" s="125" t="s">
        <v>35</v>
      </c>
      <c r="O35" s="16" t="s">
        <v>294</v>
      </c>
      <c r="P35" s="180">
        <v>126083.9</v>
      </c>
      <c r="Q35" s="180">
        <v>153918.20000000001</v>
      </c>
      <c r="R35" s="162">
        <v>4302660</v>
      </c>
      <c r="S35" s="162">
        <v>1337</v>
      </c>
      <c r="T35" s="180">
        <v>3615.9</v>
      </c>
      <c r="U35" s="162">
        <v>1740026</v>
      </c>
      <c r="V35" s="162">
        <v>14294</v>
      </c>
      <c r="W35" s="180">
        <v>21384</v>
      </c>
      <c r="X35" s="162">
        <v>103360</v>
      </c>
      <c r="Y35" s="17">
        <v>39918</v>
      </c>
      <c r="Z35" s="162"/>
      <c r="AA35" s="125" t="s">
        <v>35</v>
      </c>
      <c r="AB35" s="16" t="s">
        <v>294</v>
      </c>
      <c r="AC35" s="180">
        <v>130188.6</v>
      </c>
      <c r="AD35" s="162">
        <v>307681</v>
      </c>
      <c r="AE35" s="162">
        <v>1322617</v>
      </c>
      <c r="AF35" s="180">
        <v>3038090.1</v>
      </c>
      <c r="AG35" s="162">
        <v>216358</v>
      </c>
      <c r="AH35" s="180">
        <v>2460265.9</v>
      </c>
      <c r="AI35" s="162">
        <v>107422</v>
      </c>
      <c r="AJ35" s="162">
        <v>2474847</v>
      </c>
      <c r="AK35" s="162">
        <v>17686607</v>
      </c>
      <c r="AL35" s="17">
        <v>0</v>
      </c>
    </row>
    <row r="36" spans="1:38" ht="15" customHeight="1" x14ac:dyDescent="0.2">
      <c r="A36" s="125" t="s">
        <v>36</v>
      </c>
      <c r="B36" s="16" t="s">
        <v>293</v>
      </c>
      <c r="C36" s="162">
        <v>85</v>
      </c>
      <c r="D36" s="162">
        <v>0</v>
      </c>
      <c r="E36" s="226">
        <v>0.76745507902803445</v>
      </c>
      <c r="F36" s="180">
        <v>65.2</v>
      </c>
      <c r="G36" s="162">
        <v>444948</v>
      </c>
      <c r="H36" s="162">
        <v>0</v>
      </c>
      <c r="I36" s="162">
        <v>444948</v>
      </c>
      <c r="J36" s="162">
        <v>75</v>
      </c>
      <c r="K36" s="180">
        <v>1095.1199999999988</v>
      </c>
      <c r="L36" s="17">
        <v>11355</v>
      </c>
      <c r="M36" s="162"/>
      <c r="N36" s="125" t="s">
        <v>36</v>
      </c>
      <c r="O36" s="16" t="s">
        <v>293</v>
      </c>
      <c r="P36" s="180">
        <v>5049.7</v>
      </c>
      <c r="Q36" s="180">
        <v>6144.8</v>
      </c>
      <c r="R36" s="162">
        <v>172367</v>
      </c>
      <c r="S36" s="162">
        <v>126</v>
      </c>
      <c r="T36" s="180">
        <v>271.5</v>
      </c>
      <c r="U36" s="162">
        <v>130650</v>
      </c>
      <c r="V36" s="162">
        <v>90</v>
      </c>
      <c r="W36" s="180">
        <v>220.4</v>
      </c>
      <c r="X36" s="162">
        <v>1065</v>
      </c>
      <c r="Y36" s="17">
        <v>2097</v>
      </c>
      <c r="Z36" s="162"/>
      <c r="AA36" s="125" t="s">
        <v>36</v>
      </c>
      <c r="AB36" s="16" t="s">
        <v>293</v>
      </c>
      <c r="AC36" s="180">
        <v>9322.2000000000007</v>
      </c>
      <c r="AD36" s="162">
        <v>22032</v>
      </c>
      <c r="AE36" s="162">
        <v>48530</v>
      </c>
      <c r="AF36" s="180">
        <v>94247.8</v>
      </c>
      <c r="AG36" s="162">
        <v>6712</v>
      </c>
      <c r="AH36" s="180">
        <v>113069</v>
      </c>
      <c r="AI36" s="162">
        <v>4937</v>
      </c>
      <c r="AJ36" s="162">
        <v>165396</v>
      </c>
      <c r="AK36" s="162">
        <v>782711</v>
      </c>
      <c r="AL36" s="17">
        <v>35631</v>
      </c>
    </row>
    <row r="37" spans="1:38" ht="15" customHeight="1" x14ac:dyDescent="0.2">
      <c r="A37" s="125" t="s">
        <v>37</v>
      </c>
      <c r="B37" s="16" t="s">
        <v>290</v>
      </c>
      <c r="C37" s="162">
        <v>50</v>
      </c>
      <c r="D37" s="162">
        <v>0</v>
      </c>
      <c r="E37" s="226">
        <v>1.4769283360385623</v>
      </c>
      <c r="F37" s="180">
        <v>73.8</v>
      </c>
      <c r="G37" s="162">
        <v>503638</v>
      </c>
      <c r="H37" s="162">
        <v>0</v>
      </c>
      <c r="I37" s="162">
        <v>503638</v>
      </c>
      <c r="J37" s="162">
        <v>18</v>
      </c>
      <c r="K37" s="180">
        <v>1497.9596220000003</v>
      </c>
      <c r="L37" s="17">
        <v>3775</v>
      </c>
      <c r="M37" s="162"/>
      <c r="N37" s="125" t="s">
        <v>37</v>
      </c>
      <c r="O37" s="16" t="s">
        <v>290</v>
      </c>
      <c r="P37" s="180">
        <v>5081.7</v>
      </c>
      <c r="Q37" s="180">
        <v>6579.7</v>
      </c>
      <c r="R37" s="162">
        <v>183822</v>
      </c>
      <c r="S37" s="162">
        <v>35</v>
      </c>
      <c r="T37" s="180">
        <v>99.2</v>
      </c>
      <c r="U37" s="162">
        <v>47737</v>
      </c>
      <c r="V37" s="162">
        <v>120</v>
      </c>
      <c r="W37" s="180">
        <v>261.2</v>
      </c>
      <c r="X37" s="162">
        <v>1263</v>
      </c>
      <c r="Y37" s="17">
        <v>441</v>
      </c>
      <c r="Z37" s="162"/>
      <c r="AA37" s="125" t="s">
        <v>37</v>
      </c>
      <c r="AB37" s="16" t="s">
        <v>290</v>
      </c>
      <c r="AC37" s="180">
        <v>2400.3000000000002</v>
      </c>
      <c r="AD37" s="162">
        <v>5673</v>
      </c>
      <c r="AE37" s="162">
        <v>37153</v>
      </c>
      <c r="AF37" s="180">
        <v>37153</v>
      </c>
      <c r="AG37" s="162">
        <v>2646</v>
      </c>
      <c r="AH37" s="180">
        <v>13932</v>
      </c>
      <c r="AI37" s="162">
        <v>608</v>
      </c>
      <c r="AJ37" s="162">
        <v>57927</v>
      </c>
      <c r="AK37" s="162">
        <v>745387</v>
      </c>
      <c r="AL37" s="17">
        <v>0</v>
      </c>
    </row>
    <row r="38" spans="1:38" ht="15" customHeight="1" x14ac:dyDescent="0.2">
      <c r="A38" s="125" t="s">
        <v>38</v>
      </c>
      <c r="B38" s="16" t="s">
        <v>289</v>
      </c>
      <c r="C38" s="162">
        <v>2717</v>
      </c>
      <c r="D38" s="162">
        <v>45</v>
      </c>
      <c r="E38" s="226">
        <v>1.1944105373887675</v>
      </c>
      <c r="F38" s="180">
        <v>3245.2</v>
      </c>
      <c r="G38" s="162">
        <v>22146402</v>
      </c>
      <c r="H38" s="162">
        <v>232574</v>
      </c>
      <c r="I38" s="162">
        <v>22378976</v>
      </c>
      <c r="J38" s="162">
        <v>923</v>
      </c>
      <c r="K38" s="180">
        <v>44636.325957000379</v>
      </c>
      <c r="L38" s="17">
        <v>182149</v>
      </c>
      <c r="M38" s="162"/>
      <c r="N38" s="125" t="s">
        <v>38</v>
      </c>
      <c r="O38" s="16" t="s">
        <v>289</v>
      </c>
      <c r="P38" s="180">
        <v>172195.7</v>
      </c>
      <c r="Q38" s="180">
        <v>216832</v>
      </c>
      <c r="R38" s="162">
        <v>6057797</v>
      </c>
      <c r="S38" s="162">
        <v>1797</v>
      </c>
      <c r="T38" s="180">
        <v>5449.4</v>
      </c>
      <c r="U38" s="162">
        <v>2622335</v>
      </c>
      <c r="V38" s="162">
        <v>14026</v>
      </c>
      <c r="W38" s="180">
        <v>26787.9</v>
      </c>
      <c r="X38" s="162">
        <v>129480</v>
      </c>
      <c r="Y38" s="17">
        <v>40506</v>
      </c>
      <c r="Z38" s="162"/>
      <c r="AA38" s="125" t="s">
        <v>38</v>
      </c>
      <c r="AB38" s="16" t="s">
        <v>289</v>
      </c>
      <c r="AC38" s="180">
        <v>150139.4</v>
      </c>
      <c r="AD38" s="162">
        <v>354831</v>
      </c>
      <c r="AE38" s="162">
        <v>2118320</v>
      </c>
      <c r="AF38" s="180">
        <v>4909308.8</v>
      </c>
      <c r="AG38" s="162">
        <v>349618</v>
      </c>
      <c r="AH38" s="180">
        <v>2934046.8</v>
      </c>
      <c r="AI38" s="162">
        <v>128109</v>
      </c>
      <c r="AJ38" s="162">
        <v>3584373</v>
      </c>
      <c r="AK38" s="162">
        <v>32021146</v>
      </c>
      <c r="AL38" s="17">
        <v>0</v>
      </c>
    </row>
    <row r="39" spans="1:38" ht="15" customHeight="1" x14ac:dyDescent="0.2">
      <c r="A39" s="125" t="s">
        <v>39</v>
      </c>
      <c r="B39" s="16" t="s">
        <v>288</v>
      </c>
      <c r="C39" s="162">
        <v>136</v>
      </c>
      <c r="D39" s="162">
        <v>0</v>
      </c>
      <c r="E39" s="226">
        <v>0.72765978011814447</v>
      </c>
      <c r="F39" s="180">
        <v>99</v>
      </c>
      <c r="G39" s="162">
        <v>675611</v>
      </c>
      <c r="H39" s="162">
        <v>8000</v>
      </c>
      <c r="I39" s="162">
        <v>683611</v>
      </c>
      <c r="J39" s="162">
        <v>175</v>
      </c>
      <c r="K39" s="180">
        <v>2500.5251769999973</v>
      </c>
      <c r="L39" s="17">
        <v>29560</v>
      </c>
      <c r="M39" s="162"/>
      <c r="N39" s="125" t="s">
        <v>39</v>
      </c>
      <c r="O39" s="16" t="s">
        <v>288</v>
      </c>
      <c r="P39" s="180">
        <v>8307.4</v>
      </c>
      <c r="Q39" s="180">
        <v>10807.9</v>
      </c>
      <c r="R39" s="162">
        <v>303172</v>
      </c>
      <c r="S39" s="162">
        <v>174</v>
      </c>
      <c r="T39" s="180">
        <v>329.5</v>
      </c>
      <c r="U39" s="162">
        <v>158560</v>
      </c>
      <c r="V39" s="162">
        <v>3940</v>
      </c>
      <c r="W39" s="180">
        <v>4346.8999999999996</v>
      </c>
      <c r="X39" s="162">
        <v>21011</v>
      </c>
      <c r="Y39" s="17">
        <v>8129</v>
      </c>
      <c r="Z39" s="162"/>
      <c r="AA39" s="125" t="s">
        <v>39</v>
      </c>
      <c r="AB39" s="16" t="s">
        <v>288</v>
      </c>
      <c r="AC39" s="180">
        <v>32796.300000000003</v>
      </c>
      <c r="AD39" s="162">
        <v>77509</v>
      </c>
      <c r="AE39" s="162">
        <v>345903</v>
      </c>
      <c r="AF39" s="180">
        <v>829551.6</v>
      </c>
      <c r="AG39" s="162">
        <v>59077</v>
      </c>
      <c r="AH39" s="180">
        <v>309631</v>
      </c>
      <c r="AI39" s="162">
        <v>13519</v>
      </c>
      <c r="AJ39" s="162">
        <v>329676</v>
      </c>
      <c r="AK39" s="162">
        <v>1316459</v>
      </c>
      <c r="AL39" s="17">
        <v>58905</v>
      </c>
    </row>
    <row r="40" spans="1:38" ht="15" customHeight="1" x14ac:dyDescent="0.2">
      <c r="A40" s="125" t="s">
        <v>440</v>
      </c>
      <c r="B40" s="16" t="s">
        <v>287</v>
      </c>
      <c r="C40" s="162">
        <v>6314</v>
      </c>
      <c r="D40" s="162">
        <v>340</v>
      </c>
      <c r="E40" s="226">
        <v>1.1121354549035583</v>
      </c>
      <c r="F40" s="180">
        <v>7022</v>
      </c>
      <c r="G40" s="162">
        <v>47920631</v>
      </c>
      <c r="H40" s="162">
        <v>196101</v>
      </c>
      <c r="I40" s="162">
        <v>48116732</v>
      </c>
      <c r="J40" s="162">
        <v>2617</v>
      </c>
      <c r="K40" s="180">
        <v>115702.77819699813</v>
      </c>
      <c r="L40" s="17">
        <v>481926.5</v>
      </c>
      <c r="M40" s="162"/>
      <c r="N40" s="125" t="s">
        <v>440</v>
      </c>
      <c r="O40" s="16" t="s">
        <v>287</v>
      </c>
      <c r="P40" s="180">
        <v>437646.4</v>
      </c>
      <c r="Q40" s="180">
        <v>553349.1</v>
      </c>
      <c r="R40" s="162">
        <v>15461725</v>
      </c>
      <c r="S40" s="162">
        <v>3905</v>
      </c>
      <c r="T40" s="180">
        <v>12062.3</v>
      </c>
      <c r="U40" s="162">
        <v>5804563</v>
      </c>
      <c r="V40" s="162">
        <v>30551</v>
      </c>
      <c r="W40" s="180">
        <v>62517.2</v>
      </c>
      <c r="X40" s="162">
        <v>302179</v>
      </c>
      <c r="Y40" s="17">
        <v>64222</v>
      </c>
      <c r="Z40" s="162"/>
      <c r="AA40" s="125" t="s">
        <v>440</v>
      </c>
      <c r="AB40" s="16" t="s">
        <v>287</v>
      </c>
      <c r="AC40" s="180">
        <v>345207.3</v>
      </c>
      <c r="AD40" s="162">
        <v>815844</v>
      </c>
      <c r="AE40" s="162">
        <v>5082242</v>
      </c>
      <c r="AF40" s="180">
        <v>11231512.699999999</v>
      </c>
      <c r="AG40" s="162">
        <v>799855</v>
      </c>
      <c r="AH40" s="180">
        <v>5091461.4000000004</v>
      </c>
      <c r="AI40" s="162">
        <v>222308</v>
      </c>
      <c r="AJ40" s="162">
        <v>7944749</v>
      </c>
      <c r="AK40" s="162">
        <v>71523206</v>
      </c>
      <c r="AL40" s="17">
        <v>0</v>
      </c>
    </row>
    <row r="41" spans="1:38" ht="15" customHeight="1" x14ac:dyDescent="0.2">
      <c r="A41" s="125" t="s">
        <v>40</v>
      </c>
      <c r="B41" s="16" t="s">
        <v>292</v>
      </c>
      <c r="C41" s="162">
        <v>196</v>
      </c>
      <c r="D41" s="162">
        <v>0</v>
      </c>
      <c r="E41" s="226">
        <v>0.96998706469083507</v>
      </c>
      <c r="F41" s="180">
        <v>190.1</v>
      </c>
      <c r="G41" s="162">
        <v>1297310</v>
      </c>
      <c r="H41" s="162">
        <v>5000</v>
      </c>
      <c r="I41" s="162">
        <v>1302310</v>
      </c>
      <c r="J41" s="162">
        <v>116</v>
      </c>
      <c r="K41" s="180">
        <v>3221.0101660000018</v>
      </c>
      <c r="L41" s="17">
        <v>20353</v>
      </c>
      <c r="M41" s="162"/>
      <c r="N41" s="125" t="s">
        <v>40</v>
      </c>
      <c r="O41" s="16" t="s">
        <v>292</v>
      </c>
      <c r="P41" s="180">
        <v>15318.2</v>
      </c>
      <c r="Q41" s="180">
        <v>18539.199999999997</v>
      </c>
      <c r="R41" s="162">
        <v>518594</v>
      </c>
      <c r="S41" s="162">
        <v>189</v>
      </c>
      <c r="T41" s="180">
        <v>471.3</v>
      </c>
      <c r="U41" s="162">
        <v>226797</v>
      </c>
      <c r="V41" s="162">
        <v>1542</v>
      </c>
      <c r="W41" s="180">
        <v>2668.6</v>
      </c>
      <c r="X41" s="162">
        <v>12899</v>
      </c>
      <c r="Y41" s="17">
        <v>4700</v>
      </c>
      <c r="Z41" s="162"/>
      <c r="AA41" s="125" t="s">
        <v>40</v>
      </c>
      <c r="AB41" s="16" t="s">
        <v>292</v>
      </c>
      <c r="AC41" s="180">
        <v>20904.7</v>
      </c>
      <c r="AD41" s="162">
        <v>49405</v>
      </c>
      <c r="AE41" s="162">
        <v>457737</v>
      </c>
      <c r="AF41" s="180">
        <v>986014.5</v>
      </c>
      <c r="AG41" s="162">
        <v>70219</v>
      </c>
      <c r="AH41" s="180">
        <v>372049</v>
      </c>
      <c r="AI41" s="162">
        <v>16245</v>
      </c>
      <c r="AJ41" s="162">
        <v>375565</v>
      </c>
      <c r="AK41" s="162">
        <v>2196469</v>
      </c>
      <c r="AL41" s="17">
        <v>71415</v>
      </c>
    </row>
    <row r="42" spans="1:38" ht="15" customHeight="1" x14ac:dyDescent="0.2">
      <c r="A42" s="125" t="s">
        <v>41</v>
      </c>
      <c r="B42" s="16" t="s">
        <v>291</v>
      </c>
      <c r="C42" s="162">
        <v>118</v>
      </c>
      <c r="D42" s="162">
        <v>0</v>
      </c>
      <c r="E42" s="226">
        <v>1.1111235748013408</v>
      </c>
      <c r="F42" s="180">
        <v>131.1</v>
      </c>
      <c r="G42" s="162">
        <v>894673</v>
      </c>
      <c r="H42" s="162">
        <v>356</v>
      </c>
      <c r="I42" s="162">
        <v>895029</v>
      </c>
      <c r="J42" s="162">
        <v>40</v>
      </c>
      <c r="K42" s="180">
        <v>2695.3199999999997</v>
      </c>
      <c r="L42" s="17">
        <v>8226</v>
      </c>
      <c r="M42" s="162"/>
      <c r="N42" s="125" t="s">
        <v>41</v>
      </c>
      <c r="O42" s="16" t="s">
        <v>291</v>
      </c>
      <c r="P42" s="180">
        <v>8546.9</v>
      </c>
      <c r="Q42" s="180">
        <v>11242.199999999999</v>
      </c>
      <c r="R42" s="162">
        <v>314081</v>
      </c>
      <c r="S42" s="162">
        <v>55</v>
      </c>
      <c r="T42" s="180">
        <v>233.1</v>
      </c>
      <c r="U42" s="162">
        <v>112171</v>
      </c>
      <c r="V42" s="162">
        <v>1582</v>
      </c>
      <c r="W42" s="180">
        <v>1729.2</v>
      </c>
      <c r="X42" s="162">
        <v>8358</v>
      </c>
      <c r="Y42" s="17">
        <v>4104</v>
      </c>
      <c r="Z42" s="162"/>
      <c r="AA42" s="125" t="s">
        <v>41</v>
      </c>
      <c r="AB42" s="16" t="s">
        <v>291</v>
      </c>
      <c r="AC42" s="180">
        <v>10789.3</v>
      </c>
      <c r="AD42" s="162">
        <v>25499</v>
      </c>
      <c r="AE42" s="162">
        <v>249866</v>
      </c>
      <c r="AF42" s="180">
        <v>395953.8</v>
      </c>
      <c r="AG42" s="162">
        <v>28198</v>
      </c>
      <c r="AH42" s="180">
        <v>216636</v>
      </c>
      <c r="AI42" s="162">
        <v>9459</v>
      </c>
      <c r="AJ42" s="162">
        <v>183685</v>
      </c>
      <c r="AK42" s="162">
        <v>1392795</v>
      </c>
      <c r="AL42" s="17">
        <v>77757</v>
      </c>
    </row>
    <row r="43" spans="1:38" ht="15" customHeight="1" x14ac:dyDescent="0.2">
      <c r="A43" s="125" t="s">
        <v>42</v>
      </c>
      <c r="B43" s="16" t="s">
        <v>286</v>
      </c>
      <c r="C43" s="162">
        <v>558</v>
      </c>
      <c r="D43" s="162">
        <v>25</v>
      </c>
      <c r="E43" s="226">
        <v>1.287158885881355</v>
      </c>
      <c r="F43" s="180">
        <v>718.2</v>
      </c>
      <c r="G43" s="162">
        <v>4901253</v>
      </c>
      <c r="H43" s="162">
        <v>0</v>
      </c>
      <c r="I43" s="162">
        <v>4901253</v>
      </c>
      <c r="J43" s="162">
        <v>171</v>
      </c>
      <c r="K43" s="180">
        <v>12316.679999999988</v>
      </c>
      <c r="L43" s="17">
        <v>30977</v>
      </c>
      <c r="M43" s="162"/>
      <c r="N43" s="125" t="s">
        <v>42</v>
      </c>
      <c r="O43" s="16" t="s">
        <v>286</v>
      </c>
      <c r="P43" s="180">
        <v>33184.300000000003</v>
      </c>
      <c r="Q43" s="180">
        <v>45501</v>
      </c>
      <c r="R43" s="162">
        <v>1276148</v>
      </c>
      <c r="S43" s="162">
        <v>262</v>
      </c>
      <c r="T43" s="180">
        <v>896.6</v>
      </c>
      <c r="U43" s="162">
        <v>431458</v>
      </c>
      <c r="V43" s="162">
        <v>1988</v>
      </c>
      <c r="W43" s="180">
        <v>4588.5</v>
      </c>
      <c r="X43" s="162">
        <v>22179</v>
      </c>
      <c r="Y43" s="17">
        <v>3958</v>
      </c>
      <c r="Z43" s="162"/>
      <c r="AA43" s="125" t="s">
        <v>42</v>
      </c>
      <c r="AB43" s="16" t="s">
        <v>286</v>
      </c>
      <c r="AC43" s="180">
        <v>20882</v>
      </c>
      <c r="AD43" s="162">
        <v>49351</v>
      </c>
      <c r="AE43" s="162">
        <v>407324</v>
      </c>
      <c r="AF43" s="180">
        <v>916694.8</v>
      </c>
      <c r="AG43" s="162">
        <v>65283</v>
      </c>
      <c r="AH43" s="180">
        <v>354661</v>
      </c>
      <c r="AI43" s="162">
        <v>15486</v>
      </c>
      <c r="AJ43" s="162">
        <v>583757</v>
      </c>
      <c r="AK43" s="162">
        <v>6761158</v>
      </c>
      <c r="AL43" s="17">
        <v>0</v>
      </c>
    </row>
    <row r="44" spans="1:38" ht="15" customHeight="1" x14ac:dyDescent="0.2">
      <c r="A44" s="125" t="s">
        <v>43</v>
      </c>
      <c r="B44" s="16" t="s">
        <v>285</v>
      </c>
      <c r="C44" s="162">
        <v>2815</v>
      </c>
      <c r="D44" s="162">
        <v>100</v>
      </c>
      <c r="E44" s="226">
        <v>1.1139525948465101</v>
      </c>
      <c r="F44" s="180">
        <v>3135.8</v>
      </c>
      <c r="G44" s="162">
        <v>21399817</v>
      </c>
      <c r="H44" s="162">
        <v>167946</v>
      </c>
      <c r="I44" s="162">
        <v>21567763</v>
      </c>
      <c r="J44" s="162">
        <v>1101</v>
      </c>
      <c r="K44" s="180">
        <v>46568.586743000276</v>
      </c>
      <c r="L44" s="17">
        <v>199411</v>
      </c>
      <c r="M44" s="162"/>
      <c r="N44" s="125" t="s">
        <v>43</v>
      </c>
      <c r="O44" s="16" t="s">
        <v>285</v>
      </c>
      <c r="P44" s="180">
        <v>170935.5</v>
      </c>
      <c r="Q44" s="180">
        <v>217504.1</v>
      </c>
      <c r="R44" s="162">
        <v>6076572</v>
      </c>
      <c r="S44" s="162">
        <v>1716</v>
      </c>
      <c r="T44" s="180">
        <v>5030.3</v>
      </c>
      <c r="U44" s="162">
        <v>2420657</v>
      </c>
      <c r="V44" s="162">
        <v>12955</v>
      </c>
      <c r="W44" s="180">
        <v>25971.7</v>
      </c>
      <c r="X44" s="162">
        <v>125535</v>
      </c>
      <c r="Y44" s="17">
        <v>34174</v>
      </c>
      <c r="Z44" s="162"/>
      <c r="AA44" s="125" t="s">
        <v>43</v>
      </c>
      <c r="AB44" s="16" t="s">
        <v>285</v>
      </c>
      <c r="AC44" s="180">
        <v>162010.79999999999</v>
      </c>
      <c r="AD44" s="162">
        <v>382888</v>
      </c>
      <c r="AE44" s="162">
        <v>3469548</v>
      </c>
      <c r="AF44" s="180">
        <v>7999171.5999999996</v>
      </c>
      <c r="AG44" s="162">
        <v>569663</v>
      </c>
      <c r="AH44" s="180">
        <v>4041418.1</v>
      </c>
      <c r="AI44" s="162">
        <v>176460</v>
      </c>
      <c r="AJ44" s="162">
        <v>3675203</v>
      </c>
      <c r="AK44" s="162">
        <v>31319538</v>
      </c>
      <c r="AL44" s="17">
        <v>0</v>
      </c>
    </row>
    <row r="45" spans="1:38" ht="15" customHeight="1" x14ac:dyDescent="0.2">
      <c r="A45" s="125" t="s">
        <v>149</v>
      </c>
      <c r="B45" s="16" t="s">
        <v>284</v>
      </c>
      <c r="C45" s="162">
        <v>89</v>
      </c>
      <c r="D45" s="162">
        <v>0</v>
      </c>
      <c r="E45" s="226">
        <v>1.172488348088941</v>
      </c>
      <c r="F45" s="180">
        <v>104.4</v>
      </c>
      <c r="G45" s="162">
        <v>712463</v>
      </c>
      <c r="H45" s="162">
        <v>5000</v>
      </c>
      <c r="I45" s="162">
        <v>717463</v>
      </c>
      <c r="J45" s="162">
        <v>47</v>
      </c>
      <c r="K45" s="180">
        <v>1493.1896689999996</v>
      </c>
      <c r="L45" s="17">
        <v>8623</v>
      </c>
      <c r="M45" s="162"/>
      <c r="N45" s="125" t="s">
        <v>149</v>
      </c>
      <c r="O45" s="16" t="s">
        <v>284</v>
      </c>
      <c r="P45" s="180">
        <v>6540.1</v>
      </c>
      <c r="Q45" s="180">
        <v>8033.2000000000007</v>
      </c>
      <c r="R45" s="162">
        <v>224431</v>
      </c>
      <c r="S45" s="162">
        <v>101</v>
      </c>
      <c r="T45" s="180">
        <v>222.1</v>
      </c>
      <c r="U45" s="162">
        <v>106878</v>
      </c>
      <c r="V45" s="162">
        <v>970</v>
      </c>
      <c r="W45" s="180">
        <v>1443.6</v>
      </c>
      <c r="X45" s="162">
        <v>6978</v>
      </c>
      <c r="Y45" s="17">
        <v>1641</v>
      </c>
      <c r="Z45" s="162"/>
      <c r="AA45" s="125" t="s">
        <v>149</v>
      </c>
      <c r="AB45" s="16" t="s">
        <v>284</v>
      </c>
      <c r="AC45" s="180">
        <v>7642</v>
      </c>
      <c r="AD45" s="162">
        <v>18061</v>
      </c>
      <c r="AE45" s="162">
        <v>242171</v>
      </c>
      <c r="AF45" s="180">
        <v>494866.3</v>
      </c>
      <c r="AG45" s="162">
        <v>35242</v>
      </c>
      <c r="AH45" s="180">
        <v>181276</v>
      </c>
      <c r="AI45" s="162">
        <v>7915</v>
      </c>
      <c r="AJ45" s="162">
        <v>175074</v>
      </c>
      <c r="AK45" s="162">
        <v>1116968</v>
      </c>
      <c r="AL45" s="17">
        <v>47595</v>
      </c>
    </row>
    <row r="46" spans="1:38" ht="15" customHeight="1" x14ac:dyDescent="0.2">
      <c r="A46" s="125" t="s">
        <v>45</v>
      </c>
      <c r="B46" s="16" t="s">
        <v>283</v>
      </c>
      <c r="C46" s="162">
        <v>88</v>
      </c>
      <c r="D46" s="162">
        <v>0</v>
      </c>
      <c r="E46" s="226">
        <v>1.2713335115528464</v>
      </c>
      <c r="F46" s="180">
        <v>111.9</v>
      </c>
      <c r="G46" s="162">
        <v>763645</v>
      </c>
      <c r="H46" s="162">
        <v>0</v>
      </c>
      <c r="I46" s="162">
        <v>763645</v>
      </c>
      <c r="J46" s="162">
        <v>36</v>
      </c>
      <c r="K46" s="180">
        <v>1618.6862700000001</v>
      </c>
      <c r="L46" s="17">
        <v>7824</v>
      </c>
      <c r="M46" s="162"/>
      <c r="N46" s="125" t="s">
        <v>45</v>
      </c>
      <c r="O46" s="16" t="s">
        <v>283</v>
      </c>
      <c r="P46" s="180">
        <v>7944.8</v>
      </c>
      <c r="Q46" s="180">
        <v>9563.5</v>
      </c>
      <c r="R46" s="162">
        <v>267181</v>
      </c>
      <c r="S46" s="162">
        <v>73</v>
      </c>
      <c r="T46" s="180">
        <v>247.8</v>
      </c>
      <c r="U46" s="162">
        <v>119245</v>
      </c>
      <c r="V46" s="162">
        <v>223</v>
      </c>
      <c r="W46" s="180">
        <v>525.6</v>
      </c>
      <c r="X46" s="162">
        <v>2541</v>
      </c>
      <c r="Y46" s="17">
        <v>976</v>
      </c>
      <c r="Z46" s="162"/>
      <c r="AA46" s="125" t="s">
        <v>45</v>
      </c>
      <c r="AB46" s="16" t="s">
        <v>283</v>
      </c>
      <c r="AC46" s="180">
        <v>4768.7</v>
      </c>
      <c r="AD46" s="162">
        <v>11270</v>
      </c>
      <c r="AE46" s="162">
        <v>182510</v>
      </c>
      <c r="AF46" s="180">
        <v>405870.6</v>
      </c>
      <c r="AG46" s="162">
        <v>28904</v>
      </c>
      <c r="AH46" s="180">
        <v>160965</v>
      </c>
      <c r="AI46" s="162">
        <v>7028</v>
      </c>
      <c r="AJ46" s="162">
        <v>168988</v>
      </c>
      <c r="AK46" s="162">
        <v>1199814</v>
      </c>
      <c r="AL46" s="17">
        <v>53949</v>
      </c>
    </row>
    <row r="47" spans="1:38" ht="15" customHeight="1" x14ac:dyDescent="0.2">
      <c r="A47" s="125" t="s">
        <v>46</v>
      </c>
      <c r="B47" s="16" t="s">
        <v>282</v>
      </c>
      <c r="C47" s="162">
        <v>63</v>
      </c>
      <c r="D47" s="162">
        <v>0</v>
      </c>
      <c r="E47" s="226">
        <v>0.92480693736932484</v>
      </c>
      <c r="F47" s="180">
        <v>58.3</v>
      </c>
      <c r="G47" s="162">
        <v>397860</v>
      </c>
      <c r="H47" s="162">
        <v>0</v>
      </c>
      <c r="I47" s="162">
        <v>397860</v>
      </c>
      <c r="J47" s="162">
        <v>12</v>
      </c>
      <c r="K47" s="180">
        <v>136.18800000000002</v>
      </c>
      <c r="L47" s="17">
        <v>1720</v>
      </c>
      <c r="M47" s="162"/>
      <c r="N47" s="125" t="s">
        <v>46</v>
      </c>
      <c r="O47" s="16" t="s">
        <v>282</v>
      </c>
      <c r="P47" s="180">
        <v>1084.5</v>
      </c>
      <c r="Q47" s="180">
        <v>1220.5999999999999</v>
      </c>
      <c r="R47" s="162">
        <v>34239</v>
      </c>
      <c r="S47" s="162">
        <v>17</v>
      </c>
      <c r="T47" s="180">
        <v>47.1</v>
      </c>
      <c r="U47" s="162">
        <v>22665</v>
      </c>
      <c r="V47" s="162">
        <v>308</v>
      </c>
      <c r="W47" s="180">
        <v>434.8</v>
      </c>
      <c r="X47" s="162">
        <v>2102</v>
      </c>
      <c r="Y47" s="17">
        <v>616</v>
      </c>
      <c r="Z47" s="162"/>
      <c r="AA47" s="125" t="s">
        <v>46</v>
      </c>
      <c r="AB47" s="16" t="s">
        <v>282</v>
      </c>
      <c r="AC47" s="180">
        <v>1939</v>
      </c>
      <c r="AD47" s="162">
        <v>4583</v>
      </c>
      <c r="AE47" s="162">
        <v>31171</v>
      </c>
      <c r="AF47" s="180">
        <v>39449.800000000003</v>
      </c>
      <c r="AG47" s="162">
        <v>2809</v>
      </c>
      <c r="AH47" s="180">
        <v>38263</v>
      </c>
      <c r="AI47" s="162">
        <v>1671</v>
      </c>
      <c r="AJ47" s="162">
        <v>33830</v>
      </c>
      <c r="AK47" s="162">
        <v>465929</v>
      </c>
      <c r="AL47" s="17">
        <v>0</v>
      </c>
    </row>
    <row r="48" spans="1:38" ht="15" customHeight="1" x14ac:dyDescent="0.2">
      <c r="A48" s="125" t="s">
        <v>47</v>
      </c>
      <c r="B48" s="16" t="s">
        <v>281</v>
      </c>
      <c r="C48" s="162">
        <v>23</v>
      </c>
      <c r="D48" s="162">
        <v>0</v>
      </c>
      <c r="E48" s="226">
        <v>0.76611015008903349</v>
      </c>
      <c r="F48" s="180">
        <v>17.600000000000001</v>
      </c>
      <c r="G48" s="162">
        <v>120109</v>
      </c>
      <c r="H48" s="162">
        <v>0</v>
      </c>
      <c r="I48" s="162">
        <v>120109</v>
      </c>
      <c r="J48" s="162">
        <v>5</v>
      </c>
      <c r="K48" s="180">
        <v>73.007999999999996</v>
      </c>
      <c r="L48" s="17">
        <v>1110</v>
      </c>
      <c r="M48" s="162"/>
      <c r="N48" s="125" t="s">
        <v>47</v>
      </c>
      <c r="O48" s="16" t="s">
        <v>281</v>
      </c>
      <c r="P48" s="180">
        <v>562.79999999999995</v>
      </c>
      <c r="Q48" s="180">
        <v>635.79999999999995</v>
      </c>
      <c r="R48" s="162">
        <v>17835</v>
      </c>
      <c r="S48" s="162">
        <v>11</v>
      </c>
      <c r="T48" s="180">
        <v>20.7</v>
      </c>
      <c r="U48" s="162">
        <v>9961</v>
      </c>
      <c r="V48" s="162">
        <v>105</v>
      </c>
      <c r="W48" s="180">
        <v>208.1</v>
      </c>
      <c r="X48" s="162">
        <v>1006</v>
      </c>
      <c r="Y48" s="17">
        <v>315</v>
      </c>
      <c r="Z48" s="162"/>
      <c r="AA48" s="125" t="s">
        <v>47</v>
      </c>
      <c r="AB48" s="16" t="s">
        <v>281</v>
      </c>
      <c r="AC48" s="180">
        <v>1735.6</v>
      </c>
      <c r="AD48" s="162">
        <v>4102</v>
      </c>
      <c r="AE48" s="162">
        <v>18722</v>
      </c>
      <c r="AF48" s="180">
        <v>45842.2</v>
      </c>
      <c r="AG48" s="162">
        <v>3265</v>
      </c>
      <c r="AH48" s="180">
        <v>64830</v>
      </c>
      <c r="AI48" s="162">
        <v>2831</v>
      </c>
      <c r="AJ48" s="162">
        <v>21165</v>
      </c>
      <c r="AK48" s="162">
        <v>159109</v>
      </c>
      <c r="AL48" s="17">
        <v>8810</v>
      </c>
    </row>
    <row r="49" spans="1:38" ht="15" customHeight="1" x14ac:dyDescent="0.2">
      <c r="A49" s="125" t="s">
        <v>48</v>
      </c>
      <c r="B49" s="16" t="s">
        <v>279</v>
      </c>
      <c r="C49" s="162">
        <v>87</v>
      </c>
      <c r="D49" s="162">
        <v>0</v>
      </c>
      <c r="E49" s="226">
        <v>1.0585069285124327</v>
      </c>
      <c r="F49" s="180">
        <v>92.1</v>
      </c>
      <c r="G49" s="162">
        <v>628523</v>
      </c>
      <c r="H49" s="162">
        <v>0</v>
      </c>
      <c r="I49" s="162">
        <v>628523</v>
      </c>
      <c r="J49" s="162">
        <v>22</v>
      </c>
      <c r="K49" s="180">
        <v>712.62016200000005</v>
      </c>
      <c r="L49" s="17">
        <v>3622</v>
      </c>
      <c r="M49" s="162"/>
      <c r="N49" s="125" t="s">
        <v>48</v>
      </c>
      <c r="O49" s="16" t="s">
        <v>279</v>
      </c>
      <c r="P49" s="180">
        <v>3757.5</v>
      </c>
      <c r="Q49" s="180">
        <v>4470.1000000000004</v>
      </c>
      <c r="R49" s="162">
        <v>125390</v>
      </c>
      <c r="S49" s="162">
        <v>53</v>
      </c>
      <c r="T49" s="180">
        <v>117.3</v>
      </c>
      <c r="U49" s="162">
        <v>56447</v>
      </c>
      <c r="V49" s="162">
        <v>554</v>
      </c>
      <c r="W49" s="180">
        <v>589.70000000000005</v>
      </c>
      <c r="X49" s="162">
        <v>2850</v>
      </c>
      <c r="Y49" s="17">
        <v>1021</v>
      </c>
      <c r="Z49" s="162"/>
      <c r="AA49" s="125" t="s">
        <v>48</v>
      </c>
      <c r="AB49" s="16" t="s">
        <v>279</v>
      </c>
      <c r="AC49" s="180">
        <v>4214.3999999999996</v>
      </c>
      <c r="AD49" s="162">
        <v>9960</v>
      </c>
      <c r="AE49" s="162">
        <v>56179</v>
      </c>
      <c r="AF49" s="180">
        <v>67311.100000000006</v>
      </c>
      <c r="AG49" s="162">
        <v>4794</v>
      </c>
      <c r="AH49" s="180">
        <v>63831</v>
      </c>
      <c r="AI49" s="162">
        <v>2787</v>
      </c>
      <c r="AJ49" s="162">
        <v>76838</v>
      </c>
      <c r="AK49" s="162">
        <v>830751</v>
      </c>
      <c r="AL49" s="17">
        <v>39348</v>
      </c>
    </row>
    <row r="50" spans="1:38" ht="15" customHeight="1" x14ac:dyDescent="0.2">
      <c r="A50" s="125" t="s">
        <v>49</v>
      </c>
      <c r="B50" s="16" t="s">
        <v>278</v>
      </c>
      <c r="C50" s="162">
        <v>2494</v>
      </c>
      <c r="D50" s="162">
        <v>135</v>
      </c>
      <c r="E50" s="226">
        <v>1.1630547284122112</v>
      </c>
      <c r="F50" s="180">
        <v>2900.7</v>
      </c>
      <c r="G50" s="162">
        <v>19795411</v>
      </c>
      <c r="H50" s="162">
        <v>105646</v>
      </c>
      <c r="I50" s="162">
        <v>19901057</v>
      </c>
      <c r="J50" s="162">
        <v>780</v>
      </c>
      <c r="K50" s="180">
        <v>36963.222917000203</v>
      </c>
      <c r="L50" s="17">
        <v>145994</v>
      </c>
      <c r="M50" s="162"/>
      <c r="N50" s="125" t="s">
        <v>49</v>
      </c>
      <c r="O50" s="16" t="s">
        <v>278</v>
      </c>
      <c r="P50" s="180">
        <v>136783.4</v>
      </c>
      <c r="Q50" s="180">
        <v>173746.69999999998</v>
      </c>
      <c r="R50" s="162">
        <v>4854089</v>
      </c>
      <c r="S50" s="162">
        <v>1461</v>
      </c>
      <c r="T50" s="180">
        <v>4309.3</v>
      </c>
      <c r="U50" s="162">
        <v>2073701</v>
      </c>
      <c r="V50" s="162">
        <v>12433</v>
      </c>
      <c r="W50" s="180">
        <v>23687.3</v>
      </c>
      <c r="X50" s="162">
        <v>114493</v>
      </c>
      <c r="Y50" s="17">
        <v>26312</v>
      </c>
      <c r="Z50" s="162"/>
      <c r="AA50" s="125" t="s">
        <v>49</v>
      </c>
      <c r="AB50" s="16" t="s">
        <v>278</v>
      </c>
      <c r="AC50" s="180">
        <v>122484.8</v>
      </c>
      <c r="AD50" s="162">
        <v>289474</v>
      </c>
      <c r="AE50" s="162">
        <v>1850523</v>
      </c>
      <c r="AF50" s="180">
        <v>4110391.3</v>
      </c>
      <c r="AG50" s="162">
        <v>292723</v>
      </c>
      <c r="AH50" s="180">
        <v>2508614</v>
      </c>
      <c r="AI50" s="162">
        <v>109533</v>
      </c>
      <c r="AJ50" s="162">
        <v>2879924</v>
      </c>
      <c r="AK50" s="162">
        <v>27635070</v>
      </c>
      <c r="AL50" s="17">
        <v>0</v>
      </c>
    </row>
    <row r="51" spans="1:38" ht="15" customHeight="1" x14ac:dyDescent="0.2">
      <c r="A51" s="125" t="s">
        <v>434</v>
      </c>
      <c r="B51" s="16" t="s">
        <v>268</v>
      </c>
      <c r="C51" s="162">
        <v>49</v>
      </c>
      <c r="D51" s="162">
        <v>0</v>
      </c>
      <c r="E51" s="226">
        <v>1.4851237065110914</v>
      </c>
      <c r="F51" s="180">
        <v>72.8</v>
      </c>
      <c r="G51" s="162">
        <v>496813</v>
      </c>
      <c r="H51" s="162">
        <v>0</v>
      </c>
      <c r="I51" s="162">
        <v>496813</v>
      </c>
      <c r="J51" s="162">
        <v>14</v>
      </c>
      <c r="K51" s="180">
        <v>840.95978399999967</v>
      </c>
      <c r="L51" s="17">
        <v>2846</v>
      </c>
      <c r="M51" s="162"/>
      <c r="N51" s="125" t="s">
        <v>434</v>
      </c>
      <c r="O51" s="16" t="s">
        <v>268</v>
      </c>
      <c r="P51" s="180">
        <v>3692.1</v>
      </c>
      <c r="Q51" s="180">
        <v>4533</v>
      </c>
      <c r="R51" s="162">
        <v>126643</v>
      </c>
      <c r="S51" s="162">
        <v>36</v>
      </c>
      <c r="T51" s="180">
        <v>99.2</v>
      </c>
      <c r="U51" s="162">
        <v>47737</v>
      </c>
      <c r="V51" s="162">
        <v>243</v>
      </c>
      <c r="W51" s="180">
        <v>378.7</v>
      </c>
      <c r="X51" s="162">
        <v>1830</v>
      </c>
      <c r="Y51" s="17">
        <v>424</v>
      </c>
      <c r="Z51" s="162"/>
      <c r="AA51" s="125" t="s">
        <v>434</v>
      </c>
      <c r="AB51" s="16" t="s">
        <v>268</v>
      </c>
      <c r="AC51" s="180">
        <v>1903.6</v>
      </c>
      <c r="AD51" s="162">
        <v>4499</v>
      </c>
      <c r="AE51" s="162">
        <v>0</v>
      </c>
      <c r="AF51" s="180">
        <v>0</v>
      </c>
      <c r="AG51" s="162">
        <v>0</v>
      </c>
      <c r="AH51" s="180">
        <v>0</v>
      </c>
      <c r="AI51" s="162">
        <v>0</v>
      </c>
      <c r="AJ51" s="162">
        <v>54066</v>
      </c>
      <c r="AK51" s="162">
        <v>677522</v>
      </c>
      <c r="AL51" s="17">
        <v>16174</v>
      </c>
    </row>
    <row r="52" spans="1:38" ht="15" customHeight="1" x14ac:dyDescent="0.2">
      <c r="A52" s="125" t="s">
        <v>51</v>
      </c>
      <c r="B52" s="16" t="s">
        <v>267</v>
      </c>
      <c r="C52" s="162">
        <v>2640</v>
      </c>
      <c r="D52" s="162">
        <v>150</v>
      </c>
      <c r="E52" s="226">
        <v>1.2050283601552358</v>
      </c>
      <c r="F52" s="180">
        <v>3181.3</v>
      </c>
      <c r="G52" s="162">
        <v>21710325</v>
      </c>
      <c r="H52" s="162">
        <v>145067</v>
      </c>
      <c r="I52" s="162">
        <v>21855392</v>
      </c>
      <c r="J52" s="162">
        <v>1070</v>
      </c>
      <c r="K52" s="180">
        <v>55230.346532000018</v>
      </c>
      <c r="L52" s="17">
        <v>201324.5</v>
      </c>
      <c r="M52" s="162"/>
      <c r="N52" s="125" t="s">
        <v>51</v>
      </c>
      <c r="O52" s="16" t="s">
        <v>267</v>
      </c>
      <c r="P52" s="180">
        <v>201084.7</v>
      </c>
      <c r="Q52" s="180">
        <v>256315</v>
      </c>
      <c r="R52" s="162">
        <v>7164600</v>
      </c>
      <c r="S52" s="162">
        <v>1858</v>
      </c>
      <c r="T52" s="180">
        <v>5430.4</v>
      </c>
      <c r="U52" s="162">
        <v>2613191</v>
      </c>
      <c r="V52" s="162">
        <v>13777</v>
      </c>
      <c r="W52" s="180">
        <v>27156.1</v>
      </c>
      <c r="X52" s="162">
        <v>131260</v>
      </c>
      <c r="Y52" s="17">
        <v>36711</v>
      </c>
      <c r="Z52" s="162"/>
      <c r="AA52" s="125" t="s">
        <v>51</v>
      </c>
      <c r="AB52" s="16" t="s">
        <v>267</v>
      </c>
      <c r="AC52" s="180">
        <v>177302.2</v>
      </c>
      <c r="AD52" s="162">
        <v>419027</v>
      </c>
      <c r="AE52" s="162">
        <v>3697277</v>
      </c>
      <c r="AF52" s="180">
        <v>7881434.7000000002</v>
      </c>
      <c r="AG52" s="162">
        <v>561279</v>
      </c>
      <c r="AH52" s="180">
        <v>7926424.5999999996</v>
      </c>
      <c r="AI52" s="162">
        <v>346091</v>
      </c>
      <c r="AJ52" s="162">
        <v>4070848</v>
      </c>
      <c r="AK52" s="162">
        <v>33090840</v>
      </c>
      <c r="AL52" s="17">
        <v>0</v>
      </c>
    </row>
    <row r="53" spans="1:38" ht="15" customHeight="1" x14ac:dyDescent="0.2">
      <c r="A53" s="125" t="s">
        <v>52</v>
      </c>
      <c r="B53" s="16" t="s">
        <v>261</v>
      </c>
      <c r="C53" s="162">
        <v>6518</v>
      </c>
      <c r="D53" s="162">
        <v>110</v>
      </c>
      <c r="E53" s="226">
        <v>1.1060038379040942</v>
      </c>
      <c r="F53" s="180">
        <v>7208.9</v>
      </c>
      <c r="G53" s="162">
        <v>49196103</v>
      </c>
      <c r="H53" s="162">
        <v>294464</v>
      </c>
      <c r="I53" s="162">
        <v>49490567</v>
      </c>
      <c r="J53" s="162">
        <v>2225</v>
      </c>
      <c r="K53" s="180">
        <v>105646.41665799978</v>
      </c>
      <c r="L53" s="17">
        <v>450698.5</v>
      </c>
      <c r="M53" s="162"/>
      <c r="N53" s="125" t="s">
        <v>52</v>
      </c>
      <c r="O53" s="16" t="s">
        <v>261</v>
      </c>
      <c r="P53" s="180">
        <v>419588.1</v>
      </c>
      <c r="Q53" s="180">
        <v>525234.5</v>
      </c>
      <c r="R53" s="162">
        <v>14673866</v>
      </c>
      <c r="S53" s="162">
        <v>4000</v>
      </c>
      <c r="T53" s="180">
        <v>10925.1</v>
      </c>
      <c r="U53" s="162">
        <v>5257325</v>
      </c>
      <c r="V53" s="162">
        <v>34577</v>
      </c>
      <c r="W53" s="180">
        <v>70012.7</v>
      </c>
      <c r="X53" s="162">
        <v>338409</v>
      </c>
      <c r="Y53" s="17">
        <v>74671</v>
      </c>
      <c r="Z53" s="162"/>
      <c r="AA53" s="125" t="s">
        <v>52</v>
      </c>
      <c r="AB53" s="16" t="s">
        <v>261</v>
      </c>
      <c r="AC53" s="180">
        <v>366077.1</v>
      </c>
      <c r="AD53" s="162">
        <v>865167</v>
      </c>
      <c r="AE53" s="162">
        <v>4037157</v>
      </c>
      <c r="AF53" s="180">
        <v>9035310.4000000004</v>
      </c>
      <c r="AG53" s="162">
        <v>643452</v>
      </c>
      <c r="AH53" s="180">
        <v>4169415.4</v>
      </c>
      <c r="AI53" s="162">
        <v>182049</v>
      </c>
      <c r="AJ53" s="162">
        <v>7286402</v>
      </c>
      <c r="AK53" s="162">
        <v>71450835</v>
      </c>
      <c r="AL53" s="17">
        <v>0</v>
      </c>
    </row>
    <row r="54" spans="1:38" ht="15" customHeight="1" x14ac:dyDescent="0.2">
      <c r="A54" s="125" t="s">
        <v>53</v>
      </c>
      <c r="B54" s="16" t="s">
        <v>277</v>
      </c>
      <c r="C54" s="162">
        <v>330</v>
      </c>
      <c r="D54" s="162">
        <v>0</v>
      </c>
      <c r="E54" s="226">
        <v>0.86913871872245141</v>
      </c>
      <c r="F54" s="180">
        <v>286.8</v>
      </c>
      <c r="G54" s="162">
        <v>1957225</v>
      </c>
      <c r="H54" s="162">
        <v>0</v>
      </c>
      <c r="I54" s="162">
        <v>1957225</v>
      </c>
      <c r="J54" s="162">
        <v>166</v>
      </c>
      <c r="K54" s="180">
        <v>1952.9654579999933</v>
      </c>
      <c r="L54" s="17">
        <v>26570</v>
      </c>
      <c r="M54" s="162"/>
      <c r="N54" s="125" t="s">
        <v>53</v>
      </c>
      <c r="O54" s="16" t="s">
        <v>277</v>
      </c>
      <c r="P54" s="180">
        <v>13471</v>
      </c>
      <c r="Q54" s="180">
        <v>15424</v>
      </c>
      <c r="R54" s="162">
        <v>432657</v>
      </c>
      <c r="S54" s="162">
        <v>166</v>
      </c>
      <c r="T54" s="180">
        <v>344</v>
      </c>
      <c r="U54" s="162">
        <v>165538</v>
      </c>
      <c r="V54" s="162">
        <v>1380</v>
      </c>
      <c r="W54" s="180">
        <v>3007.8</v>
      </c>
      <c r="X54" s="162">
        <v>14538</v>
      </c>
      <c r="Y54" s="17">
        <v>4631</v>
      </c>
      <c r="Z54" s="162"/>
      <c r="AA54" s="125" t="s">
        <v>53</v>
      </c>
      <c r="AB54" s="16" t="s">
        <v>277</v>
      </c>
      <c r="AC54" s="180">
        <v>22965.3</v>
      </c>
      <c r="AD54" s="162">
        <v>54275</v>
      </c>
      <c r="AE54" s="162">
        <v>40727</v>
      </c>
      <c r="AF54" s="180">
        <v>83337.5</v>
      </c>
      <c r="AG54" s="162">
        <v>5935</v>
      </c>
      <c r="AH54" s="180">
        <v>17019</v>
      </c>
      <c r="AI54" s="162">
        <v>743</v>
      </c>
      <c r="AJ54" s="162">
        <v>241029</v>
      </c>
      <c r="AK54" s="162">
        <v>2630911</v>
      </c>
      <c r="AL54" s="17">
        <v>441814</v>
      </c>
    </row>
    <row r="55" spans="1:38" ht="15" customHeight="1" x14ac:dyDescent="0.2">
      <c r="A55" s="125" t="s">
        <v>54</v>
      </c>
      <c r="B55" s="16" t="s">
        <v>276</v>
      </c>
      <c r="C55" s="162">
        <v>725</v>
      </c>
      <c r="D55" s="162">
        <v>0</v>
      </c>
      <c r="E55" s="226">
        <v>5.7058523057126926</v>
      </c>
      <c r="F55" s="180">
        <v>4136.7</v>
      </c>
      <c r="G55" s="162">
        <v>28230315</v>
      </c>
      <c r="H55" s="162">
        <v>0</v>
      </c>
      <c r="I55" s="162">
        <v>28230315</v>
      </c>
      <c r="J55" s="162">
        <v>142</v>
      </c>
      <c r="K55" s="180">
        <v>42734.339244000068</v>
      </c>
      <c r="L55" s="17">
        <v>28925</v>
      </c>
      <c r="M55" s="162"/>
      <c r="N55" s="125" t="s">
        <v>54</v>
      </c>
      <c r="O55" s="16" t="s">
        <v>276</v>
      </c>
      <c r="P55" s="180">
        <v>123451.8</v>
      </c>
      <c r="Q55" s="180">
        <v>166186.1</v>
      </c>
      <c r="R55" s="162">
        <v>4651297</v>
      </c>
      <c r="S55" s="162">
        <v>146</v>
      </c>
      <c r="T55" s="180">
        <v>714.8</v>
      </c>
      <c r="U55" s="162">
        <v>343973</v>
      </c>
      <c r="V55" s="162">
        <v>4039</v>
      </c>
      <c r="W55" s="180">
        <v>5736.1</v>
      </c>
      <c r="X55" s="162">
        <v>27726</v>
      </c>
      <c r="Y55" s="17">
        <v>6022</v>
      </c>
      <c r="Z55" s="162"/>
      <c r="AA55" s="125" t="s">
        <v>54</v>
      </c>
      <c r="AB55" s="16" t="s">
        <v>276</v>
      </c>
      <c r="AC55" s="180">
        <v>24231.200000000001</v>
      </c>
      <c r="AD55" s="162">
        <v>57267</v>
      </c>
      <c r="AE55" s="162">
        <v>476140</v>
      </c>
      <c r="AF55" s="180">
        <v>1129193.2</v>
      </c>
      <c r="AG55" s="162">
        <v>80416</v>
      </c>
      <c r="AH55" s="180">
        <v>595281</v>
      </c>
      <c r="AI55" s="162">
        <v>25992</v>
      </c>
      <c r="AJ55" s="162">
        <v>535374</v>
      </c>
      <c r="AK55" s="162">
        <v>33416986</v>
      </c>
      <c r="AL55" s="17">
        <v>1677848</v>
      </c>
    </row>
    <row r="56" spans="1:38" ht="15" customHeight="1" x14ac:dyDescent="0.2">
      <c r="A56" s="125" t="s">
        <v>55</v>
      </c>
      <c r="B56" s="16" t="s">
        <v>275</v>
      </c>
      <c r="C56" s="162">
        <v>1706</v>
      </c>
      <c r="D56" s="162">
        <v>105</v>
      </c>
      <c r="E56" s="226">
        <v>1.049383604435651</v>
      </c>
      <c r="F56" s="180">
        <v>1790.2</v>
      </c>
      <c r="G56" s="162">
        <v>12216963</v>
      </c>
      <c r="H56" s="162">
        <v>70622</v>
      </c>
      <c r="I56" s="162">
        <v>12287585</v>
      </c>
      <c r="J56" s="162">
        <v>785</v>
      </c>
      <c r="K56" s="180">
        <v>26007.527957999864</v>
      </c>
      <c r="L56" s="17">
        <v>144186</v>
      </c>
      <c r="M56" s="162"/>
      <c r="N56" s="125" t="s">
        <v>55</v>
      </c>
      <c r="O56" s="16" t="s">
        <v>275</v>
      </c>
      <c r="P56" s="180">
        <v>121752.6</v>
      </c>
      <c r="Q56" s="180">
        <v>147760.1</v>
      </c>
      <c r="R56" s="162">
        <v>4129881</v>
      </c>
      <c r="S56" s="162">
        <v>1284</v>
      </c>
      <c r="T56" s="180">
        <v>3145</v>
      </c>
      <c r="U56" s="162">
        <v>1513422</v>
      </c>
      <c r="V56" s="162">
        <v>6676</v>
      </c>
      <c r="W56" s="180">
        <v>15232.7</v>
      </c>
      <c r="X56" s="162">
        <v>73628</v>
      </c>
      <c r="Y56" s="17">
        <v>24443</v>
      </c>
      <c r="Z56" s="162"/>
      <c r="AA56" s="125" t="s">
        <v>55</v>
      </c>
      <c r="AB56" s="16" t="s">
        <v>275</v>
      </c>
      <c r="AC56" s="180">
        <v>119936.8</v>
      </c>
      <c r="AD56" s="162">
        <v>283452</v>
      </c>
      <c r="AE56" s="162">
        <v>2012924</v>
      </c>
      <c r="AF56" s="180">
        <v>4694058.5</v>
      </c>
      <c r="AG56" s="162">
        <v>334289</v>
      </c>
      <c r="AH56" s="180">
        <v>1919557.3</v>
      </c>
      <c r="AI56" s="162">
        <v>83813</v>
      </c>
      <c r="AJ56" s="162">
        <v>2288604</v>
      </c>
      <c r="AK56" s="162">
        <v>18706070</v>
      </c>
      <c r="AL56" s="17">
        <v>2043783</v>
      </c>
    </row>
    <row r="57" spans="1:38" ht="15" customHeight="1" x14ac:dyDescent="0.2">
      <c r="A57" s="125" t="s">
        <v>437</v>
      </c>
      <c r="B57" s="16" t="s">
        <v>197</v>
      </c>
      <c r="C57" s="162">
        <v>0</v>
      </c>
      <c r="D57" s="162">
        <v>0</v>
      </c>
      <c r="E57" s="226">
        <v>0.72539999999999927</v>
      </c>
      <c r="F57" s="180">
        <v>0</v>
      </c>
      <c r="G57" s="162">
        <v>0</v>
      </c>
      <c r="H57" s="162">
        <v>0</v>
      </c>
      <c r="I57" s="162">
        <v>0</v>
      </c>
      <c r="J57" s="162">
        <v>0</v>
      </c>
      <c r="K57" s="180">
        <v>-2.8421709430404007E-14</v>
      </c>
      <c r="L57" s="17">
        <v>750.00059999999996</v>
      </c>
      <c r="M57" s="162"/>
      <c r="N57" s="125" t="s">
        <v>437</v>
      </c>
      <c r="O57" s="16" t="s">
        <v>197</v>
      </c>
      <c r="P57" s="180">
        <v>3.0420000001640801E-4</v>
      </c>
      <c r="Q57" s="180">
        <v>0</v>
      </c>
      <c r="R57" s="162">
        <v>0</v>
      </c>
      <c r="S57" s="162">
        <v>0</v>
      </c>
      <c r="T57" s="180">
        <v>0</v>
      </c>
      <c r="U57" s="162">
        <v>0</v>
      </c>
      <c r="V57" s="162">
        <v>0</v>
      </c>
      <c r="W57" s="180">
        <v>0</v>
      </c>
      <c r="X57" s="162">
        <v>0</v>
      </c>
      <c r="Y57" s="17">
        <v>0</v>
      </c>
      <c r="Z57" s="162"/>
      <c r="AA57" s="125" t="s">
        <v>437</v>
      </c>
      <c r="AB57" s="16" t="s">
        <v>197</v>
      </c>
      <c r="AC57" s="180">
        <v>0</v>
      </c>
      <c r="AD57" s="162">
        <v>0</v>
      </c>
      <c r="AE57" s="162">
        <v>0</v>
      </c>
      <c r="AF57" s="180">
        <v>0</v>
      </c>
      <c r="AG57" s="162">
        <v>0</v>
      </c>
      <c r="AH57" s="180">
        <v>0</v>
      </c>
      <c r="AI57" s="162">
        <v>0</v>
      </c>
      <c r="AJ57" s="162">
        <v>0</v>
      </c>
      <c r="AK57" s="162">
        <v>0</v>
      </c>
      <c r="AL57" s="17">
        <v>0</v>
      </c>
    </row>
    <row r="58" spans="1:38" ht="15" customHeight="1" x14ac:dyDescent="0.2">
      <c r="A58" s="125" t="s">
        <v>56</v>
      </c>
      <c r="B58" s="16" t="s">
        <v>274</v>
      </c>
      <c r="C58" s="162">
        <v>23</v>
      </c>
      <c r="D58" s="162">
        <v>0</v>
      </c>
      <c r="E58" s="226">
        <v>0.85246443498112512</v>
      </c>
      <c r="F58" s="180">
        <v>19.600000000000001</v>
      </c>
      <c r="G58" s="162">
        <v>133757</v>
      </c>
      <c r="H58" s="162">
        <v>0</v>
      </c>
      <c r="I58" s="162">
        <v>133757</v>
      </c>
      <c r="J58" s="162">
        <v>12</v>
      </c>
      <c r="K58" s="180">
        <v>327.83410800000007</v>
      </c>
      <c r="L58" s="17">
        <v>2190</v>
      </c>
      <c r="M58" s="162"/>
      <c r="N58" s="125" t="s">
        <v>56</v>
      </c>
      <c r="O58" s="16" t="s">
        <v>274</v>
      </c>
      <c r="P58" s="180">
        <v>1227.8</v>
      </c>
      <c r="Q58" s="180">
        <v>1555.7</v>
      </c>
      <c r="R58" s="162">
        <v>43639</v>
      </c>
      <c r="S58" s="162">
        <v>9</v>
      </c>
      <c r="T58" s="180">
        <v>39.6</v>
      </c>
      <c r="U58" s="162">
        <v>19056</v>
      </c>
      <c r="V58" s="162">
        <v>429</v>
      </c>
      <c r="W58" s="180">
        <v>589.9</v>
      </c>
      <c r="X58" s="162">
        <v>2851</v>
      </c>
      <c r="Y58" s="17">
        <v>746</v>
      </c>
      <c r="Z58" s="162"/>
      <c r="AA58" s="125" t="s">
        <v>56</v>
      </c>
      <c r="AB58" s="16" t="s">
        <v>274</v>
      </c>
      <c r="AC58" s="180">
        <v>2624.4</v>
      </c>
      <c r="AD58" s="162">
        <v>6202</v>
      </c>
      <c r="AE58" s="162">
        <v>44264</v>
      </c>
      <c r="AF58" s="180">
        <v>75616.5</v>
      </c>
      <c r="AG58" s="162">
        <v>5385</v>
      </c>
      <c r="AH58" s="180">
        <v>74155</v>
      </c>
      <c r="AI58" s="162">
        <v>3238</v>
      </c>
      <c r="AJ58" s="162">
        <v>36732</v>
      </c>
      <c r="AK58" s="162">
        <v>214128</v>
      </c>
      <c r="AL58" s="17">
        <v>22164</v>
      </c>
    </row>
    <row r="59" spans="1:38" ht="15" customHeight="1" x14ac:dyDescent="0.2">
      <c r="A59" s="125" t="s">
        <v>490</v>
      </c>
      <c r="B59" s="16" t="s">
        <v>489</v>
      </c>
      <c r="C59" s="162">
        <v>323</v>
      </c>
      <c r="D59" s="162">
        <v>0</v>
      </c>
      <c r="E59" s="226">
        <v>1.4666037354949359</v>
      </c>
      <c r="F59" s="180">
        <v>473.7</v>
      </c>
      <c r="G59" s="162">
        <v>3232698</v>
      </c>
      <c r="H59" s="162">
        <v>34877</v>
      </c>
      <c r="I59" s="162">
        <v>3267575</v>
      </c>
      <c r="J59" s="162">
        <v>136</v>
      </c>
      <c r="K59" s="180">
        <v>8467.3800859999938</v>
      </c>
      <c r="L59" s="17">
        <v>23701</v>
      </c>
      <c r="M59" s="162"/>
      <c r="N59" s="125" t="s">
        <v>490</v>
      </c>
      <c r="O59" s="16" t="s">
        <v>489</v>
      </c>
      <c r="P59" s="180">
        <v>24126.6</v>
      </c>
      <c r="Q59" s="180">
        <v>32594</v>
      </c>
      <c r="R59" s="162">
        <v>913209</v>
      </c>
      <c r="S59" s="162">
        <v>255</v>
      </c>
      <c r="T59" s="180">
        <v>582.5</v>
      </c>
      <c r="U59" s="162">
        <v>280308</v>
      </c>
      <c r="V59" s="162">
        <v>632</v>
      </c>
      <c r="W59" s="180">
        <v>1516.1</v>
      </c>
      <c r="X59" s="162">
        <v>7328</v>
      </c>
      <c r="Y59" s="17">
        <v>1835</v>
      </c>
      <c r="Z59" s="162"/>
      <c r="AA59" s="125" t="s">
        <v>490</v>
      </c>
      <c r="AB59" s="16" t="s">
        <v>489</v>
      </c>
      <c r="AC59" s="180">
        <v>12419.8</v>
      </c>
      <c r="AD59" s="162">
        <v>29352</v>
      </c>
      <c r="AE59" s="162">
        <v>366837</v>
      </c>
      <c r="AF59" s="180">
        <v>836764</v>
      </c>
      <c r="AG59" s="162">
        <v>59590</v>
      </c>
      <c r="AH59" s="180">
        <v>482537</v>
      </c>
      <c r="AI59" s="162">
        <v>21069</v>
      </c>
      <c r="AJ59" s="162">
        <v>397647</v>
      </c>
      <c r="AK59" s="162">
        <v>4578431</v>
      </c>
      <c r="AL59" s="17">
        <v>226296</v>
      </c>
    </row>
    <row r="60" spans="1:38" ht="15" customHeight="1" x14ac:dyDescent="0.2">
      <c r="A60" s="125" t="s">
        <v>129</v>
      </c>
      <c r="B60" s="16" t="s">
        <v>273</v>
      </c>
      <c r="C60" s="162">
        <v>33</v>
      </c>
      <c r="D60" s="162">
        <v>0</v>
      </c>
      <c r="E60" s="226">
        <v>0.72539999999999938</v>
      </c>
      <c r="F60" s="180">
        <v>23.9</v>
      </c>
      <c r="G60" s="162">
        <v>163102</v>
      </c>
      <c r="H60" s="162">
        <v>0</v>
      </c>
      <c r="I60" s="162">
        <v>163102</v>
      </c>
      <c r="J60" s="162">
        <v>12</v>
      </c>
      <c r="K60" s="180">
        <v>109.51200000000001</v>
      </c>
      <c r="L60" s="17">
        <v>1560</v>
      </c>
      <c r="M60" s="162"/>
      <c r="N60" s="125" t="s">
        <v>129</v>
      </c>
      <c r="O60" s="16" t="s">
        <v>273</v>
      </c>
      <c r="P60" s="180">
        <v>790.9</v>
      </c>
      <c r="Q60" s="180">
        <v>900.4</v>
      </c>
      <c r="R60" s="162">
        <v>25257</v>
      </c>
      <c r="S60" s="162">
        <v>18</v>
      </c>
      <c r="T60" s="180">
        <v>42</v>
      </c>
      <c r="U60" s="162">
        <v>20211</v>
      </c>
      <c r="V60" s="162">
        <v>215</v>
      </c>
      <c r="W60" s="180">
        <v>366.3</v>
      </c>
      <c r="X60" s="162">
        <v>1771</v>
      </c>
      <c r="Y60" s="17">
        <v>376</v>
      </c>
      <c r="Z60" s="162"/>
      <c r="AA60" s="125" t="s">
        <v>129</v>
      </c>
      <c r="AB60" s="16" t="s">
        <v>273</v>
      </c>
      <c r="AC60" s="180">
        <v>2148.4</v>
      </c>
      <c r="AD60" s="162">
        <v>5077</v>
      </c>
      <c r="AE60" s="162">
        <v>106863</v>
      </c>
      <c r="AF60" s="180">
        <v>198004.7</v>
      </c>
      <c r="AG60" s="162">
        <v>14101</v>
      </c>
      <c r="AH60" s="180">
        <v>64534</v>
      </c>
      <c r="AI60" s="162">
        <v>2818</v>
      </c>
      <c r="AJ60" s="162">
        <v>43978</v>
      </c>
      <c r="AK60" s="162">
        <v>232337</v>
      </c>
      <c r="AL60" s="17">
        <v>19229</v>
      </c>
    </row>
    <row r="61" spans="1:38" ht="15" customHeight="1" x14ac:dyDescent="0.2">
      <c r="A61" s="125" t="s">
        <v>57</v>
      </c>
      <c r="B61" s="16" t="s">
        <v>272</v>
      </c>
      <c r="C61" s="162">
        <v>104</v>
      </c>
      <c r="D61" s="162">
        <v>0</v>
      </c>
      <c r="E61" s="226">
        <v>1.1508380107628151</v>
      </c>
      <c r="F61" s="180">
        <v>119.7</v>
      </c>
      <c r="G61" s="162">
        <v>816875</v>
      </c>
      <c r="H61" s="162">
        <v>0</v>
      </c>
      <c r="I61" s="162">
        <v>816875</v>
      </c>
      <c r="J61" s="162">
        <v>41</v>
      </c>
      <c r="K61" s="180">
        <v>1589.9408640000006</v>
      </c>
      <c r="L61" s="17">
        <v>8605</v>
      </c>
      <c r="M61" s="162"/>
      <c r="N61" s="125" t="s">
        <v>57</v>
      </c>
      <c r="O61" s="16" t="s">
        <v>272</v>
      </c>
      <c r="P61" s="180">
        <v>8183.3</v>
      </c>
      <c r="Q61" s="180">
        <v>9773.2000000000007</v>
      </c>
      <c r="R61" s="162">
        <v>273042</v>
      </c>
      <c r="S61" s="162">
        <v>101</v>
      </c>
      <c r="T61" s="180">
        <v>260.8</v>
      </c>
      <c r="U61" s="162">
        <v>125501</v>
      </c>
      <c r="V61" s="162">
        <v>935</v>
      </c>
      <c r="W61" s="180">
        <v>1382.8</v>
      </c>
      <c r="X61" s="162">
        <v>6684</v>
      </c>
      <c r="Y61" s="17">
        <v>2150</v>
      </c>
      <c r="Z61" s="162"/>
      <c r="AA61" s="125" t="s">
        <v>57</v>
      </c>
      <c r="AB61" s="16" t="s">
        <v>272</v>
      </c>
      <c r="AC61" s="180">
        <v>7740</v>
      </c>
      <c r="AD61" s="162">
        <v>18292</v>
      </c>
      <c r="AE61" s="162">
        <v>215055</v>
      </c>
      <c r="AF61" s="180">
        <v>435441.8</v>
      </c>
      <c r="AG61" s="162">
        <v>31010</v>
      </c>
      <c r="AH61" s="180">
        <v>250158</v>
      </c>
      <c r="AI61" s="162">
        <v>10923</v>
      </c>
      <c r="AJ61" s="162">
        <v>192410</v>
      </c>
      <c r="AK61" s="162">
        <v>1282327</v>
      </c>
      <c r="AL61" s="17">
        <v>44047</v>
      </c>
    </row>
    <row r="62" spans="1:38" ht="15" customHeight="1" x14ac:dyDescent="0.2">
      <c r="A62" s="125" t="s">
        <v>58</v>
      </c>
      <c r="B62" s="16" t="s">
        <v>271</v>
      </c>
      <c r="C62" s="162">
        <v>2437</v>
      </c>
      <c r="D62" s="162">
        <v>120</v>
      </c>
      <c r="E62" s="226">
        <v>1.1279672901523015</v>
      </c>
      <c r="F62" s="180">
        <v>2748.9</v>
      </c>
      <c r="G62" s="162">
        <v>18759473</v>
      </c>
      <c r="H62" s="162">
        <v>96411</v>
      </c>
      <c r="I62" s="162">
        <v>18855884</v>
      </c>
      <c r="J62" s="162">
        <v>630</v>
      </c>
      <c r="K62" s="180">
        <v>35766.816785999959</v>
      </c>
      <c r="L62" s="17">
        <v>141777</v>
      </c>
      <c r="M62" s="162"/>
      <c r="N62" s="125" t="s">
        <v>58</v>
      </c>
      <c r="O62" s="16" t="s">
        <v>271</v>
      </c>
      <c r="P62" s="180">
        <v>140338.5</v>
      </c>
      <c r="Q62" s="180">
        <v>176105.3</v>
      </c>
      <c r="R62" s="162">
        <v>4924855</v>
      </c>
      <c r="S62" s="162">
        <v>1239</v>
      </c>
      <c r="T62" s="180">
        <v>3904.4</v>
      </c>
      <c r="U62" s="162">
        <v>1878857</v>
      </c>
      <c r="V62" s="162">
        <v>9610</v>
      </c>
      <c r="W62" s="180">
        <v>22018.5</v>
      </c>
      <c r="X62" s="162">
        <v>106427</v>
      </c>
      <c r="Y62" s="17">
        <v>23215</v>
      </c>
      <c r="Z62" s="162"/>
      <c r="AA62" s="125" t="s">
        <v>58</v>
      </c>
      <c r="AB62" s="16" t="s">
        <v>271</v>
      </c>
      <c r="AC62" s="180">
        <v>104737.5</v>
      </c>
      <c r="AD62" s="162">
        <v>247531</v>
      </c>
      <c r="AE62" s="162">
        <v>1273533</v>
      </c>
      <c r="AF62" s="180">
        <v>3094290.2</v>
      </c>
      <c r="AG62" s="162">
        <v>220361</v>
      </c>
      <c r="AH62" s="180">
        <v>2416910.6</v>
      </c>
      <c r="AI62" s="162">
        <v>105529</v>
      </c>
      <c r="AJ62" s="162">
        <v>2558705</v>
      </c>
      <c r="AK62" s="162">
        <v>26339444</v>
      </c>
      <c r="AL62" s="17">
        <v>0</v>
      </c>
    </row>
    <row r="63" spans="1:38" ht="15" customHeight="1" x14ac:dyDescent="0.2">
      <c r="A63" s="125" t="s">
        <v>59</v>
      </c>
      <c r="B63" s="16" t="s">
        <v>270</v>
      </c>
      <c r="C63" s="162">
        <v>5892</v>
      </c>
      <c r="D63" s="162">
        <v>300</v>
      </c>
      <c r="E63" s="226">
        <v>1.0781043863718234</v>
      </c>
      <c r="F63" s="180">
        <v>6352.2</v>
      </c>
      <c r="G63" s="162">
        <v>43349677</v>
      </c>
      <c r="H63" s="162">
        <v>364117</v>
      </c>
      <c r="I63" s="162">
        <v>43713794</v>
      </c>
      <c r="J63" s="162">
        <v>2170</v>
      </c>
      <c r="K63" s="180">
        <v>93875.264401999637</v>
      </c>
      <c r="L63" s="17">
        <v>423089</v>
      </c>
      <c r="M63" s="162"/>
      <c r="N63" s="125" t="s">
        <v>59</v>
      </c>
      <c r="O63" s="16" t="s">
        <v>270</v>
      </c>
      <c r="P63" s="180">
        <v>373412.1</v>
      </c>
      <c r="Q63" s="180">
        <v>467287.4</v>
      </c>
      <c r="R63" s="162">
        <v>13054954</v>
      </c>
      <c r="S63" s="162">
        <v>3373</v>
      </c>
      <c r="T63" s="180">
        <v>9799.7999999999993</v>
      </c>
      <c r="U63" s="162">
        <v>4715814</v>
      </c>
      <c r="V63" s="162">
        <v>34372</v>
      </c>
      <c r="W63" s="180">
        <v>63013.3</v>
      </c>
      <c r="X63" s="162">
        <v>304577</v>
      </c>
      <c r="Y63" s="17">
        <v>64422</v>
      </c>
      <c r="Z63" s="162"/>
      <c r="AA63" s="125" t="s">
        <v>59</v>
      </c>
      <c r="AB63" s="16" t="s">
        <v>270</v>
      </c>
      <c r="AC63" s="180">
        <v>305349.59999999998</v>
      </c>
      <c r="AD63" s="162">
        <v>721647</v>
      </c>
      <c r="AE63" s="162">
        <v>8155990</v>
      </c>
      <c r="AF63" s="180">
        <v>18848043.199999999</v>
      </c>
      <c r="AG63" s="162">
        <v>1342269</v>
      </c>
      <c r="AH63" s="180">
        <v>18290071.100000001</v>
      </c>
      <c r="AI63" s="162">
        <v>798598</v>
      </c>
      <c r="AJ63" s="162">
        <v>7882905</v>
      </c>
      <c r="AK63" s="162">
        <v>64651653</v>
      </c>
      <c r="AL63" s="17">
        <v>0</v>
      </c>
    </row>
    <row r="64" spans="1:38" ht="15" customHeight="1" x14ac:dyDescent="0.2">
      <c r="A64" s="125" t="s">
        <v>469</v>
      </c>
      <c r="B64" s="16" t="s">
        <v>230</v>
      </c>
      <c r="C64" s="162">
        <v>1064</v>
      </c>
      <c r="D64" s="162">
        <v>80</v>
      </c>
      <c r="E64" s="226">
        <v>1.2228528754931942</v>
      </c>
      <c r="F64" s="180">
        <v>1301.0999999999999</v>
      </c>
      <c r="G64" s="162">
        <v>8879170</v>
      </c>
      <c r="H64" s="162">
        <v>60087</v>
      </c>
      <c r="I64" s="162">
        <v>8939257</v>
      </c>
      <c r="J64" s="162">
        <v>329</v>
      </c>
      <c r="K64" s="180">
        <v>19796.505578000058</v>
      </c>
      <c r="L64" s="17">
        <v>62279</v>
      </c>
      <c r="M64" s="162"/>
      <c r="N64" s="125" t="s">
        <v>469</v>
      </c>
      <c r="O64" s="16" t="s">
        <v>230</v>
      </c>
      <c r="P64" s="180">
        <v>65393.4</v>
      </c>
      <c r="Q64" s="180">
        <v>85189.900000000009</v>
      </c>
      <c r="R64" s="162">
        <v>2380998</v>
      </c>
      <c r="S64" s="162">
        <v>561</v>
      </c>
      <c r="T64" s="180">
        <v>1835.3</v>
      </c>
      <c r="U64" s="162">
        <v>883174</v>
      </c>
      <c r="V64" s="162">
        <v>5567</v>
      </c>
      <c r="W64" s="180">
        <v>9852</v>
      </c>
      <c r="X64" s="162">
        <v>47620</v>
      </c>
      <c r="Y64" s="17">
        <v>12692</v>
      </c>
      <c r="Z64" s="162"/>
      <c r="AA64" s="125" t="s">
        <v>469</v>
      </c>
      <c r="AB64" s="16" t="s">
        <v>230</v>
      </c>
      <c r="AC64" s="180">
        <v>57049</v>
      </c>
      <c r="AD64" s="162">
        <v>134827</v>
      </c>
      <c r="AE64" s="162">
        <v>670622</v>
      </c>
      <c r="AF64" s="180">
        <v>1543464.5</v>
      </c>
      <c r="AG64" s="162">
        <v>109918</v>
      </c>
      <c r="AH64" s="180">
        <v>374437</v>
      </c>
      <c r="AI64" s="162">
        <v>16349</v>
      </c>
      <c r="AJ64" s="162">
        <v>1191888</v>
      </c>
      <c r="AK64" s="162">
        <v>12512143</v>
      </c>
      <c r="AL64" s="17">
        <v>0</v>
      </c>
    </row>
    <row r="65" spans="1:38" ht="15" customHeight="1" x14ac:dyDescent="0.2">
      <c r="A65" s="125" t="s">
        <v>438</v>
      </c>
      <c r="B65" s="16" t="s">
        <v>244</v>
      </c>
      <c r="C65" s="162">
        <v>6756</v>
      </c>
      <c r="D65" s="162">
        <v>375</v>
      </c>
      <c r="E65" s="226">
        <v>1.1561286527063519</v>
      </c>
      <c r="F65" s="180">
        <v>7810.8</v>
      </c>
      <c r="G65" s="162">
        <v>53303683</v>
      </c>
      <c r="H65" s="162">
        <v>534146</v>
      </c>
      <c r="I65" s="162">
        <v>53837829</v>
      </c>
      <c r="J65" s="162">
        <v>2600</v>
      </c>
      <c r="K65" s="180">
        <v>143192.99580300355</v>
      </c>
      <c r="L65" s="17">
        <v>502229</v>
      </c>
      <c r="M65" s="162"/>
      <c r="N65" s="125" t="s">
        <v>438</v>
      </c>
      <c r="O65" s="16" t="s">
        <v>244</v>
      </c>
      <c r="P65" s="180">
        <v>487797.7</v>
      </c>
      <c r="Q65" s="180">
        <v>630990.70000000007</v>
      </c>
      <c r="R65" s="162">
        <v>17632117</v>
      </c>
      <c r="S65" s="162">
        <v>4019</v>
      </c>
      <c r="T65" s="180">
        <v>12942.8</v>
      </c>
      <c r="U65" s="162">
        <v>6228273</v>
      </c>
      <c r="V65" s="162">
        <v>25358</v>
      </c>
      <c r="W65" s="180">
        <v>53351.1</v>
      </c>
      <c r="X65" s="162">
        <v>257874</v>
      </c>
      <c r="Y65" s="17">
        <v>79681</v>
      </c>
      <c r="Z65" s="162"/>
      <c r="AA65" s="125" t="s">
        <v>438</v>
      </c>
      <c r="AB65" s="16" t="s">
        <v>244</v>
      </c>
      <c r="AC65" s="180">
        <v>381392.2</v>
      </c>
      <c r="AD65" s="162">
        <v>901362</v>
      </c>
      <c r="AE65" s="162">
        <v>6259202</v>
      </c>
      <c r="AF65" s="180">
        <v>14189600.699999999</v>
      </c>
      <c r="AG65" s="162">
        <v>1010516</v>
      </c>
      <c r="AH65" s="180">
        <v>10960558.300000001</v>
      </c>
      <c r="AI65" s="162">
        <v>478570</v>
      </c>
      <c r="AJ65" s="162">
        <v>8876595</v>
      </c>
      <c r="AK65" s="162">
        <v>80346541</v>
      </c>
      <c r="AL65" s="17">
        <v>0</v>
      </c>
    </row>
    <row r="66" spans="1:38" ht="15" customHeight="1" x14ac:dyDescent="0.2">
      <c r="A66" s="125" t="s">
        <v>60</v>
      </c>
      <c r="B66" s="16" t="s">
        <v>269</v>
      </c>
      <c r="C66" s="162">
        <v>2305</v>
      </c>
      <c r="D66" s="162">
        <v>95</v>
      </c>
      <c r="E66" s="226">
        <v>1.0929109188840616</v>
      </c>
      <c r="F66" s="180">
        <v>2519.1999999999998</v>
      </c>
      <c r="G66" s="162">
        <v>17191919</v>
      </c>
      <c r="H66" s="162">
        <v>140910</v>
      </c>
      <c r="I66" s="162">
        <v>17332829</v>
      </c>
      <c r="J66" s="162">
        <v>823</v>
      </c>
      <c r="K66" s="180">
        <v>37656.016802999824</v>
      </c>
      <c r="L66" s="17">
        <v>157843</v>
      </c>
      <c r="M66" s="162"/>
      <c r="N66" s="125" t="s">
        <v>60</v>
      </c>
      <c r="O66" s="16" t="s">
        <v>269</v>
      </c>
      <c r="P66" s="180">
        <v>140344.1</v>
      </c>
      <c r="Q66" s="180">
        <v>178000.19999999998</v>
      </c>
      <c r="R66" s="162">
        <v>4972922</v>
      </c>
      <c r="S66" s="162">
        <v>1205</v>
      </c>
      <c r="T66" s="180">
        <v>3720.2</v>
      </c>
      <c r="U66" s="162">
        <v>1790217</v>
      </c>
      <c r="V66" s="162">
        <v>10304</v>
      </c>
      <c r="W66" s="180">
        <v>19846.2</v>
      </c>
      <c r="X66" s="162">
        <v>95927</v>
      </c>
      <c r="Y66" s="17">
        <v>28638</v>
      </c>
      <c r="Z66" s="162"/>
      <c r="AA66" s="125" t="s">
        <v>60</v>
      </c>
      <c r="AB66" s="16" t="s">
        <v>269</v>
      </c>
      <c r="AC66" s="180">
        <v>124029.6</v>
      </c>
      <c r="AD66" s="162">
        <v>293125</v>
      </c>
      <c r="AE66" s="162">
        <v>1723772</v>
      </c>
      <c r="AF66" s="180">
        <v>4220778.9000000004</v>
      </c>
      <c r="AG66" s="162">
        <v>300584</v>
      </c>
      <c r="AH66" s="180">
        <v>3190670.4</v>
      </c>
      <c r="AI66" s="162">
        <v>139314</v>
      </c>
      <c r="AJ66" s="162">
        <v>2619167</v>
      </c>
      <c r="AK66" s="162">
        <v>24924918</v>
      </c>
      <c r="AL66" s="17">
        <v>0</v>
      </c>
    </row>
    <row r="67" spans="1:38" ht="15" customHeight="1" x14ac:dyDescent="0.2">
      <c r="A67" s="125" t="s">
        <v>473</v>
      </c>
      <c r="B67" s="16" t="s">
        <v>472</v>
      </c>
      <c r="C67" s="162">
        <v>2474</v>
      </c>
      <c r="D67" s="162">
        <v>100</v>
      </c>
      <c r="E67" s="226">
        <v>1.0444036660196456</v>
      </c>
      <c r="F67" s="180">
        <v>2583.9</v>
      </c>
      <c r="G67" s="162">
        <v>17633455</v>
      </c>
      <c r="H67" s="162">
        <v>181206</v>
      </c>
      <c r="I67" s="162">
        <v>17814661</v>
      </c>
      <c r="J67" s="162">
        <v>872</v>
      </c>
      <c r="K67" s="180">
        <v>36327.149792000295</v>
      </c>
      <c r="L67" s="17">
        <v>171236.5</v>
      </c>
      <c r="M67" s="162"/>
      <c r="N67" s="125" t="s">
        <v>473</v>
      </c>
      <c r="O67" s="16" t="s">
        <v>472</v>
      </c>
      <c r="P67" s="180">
        <v>149429.9</v>
      </c>
      <c r="Q67" s="180">
        <v>185757</v>
      </c>
      <c r="R67" s="162">
        <v>5189631</v>
      </c>
      <c r="S67" s="162">
        <v>1495</v>
      </c>
      <c r="T67" s="180">
        <v>4437.2</v>
      </c>
      <c r="U67" s="162">
        <v>2135248</v>
      </c>
      <c r="V67" s="162">
        <v>10631</v>
      </c>
      <c r="W67" s="180">
        <v>23100.400000000001</v>
      </c>
      <c r="X67" s="162">
        <v>111656</v>
      </c>
      <c r="Y67" s="17">
        <v>27364</v>
      </c>
      <c r="Z67" s="162"/>
      <c r="AA67" s="125" t="s">
        <v>473</v>
      </c>
      <c r="AB67" s="16" t="s">
        <v>472</v>
      </c>
      <c r="AC67" s="180">
        <v>130762.6</v>
      </c>
      <c r="AD67" s="162">
        <v>309037</v>
      </c>
      <c r="AE67" s="162">
        <v>2678419</v>
      </c>
      <c r="AF67" s="180">
        <v>6142403.7000000002</v>
      </c>
      <c r="AG67" s="162">
        <v>437433</v>
      </c>
      <c r="AH67" s="180">
        <v>3201869.4</v>
      </c>
      <c r="AI67" s="162">
        <v>139803</v>
      </c>
      <c r="AJ67" s="162">
        <v>3133177</v>
      </c>
      <c r="AK67" s="162">
        <v>26137469</v>
      </c>
      <c r="AL67" s="17">
        <v>2541217</v>
      </c>
    </row>
    <row r="68" spans="1:38" ht="15" customHeight="1" x14ac:dyDescent="0.2">
      <c r="A68" s="125" t="s">
        <v>61</v>
      </c>
      <c r="B68" s="16" t="s">
        <v>265</v>
      </c>
      <c r="C68" s="162">
        <v>82</v>
      </c>
      <c r="D68" s="162">
        <v>25</v>
      </c>
      <c r="E68" s="226">
        <v>0.90312745295869556</v>
      </c>
      <c r="F68" s="180">
        <v>74.099999999999994</v>
      </c>
      <c r="G68" s="162">
        <v>505685</v>
      </c>
      <c r="H68" s="162">
        <v>0</v>
      </c>
      <c r="I68" s="162">
        <v>505685</v>
      </c>
      <c r="J68" s="162">
        <v>48</v>
      </c>
      <c r="K68" s="180">
        <v>686.61020399999984</v>
      </c>
      <c r="L68" s="17">
        <v>8935</v>
      </c>
      <c r="M68" s="162"/>
      <c r="N68" s="125" t="s">
        <v>61</v>
      </c>
      <c r="O68" s="16" t="s">
        <v>265</v>
      </c>
      <c r="P68" s="180">
        <v>5732.7</v>
      </c>
      <c r="Q68" s="180">
        <v>6419.3</v>
      </c>
      <c r="R68" s="162">
        <v>179935</v>
      </c>
      <c r="S68" s="162">
        <v>87</v>
      </c>
      <c r="T68" s="180">
        <v>184.6</v>
      </c>
      <c r="U68" s="162">
        <v>88832</v>
      </c>
      <c r="V68" s="162">
        <v>1015</v>
      </c>
      <c r="W68" s="180">
        <v>1602.5</v>
      </c>
      <c r="X68" s="162">
        <v>7746</v>
      </c>
      <c r="Y68" s="17">
        <v>2524</v>
      </c>
      <c r="Z68" s="162"/>
      <c r="AA68" s="125" t="s">
        <v>61</v>
      </c>
      <c r="AB68" s="16" t="s">
        <v>265</v>
      </c>
      <c r="AC68" s="180">
        <v>7580.9</v>
      </c>
      <c r="AD68" s="162">
        <v>17916</v>
      </c>
      <c r="AE68" s="162">
        <v>95922</v>
      </c>
      <c r="AF68" s="180">
        <v>199233.7</v>
      </c>
      <c r="AG68" s="162">
        <v>14188</v>
      </c>
      <c r="AH68" s="180">
        <v>63951.5</v>
      </c>
      <c r="AI68" s="162">
        <v>2792</v>
      </c>
      <c r="AJ68" s="162">
        <v>131474</v>
      </c>
      <c r="AK68" s="162">
        <v>817094</v>
      </c>
      <c r="AL68" s="17">
        <v>36435</v>
      </c>
    </row>
    <row r="69" spans="1:38" ht="15" customHeight="1" x14ac:dyDescent="0.2">
      <c r="A69" s="125" t="s">
        <v>62</v>
      </c>
      <c r="B69" s="16" t="s">
        <v>264</v>
      </c>
      <c r="C69" s="162">
        <v>48</v>
      </c>
      <c r="D69" s="162">
        <v>0</v>
      </c>
      <c r="E69" s="226">
        <v>1.4866376242720647</v>
      </c>
      <c r="F69" s="180">
        <v>71.400000000000006</v>
      </c>
      <c r="G69" s="162">
        <v>487259</v>
      </c>
      <c r="H69" s="162">
        <v>0</v>
      </c>
      <c r="I69" s="162">
        <v>487259</v>
      </c>
      <c r="J69" s="162">
        <v>29</v>
      </c>
      <c r="K69" s="180">
        <v>2611.439946</v>
      </c>
      <c r="L69" s="17">
        <v>4728</v>
      </c>
      <c r="M69" s="162"/>
      <c r="N69" s="125" t="s">
        <v>62</v>
      </c>
      <c r="O69" s="16" t="s">
        <v>264</v>
      </c>
      <c r="P69" s="180">
        <v>6607.5</v>
      </c>
      <c r="Q69" s="180">
        <v>9219</v>
      </c>
      <c r="R69" s="162">
        <v>257771</v>
      </c>
      <c r="S69" s="162">
        <v>29</v>
      </c>
      <c r="T69" s="180">
        <v>84.1</v>
      </c>
      <c r="U69" s="162">
        <v>40470</v>
      </c>
      <c r="V69" s="162">
        <v>110</v>
      </c>
      <c r="W69" s="180">
        <v>258.10000000000002</v>
      </c>
      <c r="X69" s="162">
        <v>1248</v>
      </c>
      <c r="Y69" s="17">
        <v>586</v>
      </c>
      <c r="Z69" s="162"/>
      <c r="AA69" s="125" t="s">
        <v>62</v>
      </c>
      <c r="AB69" s="16" t="s">
        <v>264</v>
      </c>
      <c r="AC69" s="180">
        <v>3150.7</v>
      </c>
      <c r="AD69" s="162">
        <v>7446</v>
      </c>
      <c r="AE69" s="162">
        <v>1520</v>
      </c>
      <c r="AF69" s="180">
        <v>3721.8</v>
      </c>
      <c r="AG69" s="162">
        <v>265</v>
      </c>
      <c r="AH69" s="180">
        <v>3475</v>
      </c>
      <c r="AI69" s="162">
        <v>152</v>
      </c>
      <c r="AJ69" s="162">
        <v>49581</v>
      </c>
      <c r="AK69" s="162">
        <v>794611</v>
      </c>
      <c r="AL69" s="17">
        <v>14099</v>
      </c>
    </row>
    <row r="70" spans="1:38" ht="15" customHeight="1" x14ac:dyDescent="0.2">
      <c r="A70" s="125" t="s">
        <v>63</v>
      </c>
      <c r="B70" s="16" t="s">
        <v>263</v>
      </c>
      <c r="C70" s="162">
        <v>96</v>
      </c>
      <c r="D70" s="162">
        <v>0</v>
      </c>
      <c r="E70" s="226">
        <v>1.0455540637475083</v>
      </c>
      <c r="F70" s="180">
        <v>100.4</v>
      </c>
      <c r="G70" s="162">
        <v>685165</v>
      </c>
      <c r="H70" s="162">
        <v>0</v>
      </c>
      <c r="I70" s="162">
        <v>685165</v>
      </c>
      <c r="J70" s="162">
        <v>38</v>
      </c>
      <c r="K70" s="180">
        <v>2110.733999999999</v>
      </c>
      <c r="L70" s="17">
        <v>6719</v>
      </c>
      <c r="M70" s="162"/>
      <c r="N70" s="125" t="s">
        <v>63</v>
      </c>
      <c r="O70" s="16" t="s">
        <v>263</v>
      </c>
      <c r="P70" s="180">
        <v>6200.2</v>
      </c>
      <c r="Q70" s="180">
        <v>8310.9000000000015</v>
      </c>
      <c r="R70" s="162">
        <v>233109</v>
      </c>
      <c r="S70" s="162">
        <v>45</v>
      </c>
      <c r="T70" s="180">
        <v>146.6</v>
      </c>
      <c r="U70" s="162">
        <v>70546</v>
      </c>
      <c r="V70" s="162">
        <v>744</v>
      </c>
      <c r="W70" s="180">
        <v>1105.2</v>
      </c>
      <c r="X70" s="162">
        <v>5342</v>
      </c>
      <c r="Y70" s="17">
        <v>1360</v>
      </c>
      <c r="Z70" s="162"/>
      <c r="AA70" s="125" t="s">
        <v>63</v>
      </c>
      <c r="AB70" s="16" t="s">
        <v>263</v>
      </c>
      <c r="AC70" s="180">
        <v>5425.6</v>
      </c>
      <c r="AD70" s="162">
        <v>12823</v>
      </c>
      <c r="AE70" s="162">
        <v>143661</v>
      </c>
      <c r="AF70" s="180">
        <v>291529.7</v>
      </c>
      <c r="AG70" s="162">
        <v>20761</v>
      </c>
      <c r="AH70" s="180">
        <v>214199</v>
      </c>
      <c r="AI70" s="162">
        <v>9353</v>
      </c>
      <c r="AJ70" s="162">
        <v>118825</v>
      </c>
      <c r="AK70" s="162">
        <v>1037099</v>
      </c>
      <c r="AL70" s="17">
        <v>76612</v>
      </c>
    </row>
    <row r="71" spans="1:38" ht="15" customHeight="1" x14ac:dyDescent="0.2">
      <c r="A71" s="125" t="s">
        <v>64</v>
      </c>
      <c r="B71" s="16" t="s">
        <v>262</v>
      </c>
      <c r="C71" s="162">
        <v>163</v>
      </c>
      <c r="D71" s="162">
        <v>0</v>
      </c>
      <c r="E71" s="226">
        <v>1.3390826886760561</v>
      </c>
      <c r="F71" s="180">
        <v>218.3</v>
      </c>
      <c r="G71" s="162">
        <v>1489757</v>
      </c>
      <c r="H71" s="162">
        <v>0</v>
      </c>
      <c r="I71" s="162">
        <v>1489757</v>
      </c>
      <c r="J71" s="162">
        <v>100</v>
      </c>
      <c r="K71" s="180">
        <v>2848.9495159999997</v>
      </c>
      <c r="L71" s="17">
        <v>15043</v>
      </c>
      <c r="M71" s="162"/>
      <c r="N71" s="125" t="s">
        <v>64</v>
      </c>
      <c r="O71" s="16" t="s">
        <v>262</v>
      </c>
      <c r="P71" s="180">
        <v>12512.3</v>
      </c>
      <c r="Q71" s="180">
        <v>15361.199999999999</v>
      </c>
      <c r="R71" s="162">
        <v>430043</v>
      </c>
      <c r="S71" s="162">
        <v>121</v>
      </c>
      <c r="T71" s="180">
        <v>289</v>
      </c>
      <c r="U71" s="162">
        <v>139071</v>
      </c>
      <c r="V71" s="162">
        <v>534</v>
      </c>
      <c r="W71" s="180">
        <v>1077.7</v>
      </c>
      <c r="X71" s="162">
        <v>5209</v>
      </c>
      <c r="Y71" s="17">
        <v>2615</v>
      </c>
      <c r="Z71" s="162"/>
      <c r="AA71" s="125" t="s">
        <v>64</v>
      </c>
      <c r="AB71" s="16" t="s">
        <v>262</v>
      </c>
      <c r="AC71" s="180">
        <v>12619.2</v>
      </c>
      <c r="AD71" s="162">
        <v>29824</v>
      </c>
      <c r="AE71" s="162">
        <v>110037</v>
      </c>
      <c r="AF71" s="180">
        <v>225476.8</v>
      </c>
      <c r="AG71" s="162">
        <v>16057</v>
      </c>
      <c r="AH71" s="180">
        <v>53054</v>
      </c>
      <c r="AI71" s="162">
        <v>2316</v>
      </c>
      <c r="AJ71" s="162">
        <v>192477</v>
      </c>
      <c r="AK71" s="162">
        <v>2112277</v>
      </c>
      <c r="AL71" s="17">
        <v>76352</v>
      </c>
    </row>
    <row r="72" spans="1:38" ht="15" customHeight="1" x14ac:dyDescent="0.2">
      <c r="A72" s="125" t="s">
        <v>144</v>
      </c>
      <c r="B72" s="16" t="s">
        <v>260</v>
      </c>
      <c r="C72" s="162">
        <v>29</v>
      </c>
      <c r="D72" s="162">
        <v>0</v>
      </c>
      <c r="E72" s="226">
        <v>0.99509999999999732</v>
      </c>
      <c r="F72" s="180">
        <v>28.9</v>
      </c>
      <c r="G72" s="162">
        <v>197224</v>
      </c>
      <c r="H72" s="162">
        <v>0</v>
      </c>
      <c r="I72" s="162">
        <v>197224</v>
      </c>
      <c r="J72" s="162">
        <v>13</v>
      </c>
      <c r="K72" s="180">
        <v>425.64606500000002</v>
      </c>
      <c r="L72" s="17">
        <v>1970</v>
      </c>
      <c r="M72" s="162"/>
      <c r="N72" s="125" t="s">
        <v>144</v>
      </c>
      <c r="O72" s="16" t="s">
        <v>260</v>
      </c>
      <c r="P72" s="180">
        <v>1370.1</v>
      </c>
      <c r="Q72" s="180">
        <v>1795.8</v>
      </c>
      <c r="R72" s="162">
        <v>50374</v>
      </c>
      <c r="S72" s="162">
        <v>12</v>
      </c>
      <c r="T72" s="180">
        <v>50.1</v>
      </c>
      <c r="U72" s="162">
        <v>24109</v>
      </c>
      <c r="V72" s="162">
        <v>168</v>
      </c>
      <c r="W72" s="180">
        <v>299.5</v>
      </c>
      <c r="X72" s="162">
        <v>1448</v>
      </c>
      <c r="Y72" s="17">
        <v>688</v>
      </c>
      <c r="Z72" s="162"/>
      <c r="AA72" s="125" t="s">
        <v>144</v>
      </c>
      <c r="AB72" s="16" t="s">
        <v>260</v>
      </c>
      <c r="AC72" s="180">
        <v>2580</v>
      </c>
      <c r="AD72" s="162">
        <v>6097</v>
      </c>
      <c r="AE72" s="162">
        <v>8436</v>
      </c>
      <c r="AF72" s="180">
        <v>9118.1</v>
      </c>
      <c r="AG72" s="162">
        <v>649</v>
      </c>
      <c r="AH72" s="180">
        <v>4378</v>
      </c>
      <c r="AI72" s="162">
        <v>191</v>
      </c>
      <c r="AJ72" s="162">
        <v>32494</v>
      </c>
      <c r="AK72" s="162">
        <v>280092</v>
      </c>
      <c r="AL72" s="17">
        <v>0</v>
      </c>
    </row>
    <row r="73" spans="1:38" ht="15" customHeight="1" x14ac:dyDescent="0.2">
      <c r="A73" s="125" t="s">
        <v>65</v>
      </c>
      <c r="B73" s="16" t="s">
        <v>299</v>
      </c>
      <c r="C73" s="162">
        <v>37</v>
      </c>
      <c r="D73" s="162">
        <v>0</v>
      </c>
      <c r="E73" s="226">
        <v>0.76143704001608759</v>
      </c>
      <c r="F73" s="180">
        <v>28.2</v>
      </c>
      <c r="G73" s="162">
        <v>192447</v>
      </c>
      <c r="H73" s="162">
        <v>0</v>
      </c>
      <c r="I73" s="162">
        <v>192447</v>
      </c>
      <c r="J73" s="162">
        <v>30</v>
      </c>
      <c r="K73" s="180">
        <v>638.3159999999998</v>
      </c>
      <c r="L73" s="17">
        <v>5395</v>
      </c>
      <c r="M73" s="162"/>
      <c r="N73" s="125" t="s">
        <v>65</v>
      </c>
      <c r="O73" s="16" t="s">
        <v>299</v>
      </c>
      <c r="P73" s="180">
        <v>2491.4</v>
      </c>
      <c r="Q73" s="180">
        <v>3129.7</v>
      </c>
      <c r="R73" s="162">
        <v>87791</v>
      </c>
      <c r="S73" s="162">
        <v>43</v>
      </c>
      <c r="T73" s="180">
        <v>109.1</v>
      </c>
      <c r="U73" s="162">
        <v>52501</v>
      </c>
      <c r="V73" s="162">
        <v>334</v>
      </c>
      <c r="W73" s="180">
        <v>668.9</v>
      </c>
      <c r="X73" s="162">
        <v>3233</v>
      </c>
      <c r="Y73" s="17">
        <v>1151</v>
      </c>
      <c r="Z73" s="162"/>
      <c r="AA73" s="125" t="s">
        <v>65</v>
      </c>
      <c r="AB73" s="16" t="s">
        <v>299</v>
      </c>
      <c r="AC73" s="180">
        <v>4394.7</v>
      </c>
      <c r="AD73" s="162">
        <v>10386</v>
      </c>
      <c r="AE73" s="162">
        <v>75235</v>
      </c>
      <c r="AF73" s="180">
        <v>146728.1</v>
      </c>
      <c r="AG73" s="162">
        <v>10449</v>
      </c>
      <c r="AH73" s="180">
        <v>23224</v>
      </c>
      <c r="AI73" s="162">
        <v>1014</v>
      </c>
      <c r="AJ73" s="162">
        <v>77583</v>
      </c>
      <c r="AK73" s="162">
        <v>357821</v>
      </c>
      <c r="AL73" s="17">
        <v>12766</v>
      </c>
    </row>
    <row r="74" spans="1:38" ht="15" customHeight="1" x14ac:dyDescent="0.2">
      <c r="A74" s="125" t="s">
        <v>66</v>
      </c>
      <c r="B74" s="16" t="s">
        <v>259</v>
      </c>
      <c r="C74" s="162">
        <v>25</v>
      </c>
      <c r="D74" s="162">
        <v>0</v>
      </c>
      <c r="E74" s="226">
        <v>0.7279189786059338</v>
      </c>
      <c r="F74" s="180">
        <v>18.2</v>
      </c>
      <c r="G74" s="162">
        <v>124203</v>
      </c>
      <c r="H74" s="162">
        <v>0</v>
      </c>
      <c r="I74" s="162">
        <v>124203</v>
      </c>
      <c r="J74" s="162">
        <v>15</v>
      </c>
      <c r="K74" s="180">
        <v>246.4020000000001</v>
      </c>
      <c r="L74" s="17">
        <v>2750</v>
      </c>
      <c r="M74" s="162"/>
      <c r="N74" s="125" t="s">
        <v>66</v>
      </c>
      <c r="O74" s="16" t="s">
        <v>259</v>
      </c>
      <c r="P74" s="180">
        <v>1394.3</v>
      </c>
      <c r="Q74" s="180">
        <v>1640.7</v>
      </c>
      <c r="R74" s="162">
        <v>46023</v>
      </c>
      <c r="S74" s="162">
        <v>26</v>
      </c>
      <c r="T74" s="180">
        <v>70.7</v>
      </c>
      <c r="U74" s="162">
        <v>34022</v>
      </c>
      <c r="V74" s="162">
        <v>446</v>
      </c>
      <c r="W74" s="180">
        <v>446</v>
      </c>
      <c r="X74" s="162">
        <v>2156</v>
      </c>
      <c r="Y74" s="17">
        <v>652</v>
      </c>
      <c r="Z74" s="162"/>
      <c r="AA74" s="125" t="s">
        <v>66</v>
      </c>
      <c r="AB74" s="16" t="s">
        <v>259</v>
      </c>
      <c r="AC74" s="180">
        <v>1886.2</v>
      </c>
      <c r="AD74" s="162">
        <v>4458</v>
      </c>
      <c r="AE74" s="162">
        <v>58908</v>
      </c>
      <c r="AF74" s="180">
        <v>72318.600000000006</v>
      </c>
      <c r="AG74" s="162">
        <v>5150</v>
      </c>
      <c r="AH74" s="180">
        <v>35923</v>
      </c>
      <c r="AI74" s="162">
        <v>1569</v>
      </c>
      <c r="AJ74" s="162">
        <v>47355</v>
      </c>
      <c r="AK74" s="162">
        <v>217581</v>
      </c>
      <c r="AL74" s="17">
        <v>4606</v>
      </c>
    </row>
    <row r="75" spans="1:38" ht="15" customHeight="1" x14ac:dyDescent="0.2">
      <c r="A75" s="125" t="s">
        <v>67</v>
      </c>
      <c r="B75" s="16" t="s">
        <v>258</v>
      </c>
      <c r="C75" s="162">
        <v>46</v>
      </c>
      <c r="D75" s="162">
        <v>0</v>
      </c>
      <c r="E75" s="226">
        <v>1.4289131337866505</v>
      </c>
      <c r="F75" s="180">
        <v>65.7</v>
      </c>
      <c r="G75" s="162">
        <v>448360</v>
      </c>
      <c r="H75" s="162">
        <v>0</v>
      </c>
      <c r="I75" s="162">
        <v>448360</v>
      </c>
      <c r="J75" s="162">
        <v>17</v>
      </c>
      <c r="K75" s="180">
        <v>1156.3198380000001</v>
      </c>
      <c r="L75" s="17">
        <v>3527</v>
      </c>
      <c r="M75" s="162"/>
      <c r="N75" s="125" t="s">
        <v>67</v>
      </c>
      <c r="O75" s="16" t="s">
        <v>258</v>
      </c>
      <c r="P75" s="180">
        <v>4725.1000000000004</v>
      </c>
      <c r="Q75" s="180">
        <v>5881.4000000000005</v>
      </c>
      <c r="R75" s="162">
        <v>164314</v>
      </c>
      <c r="S75" s="162">
        <v>20</v>
      </c>
      <c r="T75" s="180">
        <v>50.6</v>
      </c>
      <c r="U75" s="162">
        <v>24349</v>
      </c>
      <c r="V75" s="162">
        <v>316</v>
      </c>
      <c r="W75" s="180">
        <v>427.5</v>
      </c>
      <c r="X75" s="162">
        <v>2066</v>
      </c>
      <c r="Y75" s="17">
        <v>833</v>
      </c>
      <c r="Z75" s="162"/>
      <c r="AA75" s="125" t="s">
        <v>67</v>
      </c>
      <c r="AB75" s="16" t="s">
        <v>258</v>
      </c>
      <c r="AC75" s="180">
        <v>3649.7</v>
      </c>
      <c r="AD75" s="162">
        <v>8626</v>
      </c>
      <c r="AE75" s="162">
        <v>99290</v>
      </c>
      <c r="AF75" s="180">
        <v>158317.20000000001</v>
      </c>
      <c r="AG75" s="162">
        <v>11275</v>
      </c>
      <c r="AH75" s="180">
        <v>55984</v>
      </c>
      <c r="AI75" s="162">
        <v>2444</v>
      </c>
      <c r="AJ75" s="162">
        <v>48760</v>
      </c>
      <c r="AK75" s="162">
        <v>661434</v>
      </c>
      <c r="AL75" s="17">
        <v>15726</v>
      </c>
    </row>
    <row r="76" spans="1:38" ht="15" customHeight="1" x14ac:dyDescent="0.2">
      <c r="A76" s="125" t="s">
        <v>468</v>
      </c>
      <c r="B76" s="16" t="s">
        <v>296</v>
      </c>
      <c r="C76" s="162">
        <v>1049</v>
      </c>
      <c r="D76" s="162">
        <v>0</v>
      </c>
      <c r="E76" s="226">
        <v>5.1128046901161044</v>
      </c>
      <c r="F76" s="180">
        <v>5363.3</v>
      </c>
      <c r="G76" s="162">
        <v>36601071</v>
      </c>
      <c r="H76" s="162">
        <v>9108</v>
      </c>
      <c r="I76" s="162">
        <v>36610179</v>
      </c>
      <c r="J76" s="162">
        <v>185</v>
      </c>
      <c r="K76" s="180">
        <v>49098.058164000053</v>
      </c>
      <c r="L76" s="17">
        <v>34703</v>
      </c>
      <c r="M76" s="162"/>
      <c r="N76" s="125" t="s">
        <v>468</v>
      </c>
      <c r="O76" s="16" t="s">
        <v>296</v>
      </c>
      <c r="P76" s="180">
        <v>133796.70000000001</v>
      </c>
      <c r="Q76" s="180">
        <v>182894.8</v>
      </c>
      <c r="R76" s="162">
        <v>5109667</v>
      </c>
      <c r="S76" s="162">
        <v>167</v>
      </c>
      <c r="T76" s="180">
        <v>768.4</v>
      </c>
      <c r="U76" s="162">
        <v>369766</v>
      </c>
      <c r="V76" s="162">
        <v>2699</v>
      </c>
      <c r="W76" s="180">
        <v>5093.7</v>
      </c>
      <c r="X76" s="162">
        <v>24621</v>
      </c>
      <c r="Y76" s="17">
        <v>4707</v>
      </c>
      <c r="Z76" s="162"/>
      <c r="AA76" s="125" t="s">
        <v>468</v>
      </c>
      <c r="AB76" s="16" t="s">
        <v>296</v>
      </c>
      <c r="AC76" s="180">
        <v>23343.7</v>
      </c>
      <c r="AD76" s="162">
        <v>55169</v>
      </c>
      <c r="AE76" s="162">
        <v>351324</v>
      </c>
      <c r="AF76" s="180">
        <v>808284.6</v>
      </c>
      <c r="AG76" s="162">
        <v>57562</v>
      </c>
      <c r="AH76" s="180">
        <v>362741</v>
      </c>
      <c r="AI76" s="162">
        <v>15838</v>
      </c>
      <c r="AJ76" s="162">
        <v>522956</v>
      </c>
      <c r="AK76" s="162">
        <v>42242802</v>
      </c>
      <c r="AL76" s="17">
        <v>1241561</v>
      </c>
    </row>
    <row r="77" spans="1:38" ht="15" customHeight="1" x14ac:dyDescent="0.2">
      <c r="A77" s="125" t="s">
        <v>68</v>
      </c>
      <c r="B77" s="16" t="s">
        <v>257</v>
      </c>
      <c r="C77" s="162">
        <v>1255</v>
      </c>
      <c r="D77" s="162">
        <v>60</v>
      </c>
      <c r="E77" s="226">
        <v>1.0638931843874913</v>
      </c>
      <c r="F77" s="180">
        <v>1335.2</v>
      </c>
      <c r="G77" s="162">
        <v>9111881</v>
      </c>
      <c r="H77" s="162">
        <v>223233</v>
      </c>
      <c r="I77" s="162">
        <v>9335114</v>
      </c>
      <c r="J77" s="162">
        <v>483</v>
      </c>
      <c r="K77" s="180">
        <v>21402.881076999918</v>
      </c>
      <c r="L77" s="17">
        <v>92354</v>
      </c>
      <c r="M77" s="162"/>
      <c r="N77" s="125" t="s">
        <v>68</v>
      </c>
      <c r="O77" s="16" t="s">
        <v>257</v>
      </c>
      <c r="P77" s="180">
        <v>78482.899999999994</v>
      </c>
      <c r="Q77" s="180">
        <v>99885.7</v>
      </c>
      <c r="R77" s="162">
        <v>2790582</v>
      </c>
      <c r="S77" s="162">
        <v>758</v>
      </c>
      <c r="T77" s="180">
        <v>1976.8</v>
      </c>
      <c r="U77" s="162">
        <v>951266</v>
      </c>
      <c r="V77" s="162">
        <v>6623</v>
      </c>
      <c r="W77" s="180">
        <v>13325.4</v>
      </c>
      <c r="X77" s="162">
        <v>64409</v>
      </c>
      <c r="Y77" s="17">
        <v>17697</v>
      </c>
      <c r="Z77" s="162"/>
      <c r="AA77" s="125" t="s">
        <v>68</v>
      </c>
      <c r="AB77" s="16" t="s">
        <v>257</v>
      </c>
      <c r="AC77" s="180">
        <v>76390.8</v>
      </c>
      <c r="AD77" s="162">
        <v>180538</v>
      </c>
      <c r="AE77" s="162">
        <v>1460962</v>
      </c>
      <c r="AF77" s="180">
        <v>3355519.5</v>
      </c>
      <c r="AG77" s="162">
        <v>238964</v>
      </c>
      <c r="AH77" s="180">
        <v>1579226.4</v>
      </c>
      <c r="AI77" s="162">
        <v>68954</v>
      </c>
      <c r="AJ77" s="162">
        <v>1504131</v>
      </c>
      <c r="AK77" s="162">
        <v>13629827</v>
      </c>
      <c r="AL77" s="17">
        <v>0</v>
      </c>
    </row>
    <row r="78" spans="1:38" ht="15" customHeight="1" x14ac:dyDescent="0.2">
      <c r="A78" s="125" t="s">
        <v>69</v>
      </c>
      <c r="B78" s="16" t="s">
        <v>255</v>
      </c>
      <c r="C78" s="162">
        <v>1698</v>
      </c>
      <c r="D78" s="162">
        <v>50</v>
      </c>
      <c r="E78" s="226">
        <v>1.09816282932284</v>
      </c>
      <c r="F78" s="180">
        <v>1864.7</v>
      </c>
      <c r="G78" s="162">
        <v>12725377</v>
      </c>
      <c r="H78" s="162">
        <v>101834</v>
      </c>
      <c r="I78" s="162">
        <v>12827211</v>
      </c>
      <c r="J78" s="162">
        <v>808</v>
      </c>
      <c r="K78" s="180">
        <v>34293.388481000038</v>
      </c>
      <c r="L78" s="17">
        <v>152870</v>
      </c>
      <c r="M78" s="162"/>
      <c r="N78" s="125" t="s">
        <v>69</v>
      </c>
      <c r="O78" s="16" t="s">
        <v>255</v>
      </c>
      <c r="P78" s="180">
        <v>128736</v>
      </c>
      <c r="Q78" s="180">
        <v>163029.4</v>
      </c>
      <c r="R78" s="162">
        <v>4559043</v>
      </c>
      <c r="S78" s="162">
        <v>1329</v>
      </c>
      <c r="T78" s="180">
        <v>3480.6</v>
      </c>
      <c r="U78" s="162">
        <v>1674918</v>
      </c>
      <c r="V78" s="162">
        <v>6947</v>
      </c>
      <c r="W78" s="180">
        <v>14433.8</v>
      </c>
      <c r="X78" s="162">
        <v>69766</v>
      </c>
      <c r="Y78" s="17">
        <v>19564</v>
      </c>
      <c r="Z78" s="162"/>
      <c r="AA78" s="125" t="s">
        <v>69</v>
      </c>
      <c r="AB78" s="16" t="s">
        <v>255</v>
      </c>
      <c r="AC78" s="180">
        <v>103192.2</v>
      </c>
      <c r="AD78" s="162">
        <v>243879</v>
      </c>
      <c r="AE78" s="162">
        <v>1923910</v>
      </c>
      <c r="AF78" s="180">
        <v>3778880.6</v>
      </c>
      <c r="AG78" s="162">
        <v>269114</v>
      </c>
      <c r="AH78" s="180">
        <v>1168880.3</v>
      </c>
      <c r="AI78" s="162">
        <v>51037</v>
      </c>
      <c r="AJ78" s="162">
        <v>2308714</v>
      </c>
      <c r="AK78" s="162">
        <v>19694968</v>
      </c>
      <c r="AL78" s="17">
        <v>0</v>
      </c>
    </row>
    <row r="79" spans="1:38" ht="15" customHeight="1" x14ac:dyDescent="0.2">
      <c r="A79" s="125" t="s">
        <v>70</v>
      </c>
      <c r="B79" s="16" t="s">
        <v>254</v>
      </c>
      <c r="C79" s="162">
        <v>2650</v>
      </c>
      <c r="D79" s="162">
        <v>70</v>
      </c>
      <c r="E79" s="226">
        <v>1.1093880372832106</v>
      </c>
      <c r="F79" s="180">
        <v>2939.9</v>
      </c>
      <c r="G79" s="162">
        <v>20062925</v>
      </c>
      <c r="H79" s="162">
        <v>29000</v>
      </c>
      <c r="I79" s="162">
        <v>20091925</v>
      </c>
      <c r="J79" s="162">
        <v>888</v>
      </c>
      <c r="K79" s="180">
        <v>45028.555383000072</v>
      </c>
      <c r="L79" s="17">
        <v>180023</v>
      </c>
      <c r="M79" s="162"/>
      <c r="N79" s="125" t="s">
        <v>70</v>
      </c>
      <c r="O79" s="16" t="s">
        <v>254</v>
      </c>
      <c r="P79" s="180">
        <v>162638.1</v>
      </c>
      <c r="Q79" s="180">
        <v>207666.6</v>
      </c>
      <c r="R79" s="162">
        <v>5806288</v>
      </c>
      <c r="S79" s="162">
        <v>1643</v>
      </c>
      <c r="T79" s="180">
        <v>4967</v>
      </c>
      <c r="U79" s="162">
        <v>2390196</v>
      </c>
      <c r="V79" s="162">
        <v>8142</v>
      </c>
      <c r="W79" s="180">
        <v>17764</v>
      </c>
      <c r="X79" s="162">
        <v>85863</v>
      </c>
      <c r="Y79" s="17">
        <v>23849</v>
      </c>
      <c r="Z79" s="162"/>
      <c r="AA79" s="125" t="s">
        <v>70</v>
      </c>
      <c r="AB79" s="16" t="s">
        <v>254</v>
      </c>
      <c r="AC79" s="180">
        <v>127750</v>
      </c>
      <c r="AD79" s="162">
        <v>301917</v>
      </c>
      <c r="AE79" s="162">
        <v>1966684</v>
      </c>
      <c r="AF79" s="180">
        <v>4439710.7</v>
      </c>
      <c r="AG79" s="162">
        <v>316175</v>
      </c>
      <c r="AH79" s="180">
        <v>1140563.8</v>
      </c>
      <c r="AI79" s="162">
        <v>49800</v>
      </c>
      <c r="AJ79" s="162">
        <v>3143951</v>
      </c>
      <c r="AK79" s="162">
        <v>29042164</v>
      </c>
      <c r="AL79" s="17">
        <v>0</v>
      </c>
    </row>
    <row r="80" spans="1:38" ht="15" customHeight="1" x14ac:dyDescent="0.2">
      <c r="A80" s="125" t="s">
        <v>71</v>
      </c>
      <c r="B80" s="16" t="s">
        <v>253</v>
      </c>
      <c r="C80" s="162">
        <v>4692</v>
      </c>
      <c r="D80" s="162">
        <v>320</v>
      </c>
      <c r="E80" s="226">
        <v>1.0477251751289685</v>
      </c>
      <c r="F80" s="180">
        <v>4915.8999999999996</v>
      </c>
      <c r="G80" s="162">
        <v>33547854</v>
      </c>
      <c r="H80" s="162">
        <v>305361</v>
      </c>
      <c r="I80" s="162">
        <v>33853215</v>
      </c>
      <c r="J80" s="162">
        <v>1965</v>
      </c>
      <c r="K80" s="180">
        <v>87507.584517001174</v>
      </c>
      <c r="L80" s="17">
        <v>362813</v>
      </c>
      <c r="M80" s="162"/>
      <c r="N80" s="125" t="s">
        <v>71</v>
      </c>
      <c r="O80" s="16" t="s">
        <v>253</v>
      </c>
      <c r="P80" s="180">
        <v>311491</v>
      </c>
      <c r="Q80" s="180">
        <v>398998.6</v>
      </c>
      <c r="R80" s="162">
        <v>11147120</v>
      </c>
      <c r="S80" s="162">
        <v>2780</v>
      </c>
      <c r="T80" s="180">
        <v>7956.6</v>
      </c>
      <c r="U80" s="162">
        <v>3828838</v>
      </c>
      <c r="V80" s="162">
        <v>22006</v>
      </c>
      <c r="W80" s="180">
        <v>45844.1</v>
      </c>
      <c r="X80" s="162">
        <v>221589</v>
      </c>
      <c r="Y80" s="17">
        <v>55738</v>
      </c>
      <c r="Z80" s="162"/>
      <c r="AA80" s="125" t="s">
        <v>71</v>
      </c>
      <c r="AB80" s="16" t="s">
        <v>253</v>
      </c>
      <c r="AC80" s="180">
        <v>290921.7</v>
      </c>
      <c r="AD80" s="162">
        <v>687549</v>
      </c>
      <c r="AE80" s="162">
        <v>2682738</v>
      </c>
      <c r="AF80" s="180">
        <v>6093745</v>
      </c>
      <c r="AG80" s="162">
        <v>433968</v>
      </c>
      <c r="AH80" s="180">
        <v>4224796.3</v>
      </c>
      <c r="AI80" s="162">
        <v>184467</v>
      </c>
      <c r="AJ80" s="162">
        <v>5356411</v>
      </c>
      <c r="AK80" s="162">
        <v>50356746</v>
      </c>
      <c r="AL80" s="17">
        <v>4268161</v>
      </c>
    </row>
    <row r="81" spans="1:38" ht="15" customHeight="1" x14ac:dyDescent="0.2">
      <c r="A81" s="125" t="s">
        <v>72</v>
      </c>
      <c r="B81" s="16" t="s">
        <v>251</v>
      </c>
      <c r="C81" s="162">
        <v>230</v>
      </c>
      <c r="D81" s="162">
        <v>0</v>
      </c>
      <c r="E81" s="226">
        <v>1.1426839648148692</v>
      </c>
      <c r="F81" s="180">
        <v>262.8</v>
      </c>
      <c r="G81" s="162">
        <v>1793441</v>
      </c>
      <c r="H81" s="162">
        <v>5745</v>
      </c>
      <c r="I81" s="162">
        <v>1799186</v>
      </c>
      <c r="J81" s="162">
        <v>115</v>
      </c>
      <c r="K81" s="180">
        <v>6357.7971390000048</v>
      </c>
      <c r="L81" s="17">
        <v>20483</v>
      </c>
      <c r="M81" s="162"/>
      <c r="N81" s="125" t="s">
        <v>72</v>
      </c>
      <c r="O81" s="16" t="s">
        <v>251</v>
      </c>
      <c r="P81" s="180">
        <v>19730.5</v>
      </c>
      <c r="Q81" s="180">
        <v>26088.3</v>
      </c>
      <c r="R81" s="162">
        <v>729063</v>
      </c>
      <c r="S81" s="162">
        <v>78</v>
      </c>
      <c r="T81" s="180">
        <v>256</v>
      </c>
      <c r="U81" s="162">
        <v>123191</v>
      </c>
      <c r="V81" s="162">
        <v>959</v>
      </c>
      <c r="W81" s="180">
        <v>2027</v>
      </c>
      <c r="X81" s="162">
        <v>9798</v>
      </c>
      <c r="Y81" s="17">
        <v>2684</v>
      </c>
      <c r="Z81" s="162"/>
      <c r="AA81" s="125" t="s">
        <v>72</v>
      </c>
      <c r="AB81" s="16" t="s">
        <v>251</v>
      </c>
      <c r="AC81" s="180">
        <v>15092.3</v>
      </c>
      <c r="AD81" s="162">
        <v>35668</v>
      </c>
      <c r="AE81" s="162">
        <v>104793</v>
      </c>
      <c r="AF81" s="180">
        <v>256593.1</v>
      </c>
      <c r="AG81" s="162">
        <v>18273</v>
      </c>
      <c r="AH81" s="180">
        <v>166945</v>
      </c>
      <c r="AI81" s="162">
        <v>7289</v>
      </c>
      <c r="AJ81" s="162">
        <v>194219</v>
      </c>
      <c r="AK81" s="162">
        <v>2722468</v>
      </c>
      <c r="AL81" s="17">
        <v>120656</v>
      </c>
    </row>
    <row r="82" spans="1:38" ht="15" customHeight="1" x14ac:dyDescent="0.2">
      <c r="A82" s="125" t="s">
        <v>73</v>
      </c>
      <c r="B82" s="16" t="s">
        <v>247</v>
      </c>
      <c r="C82" s="162">
        <v>82</v>
      </c>
      <c r="D82" s="162">
        <v>0</v>
      </c>
      <c r="E82" s="226">
        <v>0.72688164311268166</v>
      </c>
      <c r="F82" s="180">
        <v>59.6</v>
      </c>
      <c r="G82" s="162">
        <v>406732</v>
      </c>
      <c r="H82" s="162">
        <v>5000</v>
      </c>
      <c r="I82" s="162">
        <v>411732</v>
      </c>
      <c r="J82" s="162">
        <v>102</v>
      </c>
      <c r="K82" s="180">
        <v>1012.9853580000008</v>
      </c>
      <c r="L82" s="17">
        <v>17015</v>
      </c>
      <c r="M82" s="162"/>
      <c r="N82" s="125" t="s">
        <v>73</v>
      </c>
      <c r="O82" s="16" t="s">
        <v>247</v>
      </c>
      <c r="P82" s="180">
        <v>4867.2</v>
      </c>
      <c r="Q82" s="180">
        <v>5880.2</v>
      </c>
      <c r="R82" s="162">
        <v>164945</v>
      </c>
      <c r="S82" s="162">
        <v>87</v>
      </c>
      <c r="T82" s="180">
        <v>171.9</v>
      </c>
      <c r="U82" s="162">
        <v>82721</v>
      </c>
      <c r="V82" s="162">
        <v>831</v>
      </c>
      <c r="W82" s="180">
        <v>1609.3</v>
      </c>
      <c r="X82" s="162">
        <v>7779</v>
      </c>
      <c r="Y82" s="17">
        <v>2877</v>
      </c>
      <c r="Z82" s="162"/>
      <c r="AA82" s="125" t="s">
        <v>73</v>
      </c>
      <c r="AB82" s="16" t="s">
        <v>247</v>
      </c>
      <c r="AC82" s="180">
        <v>14431.5</v>
      </c>
      <c r="AD82" s="162">
        <v>34107</v>
      </c>
      <c r="AE82" s="162">
        <v>199496</v>
      </c>
      <c r="AF82" s="180">
        <v>442481</v>
      </c>
      <c r="AG82" s="162">
        <v>31511</v>
      </c>
      <c r="AH82" s="180">
        <v>175382.3</v>
      </c>
      <c r="AI82" s="162">
        <v>7658</v>
      </c>
      <c r="AJ82" s="162">
        <v>163776</v>
      </c>
      <c r="AK82" s="162">
        <v>740453</v>
      </c>
      <c r="AL82" s="17">
        <v>236517</v>
      </c>
    </row>
    <row r="83" spans="1:38" ht="15" customHeight="1" x14ac:dyDescent="0.2">
      <c r="A83" s="125" t="s">
        <v>74</v>
      </c>
      <c r="B83" s="16" t="s">
        <v>249</v>
      </c>
      <c r="C83" s="162">
        <v>177</v>
      </c>
      <c r="D83" s="162">
        <v>60</v>
      </c>
      <c r="E83" s="226">
        <v>0.9728862446482226</v>
      </c>
      <c r="F83" s="180">
        <v>172.2</v>
      </c>
      <c r="G83" s="162">
        <v>1175154</v>
      </c>
      <c r="H83" s="162">
        <v>6756</v>
      </c>
      <c r="I83" s="162">
        <v>1181910</v>
      </c>
      <c r="J83" s="162">
        <v>74</v>
      </c>
      <c r="K83" s="180">
        <v>2507.0584959999987</v>
      </c>
      <c r="L83" s="17">
        <v>15344</v>
      </c>
      <c r="M83" s="162"/>
      <c r="N83" s="125" t="s">
        <v>74</v>
      </c>
      <c r="O83" s="16" t="s">
        <v>249</v>
      </c>
      <c r="P83" s="180">
        <v>11993.6</v>
      </c>
      <c r="Q83" s="180">
        <v>14500.699999999999</v>
      </c>
      <c r="R83" s="162">
        <v>406651</v>
      </c>
      <c r="S83" s="162">
        <v>139</v>
      </c>
      <c r="T83" s="180">
        <v>379.3</v>
      </c>
      <c r="U83" s="162">
        <v>182525</v>
      </c>
      <c r="V83" s="162">
        <v>805</v>
      </c>
      <c r="W83" s="180">
        <v>1845.5</v>
      </c>
      <c r="X83" s="162">
        <v>8920</v>
      </c>
      <c r="Y83" s="17">
        <v>2421</v>
      </c>
      <c r="Z83" s="162"/>
      <c r="AA83" s="125" t="s">
        <v>74</v>
      </c>
      <c r="AB83" s="16" t="s">
        <v>249</v>
      </c>
      <c r="AC83" s="180">
        <v>11103.8</v>
      </c>
      <c r="AD83" s="162">
        <v>26242</v>
      </c>
      <c r="AE83" s="162">
        <v>318930</v>
      </c>
      <c r="AF83" s="180">
        <v>751596.5</v>
      </c>
      <c r="AG83" s="162">
        <v>53525</v>
      </c>
      <c r="AH83" s="180">
        <v>506979</v>
      </c>
      <c r="AI83" s="162">
        <v>22136</v>
      </c>
      <c r="AJ83" s="162">
        <v>293348</v>
      </c>
      <c r="AK83" s="162">
        <v>1881909</v>
      </c>
      <c r="AL83" s="17">
        <v>83939</v>
      </c>
    </row>
    <row r="84" spans="1:38" ht="15" customHeight="1" x14ac:dyDescent="0.2">
      <c r="A84" s="125" t="s">
        <v>441</v>
      </c>
      <c r="B84" s="16" t="s">
        <v>280</v>
      </c>
      <c r="C84" s="162">
        <v>870</v>
      </c>
      <c r="D84" s="162">
        <v>0</v>
      </c>
      <c r="E84" s="226">
        <v>0.83017137328933877</v>
      </c>
      <c r="F84" s="180">
        <v>722.2</v>
      </c>
      <c r="G84" s="162">
        <v>4928550</v>
      </c>
      <c r="H84" s="162">
        <v>0</v>
      </c>
      <c r="I84" s="162">
        <v>4928550</v>
      </c>
      <c r="J84" s="162">
        <v>416</v>
      </c>
      <c r="K84" s="180">
        <v>16410.182801999952</v>
      </c>
      <c r="L84" s="17">
        <v>72960</v>
      </c>
      <c r="M84" s="162"/>
      <c r="N84" s="125" t="s">
        <v>441</v>
      </c>
      <c r="O84" s="16" t="s">
        <v>280</v>
      </c>
      <c r="P84" s="180">
        <v>54039.4</v>
      </c>
      <c r="Q84" s="180">
        <v>70449.599999999991</v>
      </c>
      <c r="R84" s="162">
        <v>1968203</v>
      </c>
      <c r="S84" s="162">
        <v>579</v>
      </c>
      <c r="T84" s="180">
        <v>1858.8</v>
      </c>
      <c r="U84" s="162">
        <v>894483</v>
      </c>
      <c r="V84" s="162">
        <v>4838</v>
      </c>
      <c r="W84" s="180">
        <v>9099.2000000000007</v>
      </c>
      <c r="X84" s="162">
        <v>43981</v>
      </c>
      <c r="Y84" s="17">
        <v>10265</v>
      </c>
      <c r="Z84" s="162"/>
      <c r="AA84" s="125" t="s">
        <v>441</v>
      </c>
      <c r="AB84" s="16" t="s">
        <v>280</v>
      </c>
      <c r="AC84" s="180">
        <v>56406.8</v>
      </c>
      <c r="AD84" s="162">
        <v>133309</v>
      </c>
      <c r="AE84" s="162">
        <v>1058746</v>
      </c>
      <c r="AF84" s="180">
        <v>2528998.5</v>
      </c>
      <c r="AG84" s="162">
        <v>180103</v>
      </c>
      <c r="AH84" s="180">
        <v>1010904</v>
      </c>
      <c r="AI84" s="162">
        <v>44139</v>
      </c>
      <c r="AJ84" s="162">
        <v>1296015</v>
      </c>
      <c r="AK84" s="162">
        <v>8192768</v>
      </c>
      <c r="AL84" s="17">
        <v>370671</v>
      </c>
    </row>
    <row r="85" spans="1:38" ht="15" customHeight="1" x14ac:dyDescent="0.2">
      <c r="A85" s="125" t="s">
        <v>145</v>
      </c>
      <c r="B85" s="16" t="s">
        <v>248</v>
      </c>
      <c r="C85" s="162">
        <v>0</v>
      </c>
      <c r="D85" s="162">
        <v>0</v>
      </c>
      <c r="E85" s="226">
        <v>0.77877012962503056</v>
      </c>
      <c r="F85" s="180">
        <v>0</v>
      </c>
      <c r="G85" s="162">
        <v>0</v>
      </c>
      <c r="H85" s="162">
        <v>0</v>
      </c>
      <c r="I85" s="162">
        <v>0</v>
      </c>
      <c r="J85" s="162">
        <v>2</v>
      </c>
      <c r="K85" s="180">
        <v>45.63</v>
      </c>
      <c r="L85" s="17">
        <v>300</v>
      </c>
      <c r="M85" s="162"/>
      <c r="N85" s="125" t="s">
        <v>145</v>
      </c>
      <c r="O85" s="16" t="s">
        <v>248</v>
      </c>
      <c r="P85" s="180">
        <v>0</v>
      </c>
      <c r="Q85" s="180">
        <v>45.6</v>
      </c>
      <c r="R85" s="162">
        <v>1279</v>
      </c>
      <c r="S85" s="162">
        <v>4</v>
      </c>
      <c r="T85" s="180">
        <v>3.9</v>
      </c>
      <c r="U85" s="162">
        <v>1877</v>
      </c>
      <c r="V85" s="162">
        <v>0</v>
      </c>
      <c r="W85" s="180">
        <v>0</v>
      </c>
      <c r="X85" s="162">
        <v>0</v>
      </c>
      <c r="Y85" s="17">
        <v>0</v>
      </c>
      <c r="Z85" s="162"/>
      <c r="AA85" s="125" t="s">
        <v>145</v>
      </c>
      <c r="AB85" s="16" t="s">
        <v>248</v>
      </c>
      <c r="AC85" s="180">
        <v>0</v>
      </c>
      <c r="AD85" s="162">
        <v>0</v>
      </c>
      <c r="AE85" s="162">
        <v>0</v>
      </c>
      <c r="AF85" s="180">
        <v>0</v>
      </c>
      <c r="AG85" s="162">
        <v>0</v>
      </c>
      <c r="AH85" s="180">
        <v>0</v>
      </c>
      <c r="AI85" s="162">
        <v>0</v>
      </c>
      <c r="AJ85" s="162">
        <v>1877</v>
      </c>
      <c r="AK85" s="162">
        <v>3156</v>
      </c>
      <c r="AL85" s="17">
        <v>0</v>
      </c>
    </row>
    <row r="86" spans="1:38" ht="15" customHeight="1" x14ac:dyDescent="0.2">
      <c r="A86" s="125" t="s">
        <v>75</v>
      </c>
      <c r="B86" s="16" t="s">
        <v>246</v>
      </c>
      <c r="C86" s="162">
        <v>1181</v>
      </c>
      <c r="D86" s="162">
        <v>36</v>
      </c>
      <c r="E86" s="226">
        <v>1.5293697321000546</v>
      </c>
      <c r="F86" s="180">
        <v>1806.2</v>
      </c>
      <c r="G86" s="162">
        <v>12326153</v>
      </c>
      <c r="H86" s="162">
        <v>113323</v>
      </c>
      <c r="I86" s="162">
        <v>12439476</v>
      </c>
      <c r="J86" s="162">
        <v>418</v>
      </c>
      <c r="K86" s="180">
        <v>26076.421965999965</v>
      </c>
      <c r="L86" s="17">
        <v>80893</v>
      </c>
      <c r="M86" s="162"/>
      <c r="N86" s="125" t="s">
        <v>75</v>
      </c>
      <c r="O86" s="16" t="s">
        <v>246</v>
      </c>
      <c r="P86" s="180">
        <v>88931.6</v>
      </c>
      <c r="Q86" s="180">
        <v>115008</v>
      </c>
      <c r="R86" s="162">
        <v>3213064</v>
      </c>
      <c r="S86" s="162">
        <v>868</v>
      </c>
      <c r="T86" s="180">
        <v>2486.9</v>
      </c>
      <c r="U86" s="162">
        <v>1196734</v>
      </c>
      <c r="V86" s="162">
        <v>5952</v>
      </c>
      <c r="W86" s="180">
        <v>9128.7999999999993</v>
      </c>
      <c r="X86" s="162">
        <v>44124</v>
      </c>
      <c r="Y86" s="17">
        <v>14180</v>
      </c>
      <c r="Z86" s="162"/>
      <c r="AA86" s="125" t="s">
        <v>75</v>
      </c>
      <c r="AB86" s="16" t="s">
        <v>246</v>
      </c>
      <c r="AC86" s="180">
        <v>69976.399999999994</v>
      </c>
      <c r="AD86" s="162">
        <v>165378</v>
      </c>
      <c r="AE86" s="162">
        <v>1573525</v>
      </c>
      <c r="AF86" s="180">
        <v>3452894.7</v>
      </c>
      <c r="AG86" s="162">
        <v>245899</v>
      </c>
      <c r="AH86" s="180">
        <v>1449919.9</v>
      </c>
      <c r="AI86" s="162">
        <v>63308</v>
      </c>
      <c r="AJ86" s="162">
        <v>1715443</v>
      </c>
      <c r="AK86" s="162">
        <v>17367983</v>
      </c>
      <c r="AL86" s="17">
        <v>0</v>
      </c>
    </row>
    <row r="87" spans="1:38" ht="15" customHeight="1" x14ac:dyDescent="0.2">
      <c r="A87" s="125" t="s">
        <v>76</v>
      </c>
      <c r="B87" s="16" t="s">
        <v>245</v>
      </c>
      <c r="C87" s="162">
        <v>43</v>
      </c>
      <c r="D87" s="162">
        <v>0</v>
      </c>
      <c r="E87" s="226">
        <v>1.467045486589335</v>
      </c>
      <c r="F87" s="180">
        <v>63.1</v>
      </c>
      <c r="G87" s="162">
        <v>430617</v>
      </c>
      <c r="H87" s="162">
        <v>0</v>
      </c>
      <c r="I87" s="162">
        <v>430617</v>
      </c>
      <c r="J87" s="162">
        <v>12</v>
      </c>
      <c r="K87" s="180">
        <v>1182.5998380000001</v>
      </c>
      <c r="L87" s="17">
        <v>3618</v>
      </c>
      <c r="M87" s="162"/>
      <c r="N87" s="125" t="s">
        <v>76</v>
      </c>
      <c r="O87" s="16" t="s">
        <v>245</v>
      </c>
      <c r="P87" s="180">
        <v>4790</v>
      </c>
      <c r="Q87" s="180">
        <v>5972.5999999999995</v>
      </c>
      <c r="R87" s="162">
        <v>167419</v>
      </c>
      <c r="S87" s="162">
        <v>38</v>
      </c>
      <c r="T87" s="180">
        <v>102</v>
      </c>
      <c r="U87" s="162">
        <v>49084</v>
      </c>
      <c r="V87" s="162">
        <v>411</v>
      </c>
      <c r="W87" s="180">
        <v>508.9</v>
      </c>
      <c r="X87" s="162">
        <v>2460</v>
      </c>
      <c r="Y87" s="17">
        <v>605</v>
      </c>
      <c r="Z87" s="162"/>
      <c r="AA87" s="125" t="s">
        <v>76</v>
      </c>
      <c r="AB87" s="16" t="s">
        <v>245</v>
      </c>
      <c r="AC87" s="180">
        <v>2117.5</v>
      </c>
      <c r="AD87" s="162">
        <v>5004</v>
      </c>
      <c r="AE87" s="162">
        <v>1120</v>
      </c>
      <c r="AF87" s="180">
        <v>1120</v>
      </c>
      <c r="AG87" s="162">
        <v>80</v>
      </c>
      <c r="AH87" s="180">
        <v>0</v>
      </c>
      <c r="AI87" s="162">
        <v>0</v>
      </c>
      <c r="AJ87" s="162">
        <v>56628</v>
      </c>
      <c r="AK87" s="162">
        <v>654664</v>
      </c>
      <c r="AL87" s="17">
        <v>0</v>
      </c>
    </row>
    <row r="88" spans="1:38" ht="15" customHeight="1" x14ac:dyDescent="0.2">
      <c r="A88" s="125" t="s">
        <v>77</v>
      </c>
      <c r="B88" s="16" t="s">
        <v>241</v>
      </c>
      <c r="C88" s="162">
        <v>45</v>
      </c>
      <c r="D88" s="162">
        <v>0</v>
      </c>
      <c r="E88" s="226">
        <v>1.4720150078529437</v>
      </c>
      <c r="F88" s="180">
        <v>66.2</v>
      </c>
      <c r="G88" s="162">
        <v>451772</v>
      </c>
      <c r="H88" s="162">
        <v>0</v>
      </c>
      <c r="I88" s="162">
        <v>451772</v>
      </c>
      <c r="J88" s="162">
        <v>11</v>
      </c>
      <c r="K88" s="180">
        <v>825.6598919999999</v>
      </c>
      <c r="L88" s="17">
        <v>2151</v>
      </c>
      <c r="M88" s="162"/>
      <c r="N88" s="125" t="s">
        <v>77</v>
      </c>
      <c r="O88" s="16" t="s">
        <v>241</v>
      </c>
      <c r="P88" s="180">
        <v>2201.1999999999998</v>
      </c>
      <c r="Q88" s="180">
        <v>3026.8</v>
      </c>
      <c r="R88" s="162">
        <v>84876</v>
      </c>
      <c r="S88" s="162">
        <v>15</v>
      </c>
      <c r="T88" s="180">
        <v>110.7</v>
      </c>
      <c r="U88" s="162">
        <v>53271</v>
      </c>
      <c r="V88" s="162">
        <v>0</v>
      </c>
      <c r="W88" s="180">
        <v>0</v>
      </c>
      <c r="X88" s="162">
        <v>0</v>
      </c>
      <c r="Y88" s="17">
        <v>568</v>
      </c>
      <c r="Z88" s="162"/>
      <c r="AA88" s="125" t="s">
        <v>77</v>
      </c>
      <c r="AB88" s="16" t="s">
        <v>241</v>
      </c>
      <c r="AC88" s="180">
        <v>1874.4</v>
      </c>
      <c r="AD88" s="162">
        <v>4430</v>
      </c>
      <c r="AE88" s="162">
        <v>0</v>
      </c>
      <c r="AF88" s="180">
        <v>0</v>
      </c>
      <c r="AG88" s="162">
        <v>0</v>
      </c>
      <c r="AH88" s="180">
        <v>0</v>
      </c>
      <c r="AI88" s="162">
        <v>0</v>
      </c>
      <c r="AJ88" s="162">
        <v>57701</v>
      </c>
      <c r="AK88" s="162">
        <v>594349</v>
      </c>
      <c r="AL88" s="17">
        <v>28163</v>
      </c>
    </row>
    <row r="89" spans="1:38" ht="15" customHeight="1" x14ac:dyDescent="0.2">
      <c r="A89" s="125" t="s">
        <v>78</v>
      </c>
      <c r="B89" s="16" t="s">
        <v>240</v>
      </c>
      <c r="C89" s="162">
        <v>70</v>
      </c>
      <c r="D89" s="162">
        <v>0</v>
      </c>
      <c r="E89" s="226">
        <v>0.90764053783784149</v>
      </c>
      <c r="F89" s="180">
        <v>63.5</v>
      </c>
      <c r="G89" s="162">
        <v>433347</v>
      </c>
      <c r="H89" s="162">
        <v>0</v>
      </c>
      <c r="I89" s="162">
        <v>433347</v>
      </c>
      <c r="J89" s="162">
        <v>77</v>
      </c>
      <c r="K89" s="180">
        <v>1680.5878300000011</v>
      </c>
      <c r="L89" s="17">
        <v>11530</v>
      </c>
      <c r="M89" s="162"/>
      <c r="N89" s="125" t="s">
        <v>78</v>
      </c>
      <c r="O89" s="16" t="s">
        <v>240</v>
      </c>
      <c r="P89" s="180">
        <v>5022</v>
      </c>
      <c r="Q89" s="180">
        <v>6702.6</v>
      </c>
      <c r="R89" s="162">
        <v>188014</v>
      </c>
      <c r="S89" s="162">
        <v>87</v>
      </c>
      <c r="T89" s="180">
        <v>181.6</v>
      </c>
      <c r="U89" s="162">
        <v>87389</v>
      </c>
      <c r="V89" s="162">
        <v>637</v>
      </c>
      <c r="W89" s="180">
        <v>1160.5</v>
      </c>
      <c r="X89" s="162">
        <v>5609</v>
      </c>
      <c r="Y89" s="17">
        <v>1872</v>
      </c>
      <c r="Z89" s="162"/>
      <c r="AA89" s="125" t="s">
        <v>78</v>
      </c>
      <c r="AB89" s="16" t="s">
        <v>240</v>
      </c>
      <c r="AC89" s="180">
        <v>8647.7999999999993</v>
      </c>
      <c r="AD89" s="162">
        <v>20438</v>
      </c>
      <c r="AE89" s="162">
        <v>30983</v>
      </c>
      <c r="AF89" s="180">
        <v>68805.899999999994</v>
      </c>
      <c r="AG89" s="162">
        <v>4900</v>
      </c>
      <c r="AH89" s="180">
        <v>18080</v>
      </c>
      <c r="AI89" s="162">
        <v>789</v>
      </c>
      <c r="AJ89" s="162">
        <v>119125</v>
      </c>
      <c r="AK89" s="162">
        <v>740486</v>
      </c>
      <c r="AL89" s="17">
        <v>44002</v>
      </c>
    </row>
    <row r="90" spans="1:38" ht="15" customHeight="1" x14ac:dyDescent="0.2">
      <c r="A90" s="125" t="s">
        <v>79</v>
      </c>
      <c r="B90" s="16" t="s">
        <v>239</v>
      </c>
      <c r="C90" s="162">
        <v>51</v>
      </c>
      <c r="D90" s="162">
        <v>0</v>
      </c>
      <c r="E90" s="226">
        <v>0.82843710932602588</v>
      </c>
      <c r="F90" s="180">
        <v>42.3</v>
      </c>
      <c r="G90" s="162">
        <v>288670</v>
      </c>
      <c r="H90" s="162">
        <v>0</v>
      </c>
      <c r="I90" s="162">
        <v>288670</v>
      </c>
      <c r="J90" s="162">
        <v>70</v>
      </c>
      <c r="K90" s="180">
        <v>1240.4340719999993</v>
      </c>
      <c r="L90" s="17">
        <v>10370</v>
      </c>
      <c r="M90" s="162"/>
      <c r="N90" s="125" t="s">
        <v>79</v>
      </c>
      <c r="O90" s="16" t="s">
        <v>239</v>
      </c>
      <c r="P90" s="180">
        <v>3587.5</v>
      </c>
      <c r="Q90" s="180">
        <v>4828</v>
      </c>
      <c r="R90" s="162">
        <v>135430</v>
      </c>
      <c r="S90" s="162">
        <v>105</v>
      </c>
      <c r="T90" s="180">
        <v>206.7</v>
      </c>
      <c r="U90" s="162">
        <v>99467</v>
      </c>
      <c r="V90" s="162">
        <v>297</v>
      </c>
      <c r="W90" s="180">
        <v>638.20000000000005</v>
      </c>
      <c r="X90" s="162">
        <v>3085</v>
      </c>
      <c r="Y90" s="17">
        <v>2368</v>
      </c>
      <c r="Z90" s="162"/>
      <c r="AA90" s="125" t="s">
        <v>79</v>
      </c>
      <c r="AB90" s="16" t="s">
        <v>239</v>
      </c>
      <c r="AC90" s="180">
        <v>10551</v>
      </c>
      <c r="AD90" s="162">
        <v>24936</v>
      </c>
      <c r="AE90" s="162">
        <v>227612</v>
      </c>
      <c r="AF90" s="180">
        <v>480729.7</v>
      </c>
      <c r="AG90" s="162">
        <v>34235</v>
      </c>
      <c r="AH90" s="180">
        <v>147810.1</v>
      </c>
      <c r="AI90" s="162">
        <v>6454</v>
      </c>
      <c r="AJ90" s="162">
        <v>168177</v>
      </c>
      <c r="AK90" s="162">
        <v>592277</v>
      </c>
      <c r="AL90" s="17">
        <v>40567</v>
      </c>
    </row>
    <row r="91" spans="1:38" ht="15" customHeight="1" x14ac:dyDescent="0.2">
      <c r="A91" s="125" t="s">
        <v>80</v>
      </c>
      <c r="B91" s="16" t="s">
        <v>238</v>
      </c>
      <c r="C91" s="162">
        <v>982</v>
      </c>
      <c r="D91" s="162">
        <v>10</v>
      </c>
      <c r="E91" s="226">
        <v>1.2553630709818426</v>
      </c>
      <c r="F91" s="180">
        <v>1232.8</v>
      </c>
      <c r="G91" s="162">
        <v>8413067</v>
      </c>
      <c r="H91" s="162">
        <v>22668</v>
      </c>
      <c r="I91" s="162">
        <v>8435735</v>
      </c>
      <c r="J91" s="162">
        <v>299</v>
      </c>
      <c r="K91" s="180">
        <v>11658.431401999995</v>
      </c>
      <c r="L91" s="17">
        <v>59326</v>
      </c>
      <c r="M91" s="162"/>
      <c r="N91" s="125" t="s">
        <v>80</v>
      </c>
      <c r="O91" s="16" t="s">
        <v>238</v>
      </c>
      <c r="P91" s="180">
        <v>59674.8</v>
      </c>
      <c r="Q91" s="180">
        <v>71333.2</v>
      </c>
      <c r="R91" s="162">
        <v>1992888</v>
      </c>
      <c r="S91" s="162">
        <v>640</v>
      </c>
      <c r="T91" s="180">
        <v>1553.1</v>
      </c>
      <c r="U91" s="162">
        <v>747375</v>
      </c>
      <c r="V91" s="162">
        <v>4506</v>
      </c>
      <c r="W91" s="180">
        <v>9654.4</v>
      </c>
      <c r="X91" s="162">
        <v>46665</v>
      </c>
      <c r="Y91" s="17">
        <v>8120</v>
      </c>
      <c r="Z91" s="162"/>
      <c r="AA91" s="125" t="s">
        <v>80</v>
      </c>
      <c r="AB91" s="16" t="s">
        <v>238</v>
      </c>
      <c r="AC91" s="180">
        <v>40621.1</v>
      </c>
      <c r="AD91" s="162">
        <v>96002</v>
      </c>
      <c r="AE91" s="162">
        <v>605949</v>
      </c>
      <c r="AF91" s="180">
        <v>1410533.5</v>
      </c>
      <c r="AG91" s="162">
        <v>100452</v>
      </c>
      <c r="AH91" s="180">
        <v>437875</v>
      </c>
      <c r="AI91" s="162">
        <v>19119</v>
      </c>
      <c r="AJ91" s="162">
        <v>1009613</v>
      </c>
      <c r="AK91" s="162">
        <v>11438236</v>
      </c>
      <c r="AL91" s="17">
        <v>0</v>
      </c>
    </row>
    <row r="92" spans="1:38" ht="15" customHeight="1" x14ac:dyDescent="0.2">
      <c r="A92" s="125" t="s">
        <v>81</v>
      </c>
      <c r="B92" s="16" t="s">
        <v>237</v>
      </c>
      <c r="C92" s="162">
        <v>1427</v>
      </c>
      <c r="D92" s="162">
        <v>15</v>
      </c>
      <c r="E92" s="226">
        <v>0.93295848691076833</v>
      </c>
      <c r="F92" s="180">
        <v>1331.3</v>
      </c>
      <c r="G92" s="162">
        <v>9085266</v>
      </c>
      <c r="H92" s="162">
        <v>74000</v>
      </c>
      <c r="I92" s="162">
        <v>9159266</v>
      </c>
      <c r="J92" s="162">
        <v>519</v>
      </c>
      <c r="K92" s="180">
        <v>23399.820972000038</v>
      </c>
      <c r="L92" s="17">
        <v>95059.5</v>
      </c>
      <c r="M92" s="162"/>
      <c r="N92" s="125" t="s">
        <v>81</v>
      </c>
      <c r="O92" s="16" t="s">
        <v>237</v>
      </c>
      <c r="P92" s="180">
        <v>79444.7</v>
      </c>
      <c r="Q92" s="180">
        <v>102844.5</v>
      </c>
      <c r="R92" s="162">
        <v>2873243</v>
      </c>
      <c r="S92" s="162">
        <v>886</v>
      </c>
      <c r="T92" s="180">
        <v>2741.3</v>
      </c>
      <c r="U92" s="162">
        <v>1319155</v>
      </c>
      <c r="V92" s="162">
        <v>10046</v>
      </c>
      <c r="W92" s="180">
        <v>15202.3</v>
      </c>
      <c r="X92" s="162">
        <v>73481</v>
      </c>
      <c r="Y92" s="17">
        <v>20892</v>
      </c>
      <c r="Z92" s="162"/>
      <c r="AA92" s="125" t="s">
        <v>81</v>
      </c>
      <c r="AB92" s="16" t="s">
        <v>237</v>
      </c>
      <c r="AC92" s="180">
        <v>89470.9</v>
      </c>
      <c r="AD92" s="162">
        <v>211451</v>
      </c>
      <c r="AE92" s="162">
        <v>1752539</v>
      </c>
      <c r="AF92" s="180">
        <v>3554633.4</v>
      </c>
      <c r="AG92" s="162">
        <v>253144</v>
      </c>
      <c r="AH92" s="180">
        <v>2450487.7999999998</v>
      </c>
      <c r="AI92" s="162">
        <v>106995</v>
      </c>
      <c r="AJ92" s="162">
        <v>1964226</v>
      </c>
      <c r="AK92" s="162">
        <v>13996735</v>
      </c>
      <c r="AL92" s="17">
        <v>752978</v>
      </c>
    </row>
    <row r="93" spans="1:38" ht="15" customHeight="1" x14ac:dyDescent="0.2">
      <c r="A93" s="125" t="s">
        <v>82</v>
      </c>
      <c r="B93" s="16" t="s">
        <v>236</v>
      </c>
      <c r="C93" s="162">
        <v>96</v>
      </c>
      <c r="D93" s="162">
        <v>25</v>
      </c>
      <c r="E93" s="226">
        <v>1.0596557214843216</v>
      </c>
      <c r="F93" s="180">
        <v>101.7</v>
      </c>
      <c r="G93" s="162">
        <v>694037</v>
      </c>
      <c r="H93" s="162">
        <v>0</v>
      </c>
      <c r="I93" s="162">
        <v>694037</v>
      </c>
      <c r="J93" s="162">
        <v>37</v>
      </c>
      <c r="K93" s="180">
        <v>1555.8122700000001</v>
      </c>
      <c r="L93" s="17">
        <v>7408</v>
      </c>
      <c r="M93" s="162"/>
      <c r="N93" s="125" t="s">
        <v>82</v>
      </c>
      <c r="O93" s="16" t="s">
        <v>236</v>
      </c>
      <c r="P93" s="180">
        <v>6467.1</v>
      </c>
      <c r="Q93" s="180">
        <v>8022.9</v>
      </c>
      <c r="R93" s="162">
        <v>224189</v>
      </c>
      <c r="S93" s="162">
        <v>29</v>
      </c>
      <c r="T93" s="180">
        <v>86.6</v>
      </c>
      <c r="U93" s="162">
        <v>41673</v>
      </c>
      <c r="V93" s="162">
        <v>258</v>
      </c>
      <c r="W93" s="180">
        <v>579.1</v>
      </c>
      <c r="X93" s="162">
        <v>2799</v>
      </c>
      <c r="Y93" s="17">
        <v>1058</v>
      </c>
      <c r="Z93" s="162"/>
      <c r="AA93" s="125" t="s">
        <v>82</v>
      </c>
      <c r="AB93" s="16" t="s">
        <v>236</v>
      </c>
      <c r="AC93" s="180">
        <v>5667.4</v>
      </c>
      <c r="AD93" s="162">
        <v>13394</v>
      </c>
      <c r="AE93" s="162">
        <v>112204</v>
      </c>
      <c r="AF93" s="180">
        <v>215101.7</v>
      </c>
      <c r="AG93" s="162">
        <v>15319</v>
      </c>
      <c r="AH93" s="180">
        <v>105850</v>
      </c>
      <c r="AI93" s="162">
        <v>4622</v>
      </c>
      <c r="AJ93" s="162">
        <v>77807</v>
      </c>
      <c r="AK93" s="162">
        <v>996033</v>
      </c>
      <c r="AL93" s="17">
        <v>54400</v>
      </c>
    </row>
    <row r="94" spans="1:38" ht="15" customHeight="1" x14ac:dyDescent="0.2">
      <c r="A94" s="125" t="s">
        <v>83</v>
      </c>
      <c r="B94" s="16" t="s">
        <v>243</v>
      </c>
      <c r="C94" s="162">
        <v>5349</v>
      </c>
      <c r="D94" s="162">
        <v>235</v>
      </c>
      <c r="E94" s="226">
        <v>1.1802517392712235</v>
      </c>
      <c r="F94" s="180">
        <v>6313.2</v>
      </c>
      <c r="G94" s="162">
        <v>43083527</v>
      </c>
      <c r="H94" s="162">
        <v>300666</v>
      </c>
      <c r="I94" s="162">
        <v>43384193</v>
      </c>
      <c r="J94" s="162">
        <v>1756</v>
      </c>
      <c r="K94" s="180">
        <v>88657.132094000961</v>
      </c>
      <c r="L94" s="17">
        <v>366982</v>
      </c>
      <c r="M94" s="162"/>
      <c r="N94" s="125" t="s">
        <v>83</v>
      </c>
      <c r="O94" s="16" t="s">
        <v>243</v>
      </c>
      <c r="P94" s="180">
        <v>356197.1</v>
      </c>
      <c r="Q94" s="180">
        <v>444854.30000000005</v>
      </c>
      <c r="R94" s="162">
        <v>12428223</v>
      </c>
      <c r="S94" s="162">
        <v>3130</v>
      </c>
      <c r="T94" s="180">
        <v>9751.7000000000007</v>
      </c>
      <c r="U94" s="162">
        <v>4692667</v>
      </c>
      <c r="V94" s="162">
        <v>27288</v>
      </c>
      <c r="W94" s="180">
        <v>52528.2</v>
      </c>
      <c r="X94" s="162">
        <v>253897</v>
      </c>
      <c r="Y94" s="17">
        <v>108576</v>
      </c>
      <c r="Z94" s="162"/>
      <c r="AA94" s="125" t="s">
        <v>83</v>
      </c>
      <c r="AB94" s="16" t="s">
        <v>243</v>
      </c>
      <c r="AC94" s="180">
        <v>317940.09999999998</v>
      </c>
      <c r="AD94" s="162">
        <v>751403</v>
      </c>
      <c r="AE94" s="162">
        <v>4270379</v>
      </c>
      <c r="AF94" s="180">
        <v>10338298.800000001</v>
      </c>
      <c r="AG94" s="162">
        <v>736245</v>
      </c>
      <c r="AH94" s="180">
        <v>3675426</v>
      </c>
      <c r="AI94" s="162">
        <v>160480</v>
      </c>
      <c r="AJ94" s="162">
        <v>6594692</v>
      </c>
      <c r="AK94" s="162">
        <v>62407108</v>
      </c>
      <c r="AL94" s="17">
        <v>0</v>
      </c>
    </row>
    <row r="95" spans="1:38" ht="15" customHeight="1" x14ac:dyDescent="0.2">
      <c r="A95" s="125" t="s">
        <v>84</v>
      </c>
      <c r="B95" s="16" t="s">
        <v>233</v>
      </c>
      <c r="C95" s="162">
        <v>132</v>
      </c>
      <c r="D95" s="162">
        <v>0</v>
      </c>
      <c r="E95" s="226">
        <v>0.92906720682253519</v>
      </c>
      <c r="F95" s="180">
        <v>122.6</v>
      </c>
      <c r="G95" s="162">
        <v>836666</v>
      </c>
      <c r="H95" s="162">
        <v>0</v>
      </c>
      <c r="I95" s="162">
        <v>836666</v>
      </c>
      <c r="J95" s="162">
        <v>78</v>
      </c>
      <c r="K95" s="180">
        <v>1879.1819999999989</v>
      </c>
      <c r="L95" s="17">
        <v>11857</v>
      </c>
      <c r="M95" s="162"/>
      <c r="N95" s="125" t="s">
        <v>84</v>
      </c>
      <c r="O95" s="16" t="s">
        <v>233</v>
      </c>
      <c r="P95" s="180">
        <v>9922.2999999999993</v>
      </c>
      <c r="Q95" s="180">
        <v>11801.5</v>
      </c>
      <c r="R95" s="162">
        <v>329706</v>
      </c>
      <c r="S95" s="162">
        <v>123</v>
      </c>
      <c r="T95" s="180">
        <v>257.7</v>
      </c>
      <c r="U95" s="162">
        <v>124009</v>
      </c>
      <c r="V95" s="162">
        <v>954</v>
      </c>
      <c r="W95" s="180">
        <v>2018.7</v>
      </c>
      <c r="X95" s="162">
        <v>9757</v>
      </c>
      <c r="Y95" s="17">
        <v>2393</v>
      </c>
      <c r="Z95" s="162"/>
      <c r="AA95" s="125" t="s">
        <v>84</v>
      </c>
      <c r="AB95" s="16" t="s">
        <v>233</v>
      </c>
      <c r="AC95" s="180">
        <v>11355.2</v>
      </c>
      <c r="AD95" s="162">
        <v>26836</v>
      </c>
      <c r="AE95" s="162">
        <v>339171</v>
      </c>
      <c r="AF95" s="180">
        <v>720920.2</v>
      </c>
      <c r="AG95" s="162">
        <v>51341</v>
      </c>
      <c r="AH95" s="180">
        <v>266691</v>
      </c>
      <c r="AI95" s="162">
        <v>11645</v>
      </c>
      <c r="AJ95" s="162">
        <v>223588</v>
      </c>
      <c r="AK95" s="162">
        <v>1389960</v>
      </c>
      <c r="AL95" s="17">
        <v>55265</v>
      </c>
    </row>
    <row r="96" spans="1:38" ht="15" customHeight="1" x14ac:dyDescent="0.2">
      <c r="A96" s="125" t="s">
        <v>85</v>
      </c>
      <c r="B96" s="16" t="s">
        <v>232</v>
      </c>
      <c r="C96" s="162">
        <v>48</v>
      </c>
      <c r="D96" s="162">
        <v>0</v>
      </c>
      <c r="E96" s="226">
        <v>1.2324960428870217</v>
      </c>
      <c r="F96" s="180">
        <v>59.2</v>
      </c>
      <c r="G96" s="162">
        <v>404002</v>
      </c>
      <c r="H96" s="162">
        <v>0</v>
      </c>
      <c r="I96" s="162">
        <v>404002</v>
      </c>
      <c r="J96" s="162">
        <v>17</v>
      </c>
      <c r="K96" s="180">
        <v>751.86037799999997</v>
      </c>
      <c r="L96" s="17">
        <v>3384</v>
      </c>
      <c r="M96" s="162"/>
      <c r="N96" s="125" t="s">
        <v>85</v>
      </c>
      <c r="O96" s="16" t="s">
        <v>232</v>
      </c>
      <c r="P96" s="180">
        <v>3346.9</v>
      </c>
      <c r="Q96" s="180">
        <v>4098.7</v>
      </c>
      <c r="R96" s="162">
        <v>114509</v>
      </c>
      <c r="S96" s="162">
        <v>33</v>
      </c>
      <c r="T96" s="180">
        <v>88.7</v>
      </c>
      <c r="U96" s="162">
        <v>42684</v>
      </c>
      <c r="V96" s="162">
        <v>583</v>
      </c>
      <c r="W96" s="180">
        <v>904.2</v>
      </c>
      <c r="X96" s="162">
        <v>4370</v>
      </c>
      <c r="Y96" s="17">
        <v>1892</v>
      </c>
      <c r="Z96" s="162"/>
      <c r="AA96" s="125" t="s">
        <v>85</v>
      </c>
      <c r="AB96" s="16" t="s">
        <v>232</v>
      </c>
      <c r="AC96" s="180">
        <v>3786.5</v>
      </c>
      <c r="AD96" s="162">
        <v>8949</v>
      </c>
      <c r="AE96" s="162">
        <v>57118</v>
      </c>
      <c r="AF96" s="180">
        <v>87073.2</v>
      </c>
      <c r="AG96" s="162">
        <v>6201</v>
      </c>
      <c r="AH96" s="180">
        <v>31627</v>
      </c>
      <c r="AI96" s="162">
        <v>1381</v>
      </c>
      <c r="AJ96" s="162">
        <v>63585</v>
      </c>
      <c r="AK96" s="162">
        <v>582096</v>
      </c>
      <c r="AL96" s="17">
        <v>44992</v>
      </c>
    </row>
    <row r="97" spans="1:38" ht="15" customHeight="1" x14ac:dyDescent="0.2">
      <c r="A97" s="125" t="s">
        <v>86</v>
      </c>
      <c r="B97" s="16" t="s">
        <v>231</v>
      </c>
      <c r="C97" s="162">
        <v>294</v>
      </c>
      <c r="D97" s="162">
        <v>95</v>
      </c>
      <c r="E97" s="226">
        <v>0.86742838479403483</v>
      </c>
      <c r="F97" s="180">
        <v>255</v>
      </c>
      <c r="G97" s="162">
        <v>1740211</v>
      </c>
      <c r="H97" s="162">
        <v>7000</v>
      </c>
      <c r="I97" s="162">
        <v>1747211</v>
      </c>
      <c r="J97" s="162">
        <v>208</v>
      </c>
      <c r="K97" s="180">
        <v>5530.662755999997</v>
      </c>
      <c r="L97" s="17">
        <v>34348</v>
      </c>
      <c r="M97" s="162"/>
      <c r="N97" s="125" t="s">
        <v>86</v>
      </c>
      <c r="O97" s="16" t="s">
        <v>231</v>
      </c>
      <c r="P97" s="180">
        <v>24163.200000000001</v>
      </c>
      <c r="Q97" s="180">
        <v>29693.8</v>
      </c>
      <c r="R97" s="162">
        <v>829858</v>
      </c>
      <c r="S97" s="162">
        <v>187</v>
      </c>
      <c r="T97" s="180">
        <v>514.4</v>
      </c>
      <c r="U97" s="162">
        <v>247537</v>
      </c>
      <c r="V97" s="162">
        <v>2804</v>
      </c>
      <c r="W97" s="180">
        <v>5122.5</v>
      </c>
      <c r="X97" s="162">
        <v>24760</v>
      </c>
      <c r="Y97" s="17">
        <v>7283</v>
      </c>
      <c r="Z97" s="162"/>
      <c r="AA97" s="125" t="s">
        <v>86</v>
      </c>
      <c r="AB97" s="16" t="s">
        <v>231</v>
      </c>
      <c r="AC97" s="180">
        <v>34097.300000000003</v>
      </c>
      <c r="AD97" s="162">
        <v>80584</v>
      </c>
      <c r="AE97" s="162">
        <v>200765</v>
      </c>
      <c r="AF97" s="180">
        <v>476464.8</v>
      </c>
      <c r="AG97" s="162">
        <v>33932</v>
      </c>
      <c r="AH97" s="180">
        <v>319584</v>
      </c>
      <c r="AI97" s="162">
        <v>13954</v>
      </c>
      <c r="AJ97" s="162">
        <v>400767</v>
      </c>
      <c r="AK97" s="162">
        <v>2977836</v>
      </c>
      <c r="AL97" s="17">
        <v>137519</v>
      </c>
    </row>
    <row r="98" spans="1:38" ht="15" customHeight="1" x14ac:dyDescent="0.2">
      <c r="A98" s="125" t="s">
        <v>87</v>
      </c>
      <c r="B98" s="16" t="s">
        <v>235</v>
      </c>
      <c r="C98" s="162">
        <v>126</v>
      </c>
      <c r="D98" s="162">
        <v>0</v>
      </c>
      <c r="E98" s="226">
        <v>1.3188356649563937</v>
      </c>
      <c r="F98" s="180">
        <v>166.2</v>
      </c>
      <c r="G98" s="162">
        <v>1134208</v>
      </c>
      <c r="H98" s="162">
        <v>0</v>
      </c>
      <c r="I98" s="162">
        <v>1134208</v>
      </c>
      <c r="J98" s="162">
        <v>56</v>
      </c>
      <c r="K98" s="180">
        <v>4290.2373960000032</v>
      </c>
      <c r="L98" s="17">
        <v>12004</v>
      </c>
      <c r="M98" s="162"/>
      <c r="N98" s="125" t="s">
        <v>87</v>
      </c>
      <c r="O98" s="16" t="s">
        <v>235</v>
      </c>
      <c r="P98" s="180">
        <v>14267.6</v>
      </c>
      <c r="Q98" s="180">
        <v>18557.900000000001</v>
      </c>
      <c r="R98" s="162">
        <v>521500</v>
      </c>
      <c r="S98" s="162">
        <v>129</v>
      </c>
      <c r="T98" s="180">
        <v>319.3</v>
      </c>
      <c r="U98" s="162">
        <v>153652</v>
      </c>
      <c r="V98" s="162">
        <v>856</v>
      </c>
      <c r="W98" s="180">
        <v>1297.7</v>
      </c>
      <c r="X98" s="162">
        <v>6272</v>
      </c>
      <c r="Y98" s="17">
        <v>1496</v>
      </c>
      <c r="Z98" s="162"/>
      <c r="AA98" s="125" t="s">
        <v>87</v>
      </c>
      <c r="AB98" s="16" t="s">
        <v>235</v>
      </c>
      <c r="AC98" s="180">
        <v>8169.2</v>
      </c>
      <c r="AD98" s="162">
        <v>19307</v>
      </c>
      <c r="AE98" s="162">
        <v>349464</v>
      </c>
      <c r="AF98" s="180">
        <v>460296.3</v>
      </c>
      <c r="AG98" s="162">
        <v>32780</v>
      </c>
      <c r="AH98" s="180">
        <v>483082</v>
      </c>
      <c r="AI98" s="162">
        <v>21093</v>
      </c>
      <c r="AJ98" s="162">
        <v>233104</v>
      </c>
      <c r="AK98" s="162">
        <v>1888812</v>
      </c>
      <c r="AL98" s="17">
        <v>131140</v>
      </c>
    </row>
    <row r="99" spans="1:38" ht="15" customHeight="1" x14ac:dyDescent="0.2">
      <c r="A99" s="125" t="s">
        <v>88</v>
      </c>
      <c r="B99" s="16" t="s">
        <v>234</v>
      </c>
      <c r="C99" s="162">
        <v>68</v>
      </c>
      <c r="D99" s="162">
        <v>0</v>
      </c>
      <c r="E99" s="226">
        <v>1.1665045894319042</v>
      </c>
      <c r="F99" s="180">
        <v>79.3</v>
      </c>
      <c r="G99" s="162">
        <v>541171</v>
      </c>
      <c r="H99" s="162">
        <v>0</v>
      </c>
      <c r="I99" s="162">
        <v>541171</v>
      </c>
      <c r="J99" s="162">
        <v>25</v>
      </c>
      <c r="K99" s="180">
        <v>1092.4381620000001</v>
      </c>
      <c r="L99" s="17">
        <v>3805.5</v>
      </c>
      <c r="M99" s="162"/>
      <c r="N99" s="125" t="s">
        <v>88</v>
      </c>
      <c r="O99" s="16" t="s">
        <v>234</v>
      </c>
      <c r="P99" s="180">
        <v>3258.5</v>
      </c>
      <c r="Q99" s="180">
        <v>4350.9000000000005</v>
      </c>
      <c r="R99" s="162">
        <v>121730</v>
      </c>
      <c r="S99" s="162">
        <v>49</v>
      </c>
      <c r="T99" s="180">
        <v>163.6</v>
      </c>
      <c r="U99" s="162">
        <v>78727</v>
      </c>
      <c r="V99" s="162">
        <v>258</v>
      </c>
      <c r="W99" s="180">
        <v>523.6</v>
      </c>
      <c r="X99" s="162">
        <v>2531</v>
      </c>
      <c r="Y99" s="17">
        <v>163</v>
      </c>
      <c r="Z99" s="162"/>
      <c r="AA99" s="125" t="s">
        <v>88</v>
      </c>
      <c r="AB99" s="16" t="s">
        <v>234</v>
      </c>
      <c r="AC99" s="180">
        <v>1064.3</v>
      </c>
      <c r="AD99" s="162">
        <v>2515</v>
      </c>
      <c r="AE99" s="162">
        <v>32677</v>
      </c>
      <c r="AF99" s="180">
        <v>75961.5</v>
      </c>
      <c r="AG99" s="162">
        <v>5410</v>
      </c>
      <c r="AH99" s="180">
        <v>47460</v>
      </c>
      <c r="AI99" s="162">
        <v>2072</v>
      </c>
      <c r="AJ99" s="162">
        <v>91255</v>
      </c>
      <c r="AK99" s="162">
        <v>754156</v>
      </c>
      <c r="AL99" s="17">
        <v>27219</v>
      </c>
    </row>
    <row r="100" spans="1:38" ht="15" customHeight="1" x14ac:dyDescent="0.2">
      <c r="A100" s="125" t="s">
        <v>89</v>
      </c>
      <c r="B100" s="16" t="s">
        <v>229</v>
      </c>
      <c r="C100" s="162">
        <v>190</v>
      </c>
      <c r="D100" s="162">
        <v>0</v>
      </c>
      <c r="E100" s="226">
        <v>0.85912097013128907</v>
      </c>
      <c r="F100" s="180">
        <v>163.19999999999999</v>
      </c>
      <c r="G100" s="162">
        <v>1113735</v>
      </c>
      <c r="H100" s="162">
        <v>9297</v>
      </c>
      <c r="I100" s="162">
        <v>1123032</v>
      </c>
      <c r="J100" s="162">
        <v>80</v>
      </c>
      <c r="K100" s="180">
        <v>2438.4243989999995</v>
      </c>
      <c r="L100" s="17">
        <v>13924.5</v>
      </c>
      <c r="M100" s="162"/>
      <c r="N100" s="125" t="s">
        <v>89</v>
      </c>
      <c r="O100" s="16" t="s">
        <v>229</v>
      </c>
      <c r="P100" s="180">
        <v>9901.7999999999993</v>
      </c>
      <c r="Q100" s="180">
        <v>12340.300000000001</v>
      </c>
      <c r="R100" s="162">
        <v>344920</v>
      </c>
      <c r="S100" s="162">
        <v>92</v>
      </c>
      <c r="T100" s="180">
        <v>325.3</v>
      </c>
      <c r="U100" s="162">
        <v>156539</v>
      </c>
      <c r="V100" s="162">
        <v>1191</v>
      </c>
      <c r="W100" s="180">
        <v>2331.1999999999998</v>
      </c>
      <c r="X100" s="162">
        <v>11268</v>
      </c>
      <c r="Y100" s="17">
        <v>3720</v>
      </c>
      <c r="Z100" s="162"/>
      <c r="AA100" s="125" t="s">
        <v>89</v>
      </c>
      <c r="AB100" s="16" t="s">
        <v>229</v>
      </c>
      <c r="AC100" s="180">
        <v>17700.3</v>
      </c>
      <c r="AD100" s="162">
        <v>41832</v>
      </c>
      <c r="AE100" s="162">
        <v>349802</v>
      </c>
      <c r="AF100" s="180">
        <v>819245.2</v>
      </c>
      <c r="AG100" s="162">
        <v>58343</v>
      </c>
      <c r="AH100" s="180">
        <v>508033.5</v>
      </c>
      <c r="AI100" s="162">
        <v>22182</v>
      </c>
      <c r="AJ100" s="162">
        <v>290164</v>
      </c>
      <c r="AK100" s="162">
        <v>1758116</v>
      </c>
      <c r="AL100" s="17">
        <v>109060</v>
      </c>
    </row>
    <row r="101" spans="1:38" ht="15" customHeight="1" x14ac:dyDescent="0.2">
      <c r="A101" s="125" t="s">
        <v>90</v>
      </c>
      <c r="B101" s="16" t="s">
        <v>228</v>
      </c>
      <c r="C101" s="162">
        <v>1733</v>
      </c>
      <c r="D101" s="162">
        <v>95</v>
      </c>
      <c r="E101" s="226">
        <v>1.0245813504346193</v>
      </c>
      <c r="F101" s="180">
        <v>1775.6</v>
      </c>
      <c r="G101" s="162">
        <v>12117327</v>
      </c>
      <c r="H101" s="162">
        <v>72122</v>
      </c>
      <c r="I101" s="162">
        <v>12189449</v>
      </c>
      <c r="J101" s="162">
        <v>718</v>
      </c>
      <c r="K101" s="180">
        <v>31486.758516999878</v>
      </c>
      <c r="L101" s="17">
        <v>137678</v>
      </c>
      <c r="M101" s="162"/>
      <c r="N101" s="125" t="s">
        <v>90</v>
      </c>
      <c r="O101" s="16" t="s">
        <v>228</v>
      </c>
      <c r="P101" s="180">
        <v>117481.7</v>
      </c>
      <c r="Q101" s="180">
        <v>148968.5</v>
      </c>
      <c r="R101" s="162">
        <v>4170961</v>
      </c>
      <c r="S101" s="162">
        <v>1251</v>
      </c>
      <c r="T101" s="180">
        <v>3614.3</v>
      </c>
      <c r="U101" s="162">
        <v>1739256</v>
      </c>
      <c r="V101" s="162">
        <v>11924</v>
      </c>
      <c r="W101" s="180">
        <v>21435.8</v>
      </c>
      <c r="X101" s="162">
        <v>103611</v>
      </c>
      <c r="Y101" s="17">
        <v>27919</v>
      </c>
      <c r="Z101" s="162"/>
      <c r="AA101" s="125" t="s">
        <v>90</v>
      </c>
      <c r="AB101" s="16" t="s">
        <v>228</v>
      </c>
      <c r="AC101" s="180">
        <v>121736.4</v>
      </c>
      <c r="AD101" s="162">
        <v>287705</v>
      </c>
      <c r="AE101" s="162">
        <v>1410150</v>
      </c>
      <c r="AF101" s="180">
        <v>3266933.9</v>
      </c>
      <c r="AG101" s="162">
        <v>232656</v>
      </c>
      <c r="AH101" s="180">
        <v>1738570.4</v>
      </c>
      <c r="AI101" s="162">
        <v>75911</v>
      </c>
      <c r="AJ101" s="162">
        <v>2439139</v>
      </c>
      <c r="AK101" s="162">
        <v>18799549</v>
      </c>
      <c r="AL101" s="17">
        <v>0</v>
      </c>
    </row>
    <row r="102" spans="1:38" ht="15" customHeight="1" x14ac:dyDescent="0.2">
      <c r="A102" s="125" t="s">
        <v>91</v>
      </c>
      <c r="B102" s="16" t="s">
        <v>227</v>
      </c>
      <c r="C102" s="162">
        <v>130</v>
      </c>
      <c r="D102" s="162">
        <v>0</v>
      </c>
      <c r="E102" s="226">
        <v>0.89060432707015325</v>
      </c>
      <c r="F102" s="180">
        <v>115.8</v>
      </c>
      <c r="G102" s="162">
        <v>790260</v>
      </c>
      <c r="H102" s="162">
        <v>0</v>
      </c>
      <c r="I102" s="162">
        <v>790260</v>
      </c>
      <c r="J102" s="162">
        <v>34</v>
      </c>
      <c r="K102" s="180">
        <v>419.79625699999974</v>
      </c>
      <c r="L102" s="17">
        <v>6190</v>
      </c>
      <c r="M102" s="162"/>
      <c r="N102" s="125" t="s">
        <v>91</v>
      </c>
      <c r="O102" s="16" t="s">
        <v>227</v>
      </c>
      <c r="P102" s="180">
        <v>3138.3</v>
      </c>
      <c r="Q102" s="180">
        <v>3558.1</v>
      </c>
      <c r="R102" s="162">
        <v>99808</v>
      </c>
      <c r="S102" s="162">
        <v>118</v>
      </c>
      <c r="T102" s="180">
        <v>214.1</v>
      </c>
      <c r="U102" s="162">
        <v>103028</v>
      </c>
      <c r="V102" s="162">
        <v>1371</v>
      </c>
      <c r="W102" s="180">
        <v>1430.6</v>
      </c>
      <c r="X102" s="162">
        <v>6915</v>
      </c>
      <c r="Y102" s="17">
        <v>1902</v>
      </c>
      <c r="Z102" s="162"/>
      <c r="AA102" s="125" t="s">
        <v>91</v>
      </c>
      <c r="AB102" s="16" t="s">
        <v>227</v>
      </c>
      <c r="AC102" s="180">
        <v>6340</v>
      </c>
      <c r="AD102" s="162">
        <v>14984</v>
      </c>
      <c r="AE102" s="162">
        <v>0</v>
      </c>
      <c r="AF102" s="180">
        <v>0</v>
      </c>
      <c r="AG102" s="162">
        <v>0</v>
      </c>
      <c r="AH102" s="180">
        <v>0</v>
      </c>
      <c r="AI102" s="162">
        <v>0</v>
      </c>
      <c r="AJ102" s="162">
        <v>124927</v>
      </c>
      <c r="AK102" s="162">
        <v>1014995</v>
      </c>
      <c r="AL102" s="17">
        <v>105636</v>
      </c>
    </row>
    <row r="103" spans="1:38" ht="15" customHeight="1" x14ac:dyDescent="0.2">
      <c r="A103" s="125" t="s">
        <v>436</v>
      </c>
      <c r="B103" s="16" t="s">
        <v>250</v>
      </c>
      <c r="C103" s="162">
        <v>1430</v>
      </c>
      <c r="D103" s="162">
        <v>0</v>
      </c>
      <c r="E103" s="226">
        <v>0.73990433846929382</v>
      </c>
      <c r="F103" s="180">
        <v>1058.0999999999999</v>
      </c>
      <c r="G103" s="162">
        <v>7220852</v>
      </c>
      <c r="H103" s="162">
        <v>27589</v>
      </c>
      <c r="I103" s="162">
        <v>7248441</v>
      </c>
      <c r="J103" s="162">
        <v>1339</v>
      </c>
      <c r="K103" s="180">
        <v>19901.784315000266</v>
      </c>
      <c r="L103" s="17">
        <v>229400</v>
      </c>
      <c r="M103" s="162"/>
      <c r="N103" s="125" t="s">
        <v>436</v>
      </c>
      <c r="O103" s="16" t="s">
        <v>250</v>
      </c>
      <c r="P103" s="180">
        <v>99030</v>
      </c>
      <c r="Q103" s="180">
        <v>118931.8</v>
      </c>
      <c r="R103" s="162">
        <v>3331063</v>
      </c>
      <c r="S103" s="162">
        <v>1208</v>
      </c>
      <c r="T103" s="180">
        <v>2289.5</v>
      </c>
      <c r="U103" s="162">
        <v>1101742</v>
      </c>
      <c r="V103" s="162">
        <v>10722</v>
      </c>
      <c r="W103" s="180">
        <v>20924.8</v>
      </c>
      <c r="X103" s="162">
        <v>101141</v>
      </c>
      <c r="Y103" s="17">
        <v>38722</v>
      </c>
      <c r="Z103" s="162"/>
      <c r="AA103" s="125" t="s">
        <v>436</v>
      </c>
      <c r="AB103" s="16" t="s">
        <v>250</v>
      </c>
      <c r="AC103" s="180">
        <v>195016.8</v>
      </c>
      <c r="AD103" s="162">
        <v>460892</v>
      </c>
      <c r="AE103" s="162">
        <v>1164616</v>
      </c>
      <c r="AF103" s="180">
        <v>2724166.6</v>
      </c>
      <c r="AG103" s="162">
        <v>194002</v>
      </c>
      <c r="AH103" s="180">
        <v>827353.1</v>
      </c>
      <c r="AI103" s="162">
        <v>36125</v>
      </c>
      <c r="AJ103" s="162">
        <v>1893902</v>
      </c>
      <c r="AK103" s="162">
        <v>12473406</v>
      </c>
      <c r="AL103" s="17">
        <v>1130440</v>
      </c>
    </row>
    <row r="104" spans="1:38" ht="15" customHeight="1" x14ac:dyDescent="0.2">
      <c r="A104" s="125" t="s">
        <v>92</v>
      </c>
      <c r="B104" s="16" t="s">
        <v>226</v>
      </c>
      <c r="C104" s="162">
        <v>37</v>
      </c>
      <c r="D104" s="162">
        <v>0</v>
      </c>
      <c r="E104" s="226">
        <v>0.73821299904523097</v>
      </c>
      <c r="F104" s="180">
        <v>27.3</v>
      </c>
      <c r="G104" s="162">
        <v>186305</v>
      </c>
      <c r="H104" s="162">
        <v>0</v>
      </c>
      <c r="I104" s="162">
        <v>186305</v>
      </c>
      <c r="J104" s="162">
        <v>24</v>
      </c>
      <c r="K104" s="180">
        <v>282.40200000000004</v>
      </c>
      <c r="L104" s="17">
        <v>3015</v>
      </c>
      <c r="M104" s="162"/>
      <c r="N104" s="125" t="s">
        <v>92</v>
      </c>
      <c r="O104" s="16" t="s">
        <v>226</v>
      </c>
      <c r="P104" s="180">
        <v>1591.1</v>
      </c>
      <c r="Q104" s="180">
        <v>1873.5</v>
      </c>
      <c r="R104" s="162">
        <v>52553</v>
      </c>
      <c r="S104" s="162">
        <v>33</v>
      </c>
      <c r="T104" s="180">
        <v>80.5</v>
      </c>
      <c r="U104" s="162">
        <v>38738</v>
      </c>
      <c r="V104" s="162">
        <v>241</v>
      </c>
      <c r="W104" s="180">
        <v>475.4</v>
      </c>
      <c r="X104" s="162">
        <v>2298</v>
      </c>
      <c r="Y104" s="17">
        <v>511</v>
      </c>
      <c r="Z104" s="162"/>
      <c r="AA104" s="125" t="s">
        <v>92</v>
      </c>
      <c r="AB104" s="16" t="s">
        <v>226</v>
      </c>
      <c r="AC104" s="180">
        <v>2795.8</v>
      </c>
      <c r="AD104" s="162">
        <v>6607</v>
      </c>
      <c r="AE104" s="162">
        <v>89610</v>
      </c>
      <c r="AF104" s="180">
        <v>202449.2</v>
      </c>
      <c r="AG104" s="162">
        <v>14417</v>
      </c>
      <c r="AH104" s="180">
        <v>63600</v>
      </c>
      <c r="AI104" s="162">
        <v>2777</v>
      </c>
      <c r="AJ104" s="162">
        <v>64837</v>
      </c>
      <c r="AK104" s="162">
        <v>303695</v>
      </c>
      <c r="AL104" s="17">
        <v>15192</v>
      </c>
    </row>
    <row r="105" spans="1:38" ht="15" customHeight="1" x14ac:dyDescent="0.2">
      <c r="A105" s="125" t="s">
        <v>93</v>
      </c>
      <c r="B105" s="16" t="s">
        <v>225</v>
      </c>
      <c r="C105" s="162">
        <v>50</v>
      </c>
      <c r="D105" s="162">
        <v>0</v>
      </c>
      <c r="E105" s="226">
        <v>1.0371604110090369</v>
      </c>
      <c r="F105" s="180">
        <v>51.9</v>
      </c>
      <c r="G105" s="162">
        <v>354184</v>
      </c>
      <c r="H105" s="162">
        <v>0</v>
      </c>
      <c r="I105" s="162">
        <v>354184</v>
      </c>
      <c r="J105" s="162">
        <v>28</v>
      </c>
      <c r="K105" s="180">
        <v>1456.3804319999997</v>
      </c>
      <c r="L105" s="17">
        <v>6060</v>
      </c>
      <c r="M105" s="162"/>
      <c r="N105" s="125" t="s">
        <v>93</v>
      </c>
      <c r="O105" s="16" t="s">
        <v>225</v>
      </c>
      <c r="P105" s="180">
        <v>5622.4</v>
      </c>
      <c r="Q105" s="180">
        <v>7078.8</v>
      </c>
      <c r="R105" s="162">
        <v>198129</v>
      </c>
      <c r="S105" s="162">
        <v>41</v>
      </c>
      <c r="T105" s="180">
        <v>109.4</v>
      </c>
      <c r="U105" s="162">
        <v>52645</v>
      </c>
      <c r="V105" s="162">
        <v>381</v>
      </c>
      <c r="W105" s="180">
        <v>690.3</v>
      </c>
      <c r="X105" s="162">
        <v>3337</v>
      </c>
      <c r="Y105" s="17">
        <v>699</v>
      </c>
      <c r="Z105" s="162"/>
      <c r="AA105" s="125" t="s">
        <v>93</v>
      </c>
      <c r="AB105" s="16" t="s">
        <v>225</v>
      </c>
      <c r="AC105" s="180">
        <v>3930.5</v>
      </c>
      <c r="AD105" s="162">
        <v>9289</v>
      </c>
      <c r="AE105" s="162">
        <v>53855</v>
      </c>
      <c r="AF105" s="180">
        <v>120216.5</v>
      </c>
      <c r="AG105" s="162">
        <v>8561</v>
      </c>
      <c r="AH105" s="180">
        <v>46819</v>
      </c>
      <c r="AI105" s="162">
        <v>2044</v>
      </c>
      <c r="AJ105" s="162">
        <v>75876</v>
      </c>
      <c r="AK105" s="162">
        <v>628189</v>
      </c>
      <c r="AL105" s="17">
        <v>33142</v>
      </c>
    </row>
    <row r="106" spans="1:38" ht="15" customHeight="1" x14ac:dyDescent="0.2">
      <c r="A106" s="125" t="s">
        <v>94</v>
      </c>
      <c r="B106" s="16" t="s">
        <v>224</v>
      </c>
      <c r="C106" s="162">
        <v>3103</v>
      </c>
      <c r="D106" s="162">
        <v>180</v>
      </c>
      <c r="E106" s="226">
        <v>1.2483166796639649</v>
      </c>
      <c r="F106" s="180">
        <v>3873.5</v>
      </c>
      <c r="G106" s="162">
        <v>26434145</v>
      </c>
      <c r="H106" s="162">
        <v>352303</v>
      </c>
      <c r="I106" s="162">
        <v>26786448</v>
      </c>
      <c r="J106" s="162">
        <v>1212</v>
      </c>
      <c r="K106" s="180">
        <v>66700.46673100011</v>
      </c>
      <c r="L106" s="17">
        <v>234549</v>
      </c>
      <c r="M106" s="162"/>
      <c r="N106" s="125" t="s">
        <v>94</v>
      </c>
      <c r="O106" s="16" t="s">
        <v>224</v>
      </c>
      <c r="P106" s="180">
        <v>234484.3</v>
      </c>
      <c r="Q106" s="180">
        <v>301184.7</v>
      </c>
      <c r="R106" s="162">
        <v>8422083</v>
      </c>
      <c r="S106" s="162">
        <v>1931</v>
      </c>
      <c r="T106" s="180">
        <v>5546.5</v>
      </c>
      <c r="U106" s="162">
        <v>2669061</v>
      </c>
      <c r="V106" s="162">
        <v>13162</v>
      </c>
      <c r="W106" s="180">
        <v>26682.1</v>
      </c>
      <c r="X106" s="162">
        <v>128969</v>
      </c>
      <c r="Y106" s="17">
        <v>42040</v>
      </c>
      <c r="Z106" s="162"/>
      <c r="AA106" s="125" t="s">
        <v>94</v>
      </c>
      <c r="AB106" s="16" t="s">
        <v>224</v>
      </c>
      <c r="AC106" s="180">
        <v>200167.5</v>
      </c>
      <c r="AD106" s="162">
        <v>473065</v>
      </c>
      <c r="AE106" s="162">
        <v>3262122</v>
      </c>
      <c r="AF106" s="180">
        <v>7314550.9000000004</v>
      </c>
      <c r="AG106" s="162">
        <v>520908</v>
      </c>
      <c r="AH106" s="180">
        <v>3646715.9</v>
      </c>
      <c r="AI106" s="162">
        <v>159226</v>
      </c>
      <c r="AJ106" s="162">
        <v>3951229</v>
      </c>
      <c r="AK106" s="162">
        <v>39159760</v>
      </c>
      <c r="AL106" s="17">
        <v>0</v>
      </c>
    </row>
    <row r="107" spans="1:38" ht="15" customHeight="1" x14ac:dyDescent="0.2">
      <c r="A107" s="125" t="s">
        <v>95</v>
      </c>
      <c r="B107" s="16" t="s">
        <v>222</v>
      </c>
      <c r="C107" s="162">
        <v>2037</v>
      </c>
      <c r="D107" s="162">
        <v>150</v>
      </c>
      <c r="E107" s="226">
        <v>1.0806147826544708</v>
      </c>
      <c r="F107" s="180">
        <v>2201.1999999999998</v>
      </c>
      <c r="G107" s="162">
        <v>15021773</v>
      </c>
      <c r="H107" s="162">
        <v>119617</v>
      </c>
      <c r="I107" s="162">
        <v>15141390</v>
      </c>
      <c r="J107" s="162">
        <v>755</v>
      </c>
      <c r="K107" s="180">
        <v>35511.090585000013</v>
      </c>
      <c r="L107" s="17">
        <v>149623.5</v>
      </c>
      <c r="M107" s="162"/>
      <c r="N107" s="125" t="s">
        <v>95</v>
      </c>
      <c r="O107" s="16" t="s">
        <v>222</v>
      </c>
      <c r="P107" s="180">
        <v>136170.70000000001</v>
      </c>
      <c r="Q107" s="180">
        <v>171681.8</v>
      </c>
      <c r="R107" s="162">
        <v>4796402</v>
      </c>
      <c r="S107" s="162">
        <v>1377</v>
      </c>
      <c r="T107" s="180">
        <v>3903.4</v>
      </c>
      <c r="U107" s="162">
        <v>1878376</v>
      </c>
      <c r="V107" s="162">
        <v>9416</v>
      </c>
      <c r="W107" s="180">
        <v>20869.7</v>
      </c>
      <c r="X107" s="162">
        <v>100874</v>
      </c>
      <c r="Y107" s="17">
        <v>22925</v>
      </c>
      <c r="Z107" s="162"/>
      <c r="AA107" s="125" t="s">
        <v>95</v>
      </c>
      <c r="AB107" s="16" t="s">
        <v>222</v>
      </c>
      <c r="AC107" s="180">
        <v>112831</v>
      </c>
      <c r="AD107" s="162">
        <v>266659</v>
      </c>
      <c r="AE107" s="162">
        <v>1503665</v>
      </c>
      <c r="AF107" s="180">
        <v>3456199.5</v>
      </c>
      <c r="AG107" s="162">
        <v>246134</v>
      </c>
      <c r="AH107" s="180">
        <v>1084645</v>
      </c>
      <c r="AI107" s="162">
        <v>47359</v>
      </c>
      <c r="AJ107" s="162">
        <v>2539402</v>
      </c>
      <c r="AK107" s="162">
        <v>22477194</v>
      </c>
      <c r="AL107" s="17">
        <v>0</v>
      </c>
    </row>
    <row r="108" spans="1:38" ht="15" customHeight="1" x14ac:dyDescent="0.2">
      <c r="A108" s="125" t="s">
        <v>96</v>
      </c>
      <c r="B108" s="16" t="s">
        <v>543</v>
      </c>
      <c r="C108" s="162">
        <v>3876</v>
      </c>
      <c r="D108" s="162">
        <v>40</v>
      </c>
      <c r="E108" s="226">
        <v>1.0434022011291926</v>
      </c>
      <c r="F108" s="180">
        <v>4044.2</v>
      </c>
      <c r="G108" s="162">
        <v>27599062</v>
      </c>
      <c r="H108" s="162">
        <v>151834</v>
      </c>
      <c r="I108" s="162">
        <v>27750896</v>
      </c>
      <c r="J108" s="162">
        <v>1678</v>
      </c>
      <c r="K108" s="180">
        <v>58125.988348999716</v>
      </c>
      <c r="L108" s="17">
        <v>318543</v>
      </c>
      <c r="M108" s="162"/>
      <c r="N108" s="125" t="s">
        <v>96</v>
      </c>
      <c r="O108" s="16" t="s">
        <v>543</v>
      </c>
      <c r="P108" s="180">
        <v>262101.9</v>
      </c>
      <c r="Q108" s="180">
        <v>320227.90000000002</v>
      </c>
      <c r="R108" s="162">
        <v>8946880</v>
      </c>
      <c r="S108" s="162">
        <v>2136</v>
      </c>
      <c r="T108" s="180">
        <v>6131.1</v>
      </c>
      <c r="U108" s="162">
        <v>2950379</v>
      </c>
      <c r="V108" s="162">
        <v>10773</v>
      </c>
      <c r="W108" s="180">
        <v>25061.5</v>
      </c>
      <c r="X108" s="162">
        <v>121136</v>
      </c>
      <c r="Y108" s="17">
        <v>29447</v>
      </c>
      <c r="Z108" s="162"/>
      <c r="AA108" s="125" t="s">
        <v>96</v>
      </c>
      <c r="AB108" s="16" t="s">
        <v>543</v>
      </c>
      <c r="AC108" s="180">
        <v>184123</v>
      </c>
      <c r="AD108" s="162">
        <v>435146</v>
      </c>
      <c r="AE108" s="162">
        <v>3557735</v>
      </c>
      <c r="AF108" s="180">
        <v>8355242</v>
      </c>
      <c r="AG108" s="162">
        <v>595021</v>
      </c>
      <c r="AH108" s="180">
        <v>2595797.7999999998</v>
      </c>
      <c r="AI108" s="162">
        <v>113340</v>
      </c>
      <c r="AJ108" s="162">
        <v>4215022</v>
      </c>
      <c r="AK108" s="162">
        <v>40912798</v>
      </c>
      <c r="AL108" s="17">
        <v>0</v>
      </c>
    </row>
    <row r="109" spans="1:38" ht="15" customHeight="1" x14ac:dyDescent="0.2">
      <c r="A109" s="125" t="s">
        <v>97</v>
      </c>
      <c r="B109" s="16" t="s">
        <v>220</v>
      </c>
      <c r="C109" s="162">
        <v>2379</v>
      </c>
      <c r="D109" s="162">
        <v>180</v>
      </c>
      <c r="E109" s="226">
        <v>1.0564040187399282</v>
      </c>
      <c r="F109" s="180">
        <v>2513.1999999999998</v>
      </c>
      <c r="G109" s="162">
        <v>17150973</v>
      </c>
      <c r="H109" s="162">
        <v>166236</v>
      </c>
      <c r="I109" s="162">
        <v>17317209</v>
      </c>
      <c r="J109" s="162">
        <v>976</v>
      </c>
      <c r="K109" s="180">
        <v>48259.599517000155</v>
      </c>
      <c r="L109" s="17">
        <v>192398</v>
      </c>
      <c r="M109" s="162"/>
      <c r="N109" s="125" t="s">
        <v>97</v>
      </c>
      <c r="O109" s="16" t="s">
        <v>220</v>
      </c>
      <c r="P109" s="180">
        <v>173385.3</v>
      </c>
      <c r="Q109" s="180">
        <v>221644.9</v>
      </c>
      <c r="R109" s="162">
        <v>6198470</v>
      </c>
      <c r="S109" s="162">
        <v>1809</v>
      </c>
      <c r="T109" s="180">
        <v>4598</v>
      </c>
      <c r="U109" s="162">
        <v>2212628</v>
      </c>
      <c r="V109" s="162">
        <v>13556</v>
      </c>
      <c r="W109" s="180">
        <v>28022.3</v>
      </c>
      <c r="X109" s="162">
        <v>135447</v>
      </c>
      <c r="Y109" s="17">
        <v>30581</v>
      </c>
      <c r="Z109" s="162"/>
      <c r="AA109" s="125" t="s">
        <v>97</v>
      </c>
      <c r="AB109" s="16" t="s">
        <v>220</v>
      </c>
      <c r="AC109" s="180">
        <v>151268.20000000001</v>
      </c>
      <c r="AD109" s="162">
        <v>357499</v>
      </c>
      <c r="AE109" s="162">
        <v>3121109</v>
      </c>
      <c r="AF109" s="180">
        <v>7174054</v>
      </c>
      <c r="AG109" s="162">
        <v>510902</v>
      </c>
      <c r="AH109" s="180">
        <v>4108744.3</v>
      </c>
      <c r="AI109" s="162">
        <v>179400</v>
      </c>
      <c r="AJ109" s="162">
        <v>3395876</v>
      </c>
      <c r="AK109" s="162">
        <v>26911555</v>
      </c>
      <c r="AL109" s="17">
        <v>0</v>
      </c>
    </row>
    <row r="110" spans="1:38" ht="15" customHeight="1" x14ac:dyDescent="0.2">
      <c r="A110" s="125" t="s">
        <v>98</v>
      </c>
      <c r="B110" s="16" t="s">
        <v>219</v>
      </c>
      <c r="C110" s="162">
        <v>6060</v>
      </c>
      <c r="D110" s="162">
        <v>370</v>
      </c>
      <c r="E110" s="226">
        <v>1.1218994773860924</v>
      </c>
      <c r="F110" s="180">
        <v>6798.7</v>
      </c>
      <c r="G110" s="162">
        <v>46396752</v>
      </c>
      <c r="H110" s="162">
        <v>412393</v>
      </c>
      <c r="I110" s="162">
        <v>46809145</v>
      </c>
      <c r="J110" s="162">
        <v>2264</v>
      </c>
      <c r="K110" s="180">
        <v>95187.903577001256</v>
      </c>
      <c r="L110" s="17">
        <v>439343</v>
      </c>
      <c r="M110" s="162"/>
      <c r="N110" s="125" t="s">
        <v>98</v>
      </c>
      <c r="O110" s="16" t="s">
        <v>219</v>
      </c>
      <c r="P110" s="180">
        <v>390442.9</v>
      </c>
      <c r="Q110" s="180">
        <v>485630.8</v>
      </c>
      <c r="R110" s="162">
        <v>13579915</v>
      </c>
      <c r="S110" s="162">
        <v>3596</v>
      </c>
      <c r="T110" s="180">
        <v>10384.299999999999</v>
      </c>
      <c r="U110" s="162">
        <v>4997084</v>
      </c>
      <c r="V110" s="162">
        <v>36878</v>
      </c>
      <c r="W110" s="180">
        <v>69291.8</v>
      </c>
      <c r="X110" s="162">
        <v>334924</v>
      </c>
      <c r="Y110" s="17">
        <v>77091</v>
      </c>
      <c r="Z110" s="162"/>
      <c r="AA110" s="125" t="s">
        <v>98</v>
      </c>
      <c r="AB110" s="16" t="s">
        <v>219</v>
      </c>
      <c r="AC110" s="180">
        <v>370191.8</v>
      </c>
      <c r="AD110" s="162">
        <v>874891</v>
      </c>
      <c r="AE110" s="162">
        <v>7699891</v>
      </c>
      <c r="AF110" s="180">
        <v>17799273.399999999</v>
      </c>
      <c r="AG110" s="162">
        <v>1267580</v>
      </c>
      <c r="AH110" s="180">
        <v>7544559.5999999996</v>
      </c>
      <c r="AI110" s="162">
        <v>329417</v>
      </c>
      <c r="AJ110" s="162">
        <v>7803896</v>
      </c>
      <c r="AK110" s="162">
        <v>68192956</v>
      </c>
      <c r="AL110" s="17">
        <v>0</v>
      </c>
    </row>
    <row r="111" spans="1:38" ht="15" customHeight="1" x14ac:dyDescent="0.2">
      <c r="A111" s="125" t="s">
        <v>99</v>
      </c>
      <c r="B111" s="16" t="s">
        <v>218</v>
      </c>
      <c r="C111" s="162">
        <v>4731</v>
      </c>
      <c r="D111" s="162">
        <v>360</v>
      </c>
      <c r="E111" s="226">
        <v>1.158117482872502</v>
      </c>
      <c r="F111" s="180">
        <v>5479.1</v>
      </c>
      <c r="G111" s="162">
        <v>37391331</v>
      </c>
      <c r="H111" s="162">
        <v>238554</v>
      </c>
      <c r="I111" s="162">
        <v>37629885</v>
      </c>
      <c r="J111" s="162">
        <v>2011</v>
      </c>
      <c r="K111" s="180">
        <v>97228.702243999476</v>
      </c>
      <c r="L111" s="17">
        <v>368338</v>
      </c>
      <c r="M111" s="162"/>
      <c r="N111" s="125" t="s">
        <v>99</v>
      </c>
      <c r="O111" s="16" t="s">
        <v>218</v>
      </c>
      <c r="P111" s="180">
        <v>336555.5</v>
      </c>
      <c r="Q111" s="180">
        <v>433784.19999999995</v>
      </c>
      <c r="R111" s="162">
        <v>12127719</v>
      </c>
      <c r="S111" s="162">
        <v>2866</v>
      </c>
      <c r="T111" s="180">
        <v>8658.2000000000007</v>
      </c>
      <c r="U111" s="162">
        <v>4166458</v>
      </c>
      <c r="V111" s="162">
        <v>14259</v>
      </c>
      <c r="W111" s="180">
        <v>32925.800000000003</v>
      </c>
      <c r="X111" s="162">
        <v>159148</v>
      </c>
      <c r="Y111" s="17">
        <v>59075</v>
      </c>
      <c r="Z111" s="162"/>
      <c r="AA111" s="125" t="s">
        <v>99</v>
      </c>
      <c r="AB111" s="16" t="s">
        <v>218</v>
      </c>
      <c r="AC111" s="180">
        <v>295623.59999999998</v>
      </c>
      <c r="AD111" s="162">
        <v>698661</v>
      </c>
      <c r="AE111" s="162">
        <v>4108846</v>
      </c>
      <c r="AF111" s="180">
        <v>9545146.6999999993</v>
      </c>
      <c r="AG111" s="162">
        <v>679760</v>
      </c>
      <c r="AH111" s="180">
        <v>7000846.5999999996</v>
      </c>
      <c r="AI111" s="162">
        <v>305677</v>
      </c>
      <c r="AJ111" s="162">
        <v>6009704</v>
      </c>
      <c r="AK111" s="162">
        <v>55767308</v>
      </c>
      <c r="AL111" s="17">
        <v>0</v>
      </c>
    </row>
    <row r="112" spans="1:38" ht="15" customHeight="1" x14ac:dyDescent="0.2">
      <c r="A112" s="125" t="s">
        <v>100</v>
      </c>
      <c r="B112" s="16" t="s">
        <v>217</v>
      </c>
      <c r="C112" s="162">
        <v>2116</v>
      </c>
      <c r="D112" s="162">
        <v>140</v>
      </c>
      <c r="E112" s="226">
        <v>1.0752323599050706</v>
      </c>
      <c r="F112" s="180">
        <v>2275.1999999999998</v>
      </c>
      <c r="G112" s="162">
        <v>15526776</v>
      </c>
      <c r="H112" s="162">
        <v>83785</v>
      </c>
      <c r="I112" s="162">
        <v>15610561</v>
      </c>
      <c r="J112" s="162">
        <v>873</v>
      </c>
      <c r="K112" s="180">
        <v>34652.756349999792</v>
      </c>
      <c r="L112" s="17">
        <v>166939</v>
      </c>
      <c r="M112" s="162"/>
      <c r="N112" s="125" t="s">
        <v>100</v>
      </c>
      <c r="O112" s="16" t="s">
        <v>217</v>
      </c>
      <c r="P112" s="180">
        <v>147354.29999999999</v>
      </c>
      <c r="Q112" s="180">
        <v>182007</v>
      </c>
      <c r="R112" s="162">
        <v>5085138</v>
      </c>
      <c r="S112" s="162">
        <v>1420</v>
      </c>
      <c r="T112" s="180">
        <v>3918.5</v>
      </c>
      <c r="U112" s="162">
        <v>1885642</v>
      </c>
      <c r="V112" s="162">
        <v>7462</v>
      </c>
      <c r="W112" s="180">
        <v>17256.400000000001</v>
      </c>
      <c r="X112" s="162">
        <v>83409</v>
      </c>
      <c r="Y112" s="17">
        <v>26589</v>
      </c>
      <c r="Z112" s="162"/>
      <c r="AA112" s="125" t="s">
        <v>100</v>
      </c>
      <c r="AB112" s="16" t="s">
        <v>217</v>
      </c>
      <c r="AC112" s="180">
        <v>132433.1</v>
      </c>
      <c r="AD112" s="162">
        <v>312985</v>
      </c>
      <c r="AE112" s="162">
        <v>2082649</v>
      </c>
      <c r="AF112" s="180">
        <v>5003466.5</v>
      </c>
      <c r="AG112" s="162">
        <v>356323</v>
      </c>
      <c r="AH112" s="180">
        <v>4983580</v>
      </c>
      <c r="AI112" s="162">
        <v>217598</v>
      </c>
      <c r="AJ112" s="162">
        <v>2855957</v>
      </c>
      <c r="AK112" s="162">
        <v>23551656</v>
      </c>
      <c r="AL112" s="17">
        <v>738263</v>
      </c>
    </row>
    <row r="113" spans="1:38" ht="15" customHeight="1" x14ac:dyDescent="0.2">
      <c r="A113" s="125" t="s">
        <v>146</v>
      </c>
      <c r="B113" s="16" t="s">
        <v>216</v>
      </c>
      <c r="C113" s="162">
        <v>53</v>
      </c>
      <c r="D113" s="162">
        <v>0</v>
      </c>
      <c r="E113" s="226">
        <v>1.0727907578239537</v>
      </c>
      <c r="F113" s="180">
        <v>56.9</v>
      </c>
      <c r="G113" s="162">
        <v>388306</v>
      </c>
      <c r="H113" s="162">
        <v>6460000</v>
      </c>
      <c r="I113" s="162">
        <v>6848306</v>
      </c>
      <c r="J113" s="162">
        <v>0</v>
      </c>
      <c r="K113" s="180">
        <v>0</v>
      </c>
      <c r="L113" s="17">
        <v>0</v>
      </c>
      <c r="M113" s="162"/>
      <c r="N113" s="125" t="s">
        <v>146</v>
      </c>
      <c r="O113" s="16" t="s">
        <v>216</v>
      </c>
      <c r="P113" s="180">
        <v>0</v>
      </c>
      <c r="Q113" s="180">
        <v>0</v>
      </c>
      <c r="R113" s="162">
        <v>0</v>
      </c>
      <c r="S113" s="162">
        <v>0</v>
      </c>
      <c r="T113" s="180">
        <v>0</v>
      </c>
      <c r="U113" s="162">
        <v>0</v>
      </c>
      <c r="V113" s="162">
        <v>0</v>
      </c>
      <c r="W113" s="180">
        <v>0</v>
      </c>
      <c r="X113" s="162">
        <v>0</v>
      </c>
      <c r="Y113" s="17">
        <v>0</v>
      </c>
      <c r="Z113" s="162"/>
      <c r="AA113" s="125" t="s">
        <v>146</v>
      </c>
      <c r="AB113" s="16" t="s">
        <v>216</v>
      </c>
      <c r="AC113" s="180">
        <v>0</v>
      </c>
      <c r="AD113" s="162">
        <v>0</v>
      </c>
      <c r="AE113" s="162">
        <v>0</v>
      </c>
      <c r="AF113" s="180">
        <v>0</v>
      </c>
      <c r="AG113" s="162">
        <v>0</v>
      </c>
      <c r="AH113" s="180">
        <v>0</v>
      </c>
      <c r="AI113" s="162">
        <v>0</v>
      </c>
      <c r="AJ113" s="162">
        <v>0</v>
      </c>
      <c r="AK113" s="162">
        <v>6848306</v>
      </c>
      <c r="AL113" s="17">
        <v>1168348</v>
      </c>
    </row>
    <row r="114" spans="1:38" ht="15" customHeight="1" x14ac:dyDescent="0.2">
      <c r="A114" s="125" t="s">
        <v>101</v>
      </c>
      <c r="B114" s="16" t="s">
        <v>214</v>
      </c>
      <c r="C114" s="162">
        <v>27</v>
      </c>
      <c r="D114" s="162">
        <v>0</v>
      </c>
      <c r="E114" s="226">
        <v>1.1280525686977301</v>
      </c>
      <c r="F114" s="180">
        <v>30.5</v>
      </c>
      <c r="G114" s="162">
        <v>208143</v>
      </c>
      <c r="H114" s="162">
        <v>325000</v>
      </c>
      <c r="I114" s="162">
        <v>533143</v>
      </c>
      <c r="J114" s="162">
        <v>12</v>
      </c>
      <c r="K114" s="180">
        <v>924.48</v>
      </c>
      <c r="L114" s="17">
        <v>1755</v>
      </c>
      <c r="M114" s="162"/>
      <c r="N114" s="125" t="s">
        <v>101</v>
      </c>
      <c r="O114" s="16" t="s">
        <v>214</v>
      </c>
      <c r="P114" s="180">
        <v>1877.9</v>
      </c>
      <c r="Q114" s="180">
        <v>2802.3</v>
      </c>
      <c r="R114" s="162">
        <v>78607</v>
      </c>
      <c r="S114" s="162">
        <v>17</v>
      </c>
      <c r="T114" s="180">
        <v>87.2</v>
      </c>
      <c r="U114" s="162">
        <v>41962</v>
      </c>
      <c r="V114" s="162">
        <v>19</v>
      </c>
      <c r="W114" s="180">
        <v>46.5</v>
      </c>
      <c r="X114" s="162">
        <v>225</v>
      </c>
      <c r="Y114" s="17">
        <v>125</v>
      </c>
      <c r="Z114" s="162"/>
      <c r="AA114" s="125" t="s">
        <v>101</v>
      </c>
      <c r="AB114" s="16" t="s">
        <v>214</v>
      </c>
      <c r="AC114" s="180">
        <v>841.7</v>
      </c>
      <c r="AD114" s="162">
        <v>1989</v>
      </c>
      <c r="AE114" s="162">
        <v>0</v>
      </c>
      <c r="AF114" s="180">
        <v>0</v>
      </c>
      <c r="AG114" s="162">
        <v>0</v>
      </c>
      <c r="AH114" s="180">
        <v>0</v>
      </c>
      <c r="AI114" s="162">
        <v>0</v>
      </c>
      <c r="AJ114" s="162">
        <v>44176</v>
      </c>
      <c r="AK114" s="162">
        <v>655926</v>
      </c>
      <c r="AL114" s="17">
        <v>38558</v>
      </c>
    </row>
    <row r="115" spans="1:38" ht="15" customHeight="1" x14ac:dyDescent="0.2">
      <c r="A115" s="125" t="s">
        <v>130</v>
      </c>
      <c r="B115" s="16" t="s">
        <v>213</v>
      </c>
      <c r="C115" s="162">
        <v>21</v>
      </c>
      <c r="D115" s="162">
        <v>0</v>
      </c>
      <c r="E115" s="226">
        <v>0.99509999999999732</v>
      </c>
      <c r="F115" s="180">
        <v>20.9</v>
      </c>
      <c r="G115" s="162">
        <v>142629</v>
      </c>
      <c r="H115" s="162">
        <v>0</v>
      </c>
      <c r="I115" s="162">
        <v>142629</v>
      </c>
      <c r="J115" s="162">
        <v>15</v>
      </c>
      <c r="K115" s="180">
        <v>187.78500000000005</v>
      </c>
      <c r="L115" s="17">
        <v>2270</v>
      </c>
      <c r="M115" s="162"/>
      <c r="N115" s="125" t="s">
        <v>130</v>
      </c>
      <c r="O115" s="16" t="s">
        <v>213</v>
      </c>
      <c r="P115" s="180">
        <v>1578.8</v>
      </c>
      <c r="Q115" s="180">
        <v>1766.6</v>
      </c>
      <c r="R115" s="162">
        <v>49555</v>
      </c>
      <c r="S115" s="162">
        <v>25</v>
      </c>
      <c r="T115" s="180">
        <v>35.299999999999997</v>
      </c>
      <c r="U115" s="162">
        <v>16987</v>
      </c>
      <c r="V115" s="162">
        <v>404</v>
      </c>
      <c r="W115" s="180">
        <v>579.6</v>
      </c>
      <c r="X115" s="162">
        <v>2802</v>
      </c>
      <c r="Y115" s="17">
        <v>664</v>
      </c>
      <c r="Z115" s="162"/>
      <c r="AA115" s="125" t="s">
        <v>130</v>
      </c>
      <c r="AB115" s="16" t="s">
        <v>213</v>
      </c>
      <c r="AC115" s="180">
        <v>2324</v>
      </c>
      <c r="AD115" s="162">
        <v>5492</v>
      </c>
      <c r="AE115" s="162">
        <v>3285</v>
      </c>
      <c r="AF115" s="180">
        <v>6796.4</v>
      </c>
      <c r="AG115" s="162">
        <v>484</v>
      </c>
      <c r="AH115" s="180">
        <v>7977</v>
      </c>
      <c r="AI115" s="162">
        <v>348</v>
      </c>
      <c r="AJ115" s="162">
        <v>26113</v>
      </c>
      <c r="AK115" s="162">
        <v>218297</v>
      </c>
      <c r="AL115" s="17">
        <v>15164</v>
      </c>
    </row>
    <row r="116" spans="1:38" ht="15" customHeight="1" x14ac:dyDescent="0.2">
      <c r="A116" s="125" t="s">
        <v>102</v>
      </c>
      <c r="B116" s="16" t="s">
        <v>212</v>
      </c>
      <c r="C116" s="162">
        <v>108</v>
      </c>
      <c r="D116" s="162">
        <v>0</v>
      </c>
      <c r="E116" s="226">
        <v>1.4256083547224923</v>
      </c>
      <c r="F116" s="180">
        <v>154</v>
      </c>
      <c r="G116" s="162">
        <v>1050951</v>
      </c>
      <c r="H116" s="162">
        <v>876</v>
      </c>
      <c r="I116" s="162">
        <v>1051827</v>
      </c>
      <c r="J116" s="162">
        <v>28</v>
      </c>
      <c r="K116" s="180">
        <v>1948.859999999999</v>
      </c>
      <c r="L116" s="17">
        <v>6224</v>
      </c>
      <c r="M116" s="162"/>
      <c r="N116" s="125" t="s">
        <v>102</v>
      </c>
      <c r="O116" s="16" t="s">
        <v>212</v>
      </c>
      <c r="P116" s="180">
        <v>6685.8</v>
      </c>
      <c r="Q116" s="180">
        <v>8634.6999999999989</v>
      </c>
      <c r="R116" s="162">
        <v>241558</v>
      </c>
      <c r="S116" s="162">
        <v>66</v>
      </c>
      <c r="T116" s="180">
        <v>240.8</v>
      </c>
      <c r="U116" s="162">
        <v>115877</v>
      </c>
      <c r="V116" s="162">
        <v>530</v>
      </c>
      <c r="W116" s="180">
        <v>848.6</v>
      </c>
      <c r="X116" s="162">
        <v>4102</v>
      </c>
      <c r="Y116" s="17">
        <v>1131</v>
      </c>
      <c r="Z116" s="162"/>
      <c r="AA116" s="125" t="s">
        <v>102</v>
      </c>
      <c r="AB116" s="16" t="s">
        <v>212</v>
      </c>
      <c r="AC116" s="180">
        <v>5654.7</v>
      </c>
      <c r="AD116" s="162">
        <v>13364</v>
      </c>
      <c r="AE116" s="162">
        <v>184112</v>
      </c>
      <c r="AF116" s="180">
        <v>391150.3</v>
      </c>
      <c r="AG116" s="162">
        <v>27856</v>
      </c>
      <c r="AH116" s="180">
        <v>227298</v>
      </c>
      <c r="AI116" s="162">
        <v>9924</v>
      </c>
      <c r="AJ116" s="162">
        <v>171123</v>
      </c>
      <c r="AK116" s="162">
        <v>1464508</v>
      </c>
      <c r="AL116" s="17">
        <v>117824</v>
      </c>
    </row>
    <row r="117" spans="1:38" ht="15" customHeight="1" x14ac:dyDescent="0.2">
      <c r="A117" s="125" t="s">
        <v>103</v>
      </c>
      <c r="B117" s="16" t="s">
        <v>211</v>
      </c>
      <c r="C117" s="162">
        <v>289</v>
      </c>
      <c r="D117" s="162">
        <v>0</v>
      </c>
      <c r="E117" s="226">
        <v>1.2940714675606169</v>
      </c>
      <c r="F117" s="180">
        <v>374</v>
      </c>
      <c r="G117" s="162">
        <v>2552309</v>
      </c>
      <c r="H117" s="162">
        <v>5465</v>
      </c>
      <c r="I117" s="162">
        <v>2557774</v>
      </c>
      <c r="J117" s="162">
        <v>169</v>
      </c>
      <c r="K117" s="180">
        <v>6423.4445279999927</v>
      </c>
      <c r="L117" s="17">
        <v>29213</v>
      </c>
      <c r="M117" s="162"/>
      <c r="N117" s="125" t="s">
        <v>103</v>
      </c>
      <c r="O117" s="16" t="s">
        <v>211</v>
      </c>
      <c r="P117" s="180">
        <v>22680.6</v>
      </c>
      <c r="Q117" s="180">
        <v>29104</v>
      </c>
      <c r="R117" s="162">
        <v>816130</v>
      </c>
      <c r="S117" s="162">
        <v>260</v>
      </c>
      <c r="T117" s="180">
        <v>574.6</v>
      </c>
      <c r="U117" s="162">
        <v>276506</v>
      </c>
      <c r="V117" s="162">
        <v>1243</v>
      </c>
      <c r="W117" s="180">
        <v>2773</v>
      </c>
      <c r="X117" s="162">
        <v>13403</v>
      </c>
      <c r="Y117" s="17">
        <v>5616</v>
      </c>
      <c r="Z117" s="162"/>
      <c r="AA117" s="125" t="s">
        <v>103</v>
      </c>
      <c r="AB117" s="16" t="s">
        <v>211</v>
      </c>
      <c r="AC117" s="180">
        <v>28271</v>
      </c>
      <c r="AD117" s="162">
        <v>66814</v>
      </c>
      <c r="AE117" s="162">
        <v>214810</v>
      </c>
      <c r="AF117" s="180">
        <v>524508.5</v>
      </c>
      <c r="AG117" s="162">
        <v>37353</v>
      </c>
      <c r="AH117" s="180">
        <v>197700</v>
      </c>
      <c r="AI117" s="162">
        <v>8632</v>
      </c>
      <c r="AJ117" s="162">
        <v>402708</v>
      </c>
      <c r="AK117" s="162">
        <v>3776612</v>
      </c>
      <c r="AL117" s="17">
        <v>644139</v>
      </c>
    </row>
    <row r="118" spans="1:38" ht="15" customHeight="1" x14ac:dyDescent="0.2">
      <c r="A118" s="125" t="s">
        <v>104</v>
      </c>
      <c r="B118" s="16" t="s">
        <v>210</v>
      </c>
      <c r="C118" s="162">
        <v>267</v>
      </c>
      <c r="D118" s="162">
        <v>35</v>
      </c>
      <c r="E118" s="226">
        <v>0.73418761701077617</v>
      </c>
      <c r="F118" s="180">
        <v>196</v>
      </c>
      <c r="G118" s="162">
        <v>1337574</v>
      </c>
      <c r="H118" s="162">
        <v>8000</v>
      </c>
      <c r="I118" s="162">
        <v>1345574</v>
      </c>
      <c r="J118" s="162">
        <v>170</v>
      </c>
      <c r="K118" s="180">
        <v>1879.9570700000043</v>
      </c>
      <c r="L118" s="17">
        <v>30060</v>
      </c>
      <c r="M118" s="162"/>
      <c r="N118" s="125" t="s">
        <v>104</v>
      </c>
      <c r="O118" s="16" t="s">
        <v>210</v>
      </c>
      <c r="P118" s="180">
        <v>15240.4</v>
      </c>
      <c r="Q118" s="180">
        <v>17120.400000000001</v>
      </c>
      <c r="R118" s="162">
        <v>480243</v>
      </c>
      <c r="S118" s="162">
        <v>241</v>
      </c>
      <c r="T118" s="180">
        <v>486</v>
      </c>
      <c r="U118" s="162">
        <v>233871</v>
      </c>
      <c r="V118" s="162">
        <v>2992</v>
      </c>
      <c r="W118" s="180">
        <v>5212.3</v>
      </c>
      <c r="X118" s="162">
        <v>25194</v>
      </c>
      <c r="Y118" s="17">
        <v>7807</v>
      </c>
      <c r="Z118" s="162"/>
      <c r="AA118" s="125" t="s">
        <v>104</v>
      </c>
      <c r="AB118" s="16" t="s">
        <v>210</v>
      </c>
      <c r="AC118" s="180">
        <v>29922.7</v>
      </c>
      <c r="AD118" s="162">
        <v>70718</v>
      </c>
      <c r="AE118" s="162">
        <v>362376</v>
      </c>
      <c r="AF118" s="180">
        <v>748132.3</v>
      </c>
      <c r="AG118" s="162">
        <v>53278</v>
      </c>
      <c r="AH118" s="180">
        <v>561380</v>
      </c>
      <c r="AI118" s="162">
        <v>24511</v>
      </c>
      <c r="AJ118" s="162">
        <v>407572</v>
      </c>
      <c r="AK118" s="162">
        <v>2233389</v>
      </c>
      <c r="AL118" s="17">
        <v>100842</v>
      </c>
    </row>
    <row r="119" spans="1:38" ht="15" customHeight="1" x14ac:dyDescent="0.2">
      <c r="A119" s="125" t="s">
        <v>433</v>
      </c>
      <c r="B119" s="16" t="s">
        <v>209</v>
      </c>
      <c r="C119" s="162">
        <v>729</v>
      </c>
      <c r="D119" s="162">
        <v>185</v>
      </c>
      <c r="E119" s="226">
        <v>0.81586742565087567</v>
      </c>
      <c r="F119" s="180">
        <v>594.79999999999995</v>
      </c>
      <c r="G119" s="162">
        <v>4059127</v>
      </c>
      <c r="H119" s="162">
        <v>5000</v>
      </c>
      <c r="I119" s="162">
        <v>4064127</v>
      </c>
      <c r="J119" s="162">
        <v>518</v>
      </c>
      <c r="K119" s="180">
        <v>8537.5254450000502</v>
      </c>
      <c r="L119" s="17">
        <v>99185</v>
      </c>
      <c r="M119" s="162"/>
      <c r="N119" s="125" t="s">
        <v>433</v>
      </c>
      <c r="O119" s="16" t="s">
        <v>209</v>
      </c>
      <c r="P119" s="180">
        <v>56046.1</v>
      </c>
      <c r="Q119" s="180">
        <v>64583.6</v>
      </c>
      <c r="R119" s="162">
        <v>1811899</v>
      </c>
      <c r="S119" s="162">
        <v>957</v>
      </c>
      <c r="T119" s="180">
        <v>1760.1</v>
      </c>
      <c r="U119" s="162">
        <v>846987</v>
      </c>
      <c r="V119" s="162">
        <v>9662</v>
      </c>
      <c r="W119" s="180">
        <v>19039.900000000001</v>
      </c>
      <c r="X119" s="162">
        <v>92030</v>
      </c>
      <c r="Y119" s="17">
        <v>26576</v>
      </c>
      <c r="Z119" s="162"/>
      <c r="AA119" s="125" t="s">
        <v>433</v>
      </c>
      <c r="AB119" s="16" t="s">
        <v>209</v>
      </c>
      <c r="AC119" s="180">
        <v>108526.8</v>
      </c>
      <c r="AD119" s="162">
        <v>256486</v>
      </c>
      <c r="AE119" s="162">
        <v>126980</v>
      </c>
      <c r="AF119" s="180">
        <v>301865.90000000002</v>
      </c>
      <c r="AG119" s="162">
        <v>21497</v>
      </c>
      <c r="AH119" s="180">
        <v>64912</v>
      </c>
      <c r="AI119" s="162">
        <v>2834</v>
      </c>
      <c r="AJ119" s="162">
        <v>1219834</v>
      </c>
      <c r="AK119" s="162">
        <v>7095860</v>
      </c>
      <c r="AL119" s="17">
        <v>232911</v>
      </c>
    </row>
    <row r="120" spans="1:38" ht="15" customHeight="1" x14ac:dyDescent="0.2">
      <c r="A120" s="125" t="s">
        <v>105</v>
      </c>
      <c r="B120" s="16" t="s">
        <v>208</v>
      </c>
      <c r="C120" s="162">
        <v>514</v>
      </c>
      <c r="D120" s="162">
        <v>0</v>
      </c>
      <c r="E120" s="226">
        <v>1.2881635694310294</v>
      </c>
      <c r="F120" s="180">
        <v>662.1</v>
      </c>
      <c r="G120" s="162">
        <v>4518406</v>
      </c>
      <c r="H120" s="162">
        <v>26950</v>
      </c>
      <c r="I120" s="162">
        <v>4545356</v>
      </c>
      <c r="J120" s="162">
        <v>143</v>
      </c>
      <c r="K120" s="180">
        <v>11092.320432000002</v>
      </c>
      <c r="L120" s="17">
        <v>31392</v>
      </c>
      <c r="M120" s="162"/>
      <c r="N120" s="125" t="s">
        <v>105</v>
      </c>
      <c r="O120" s="16" t="s">
        <v>208</v>
      </c>
      <c r="P120" s="180">
        <v>34111</v>
      </c>
      <c r="Q120" s="180">
        <v>45203.4</v>
      </c>
      <c r="R120" s="162">
        <v>1264188</v>
      </c>
      <c r="S120" s="162">
        <v>226</v>
      </c>
      <c r="T120" s="180">
        <v>826.3</v>
      </c>
      <c r="U120" s="162">
        <v>397628</v>
      </c>
      <c r="V120" s="162">
        <v>3151</v>
      </c>
      <c r="W120" s="180">
        <v>5201.7</v>
      </c>
      <c r="X120" s="162">
        <v>25143</v>
      </c>
      <c r="Y120" s="17">
        <v>6576</v>
      </c>
      <c r="Z120" s="162"/>
      <c r="AA120" s="125" t="s">
        <v>105</v>
      </c>
      <c r="AB120" s="16" t="s">
        <v>208</v>
      </c>
      <c r="AC120" s="180">
        <v>25597.599999999999</v>
      </c>
      <c r="AD120" s="162">
        <v>60496</v>
      </c>
      <c r="AE120" s="162">
        <v>500978</v>
      </c>
      <c r="AF120" s="180">
        <v>1108954.8999999999</v>
      </c>
      <c r="AG120" s="162">
        <v>78975</v>
      </c>
      <c r="AH120" s="180">
        <v>447045</v>
      </c>
      <c r="AI120" s="162">
        <v>19519</v>
      </c>
      <c r="AJ120" s="162">
        <v>581761</v>
      </c>
      <c r="AK120" s="162">
        <v>6391305</v>
      </c>
      <c r="AL120" s="17">
        <v>0</v>
      </c>
    </row>
    <row r="121" spans="1:38" ht="15" customHeight="1" x14ac:dyDescent="0.2">
      <c r="A121" s="125" t="s">
        <v>106</v>
      </c>
      <c r="B121" s="16" t="s">
        <v>207</v>
      </c>
      <c r="C121" s="162">
        <v>1087</v>
      </c>
      <c r="D121" s="162">
        <v>0</v>
      </c>
      <c r="E121" s="226">
        <v>1.0914684244485584</v>
      </c>
      <c r="F121" s="180">
        <v>1186.4000000000001</v>
      </c>
      <c r="G121" s="162">
        <v>8096416</v>
      </c>
      <c r="H121" s="162">
        <v>25000</v>
      </c>
      <c r="I121" s="162">
        <v>8121416</v>
      </c>
      <c r="J121" s="162">
        <v>313</v>
      </c>
      <c r="K121" s="180">
        <v>19154.501014000005</v>
      </c>
      <c r="L121" s="17">
        <v>71839.5</v>
      </c>
      <c r="M121" s="162"/>
      <c r="N121" s="125" t="s">
        <v>106</v>
      </c>
      <c r="O121" s="16" t="s">
        <v>207</v>
      </c>
      <c r="P121" s="180">
        <v>70864.600000000006</v>
      </c>
      <c r="Q121" s="180">
        <v>90019.099999999991</v>
      </c>
      <c r="R121" s="162">
        <v>2523879</v>
      </c>
      <c r="S121" s="162">
        <v>500</v>
      </c>
      <c r="T121" s="180">
        <v>1755.1</v>
      </c>
      <c r="U121" s="162">
        <v>844581</v>
      </c>
      <c r="V121" s="162">
        <v>6242</v>
      </c>
      <c r="W121" s="180">
        <v>8388.7000000000007</v>
      </c>
      <c r="X121" s="162">
        <v>40547</v>
      </c>
      <c r="Y121" s="17">
        <v>11792</v>
      </c>
      <c r="Z121" s="162"/>
      <c r="AA121" s="125" t="s">
        <v>106</v>
      </c>
      <c r="AB121" s="16" t="s">
        <v>207</v>
      </c>
      <c r="AC121" s="180">
        <v>46382.2</v>
      </c>
      <c r="AD121" s="162">
        <v>109617</v>
      </c>
      <c r="AE121" s="162">
        <v>465893</v>
      </c>
      <c r="AF121" s="180">
        <v>1059709.8999999999</v>
      </c>
      <c r="AG121" s="162">
        <v>75468</v>
      </c>
      <c r="AH121" s="180">
        <v>387883</v>
      </c>
      <c r="AI121" s="162">
        <v>16936</v>
      </c>
      <c r="AJ121" s="162">
        <v>1087149</v>
      </c>
      <c r="AK121" s="162">
        <v>11732444</v>
      </c>
      <c r="AL121" s="17">
        <v>772778</v>
      </c>
    </row>
    <row r="122" spans="1:38" ht="15" customHeight="1" x14ac:dyDescent="0.2">
      <c r="A122" s="125" t="s">
        <v>107</v>
      </c>
      <c r="B122" s="16" t="s">
        <v>206</v>
      </c>
      <c r="C122" s="162">
        <v>1483</v>
      </c>
      <c r="D122" s="162">
        <v>85</v>
      </c>
      <c r="E122" s="226">
        <v>1.1414107381421066</v>
      </c>
      <c r="F122" s="180">
        <v>1692.7</v>
      </c>
      <c r="G122" s="162">
        <v>11551588</v>
      </c>
      <c r="H122" s="162">
        <v>163750</v>
      </c>
      <c r="I122" s="162">
        <v>11715338</v>
      </c>
      <c r="J122" s="162">
        <v>495</v>
      </c>
      <c r="K122" s="180">
        <v>23095.532102999972</v>
      </c>
      <c r="L122" s="17">
        <v>100533</v>
      </c>
      <c r="M122" s="162"/>
      <c r="N122" s="125" t="s">
        <v>107</v>
      </c>
      <c r="O122" s="16" t="s">
        <v>206</v>
      </c>
      <c r="P122" s="180">
        <v>92774.6</v>
      </c>
      <c r="Q122" s="180">
        <v>115870.2</v>
      </c>
      <c r="R122" s="162">
        <v>3240170</v>
      </c>
      <c r="S122" s="162">
        <v>1102</v>
      </c>
      <c r="T122" s="180">
        <v>2731.9</v>
      </c>
      <c r="U122" s="162">
        <v>1314632</v>
      </c>
      <c r="V122" s="162">
        <v>7027</v>
      </c>
      <c r="W122" s="180">
        <v>14191.7</v>
      </c>
      <c r="X122" s="162">
        <v>68596</v>
      </c>
      <c r="Y122" s="17">
        <v>16191</v>
      </c>
      <c r="Z122" s="162"/>
      <c r="AA122" s="125" t="s">
        <v>107</v>
      </c>
      <c r="AB122" s="16" t="s">
        <v>206</v>
      </c>
      <c r="AC122" s="180">
        <v>82305.600000000006</v>
      </c>
      <c r="AD122" s="162">
        <v>194517</v>
      </c>
      <c r="AE122" s="162">
        <v>1226676</v>
      </c>
      <c r="AF122" s="180">
        <v>2907066</v>
      </c>
      <c r="AG122" s="162">
        <v>207028</v>
      </c>
      <c r="AH122" s="180">
        <v>1690070.9</v>
      </c>
      <c r="AI122" s="162">
        <v>73793</v>
      </c>
      <c r="AJ122" s="162">
        <v>1858566</v>
      </c>
      <c r="AK122" s="162">
        <v>16814074</v>
      </c>
      <c r="AL122" s="17">
        <v>0</v>
      </c>
    </row>
    <row r="123" spans="1:38" ht="15" customHeight="1" x14ac:dyDescent="0.2">
      <c r="A123" s="125" t="s">
        <v>108</v>
      </c>
      <c r="B123" s="16" t="s">
        <v>205</v>
      </c>
      <c r="C123" s="162">
        <v>2490</v>
      </c>
      <c r="D123" s="162">
        <v>400</v>
      </c>
      <c r="E123" s="226">
        <v>0.90242157400230993</v>
      </c>
      <c r="F123" s="180">
        <v>2247</v>
      </c>
      <c r="G123" s="162">
        <v>15334329</v>
      </c>
      <c r="H123" s="162">
        <v>256481</v>
      </c>
      <c r="I123" s="162">
        <v>15590810</v>
      </c>
      <c r="J123" s="162">
        <v>1325</v>
      </c>
      <c r="K123" s="180">
        <v>32227.908939999877</v>
      </c>
      <c r="L123" s="17">
        <v>254098.5</v>
      </c>
      <c r="M123" s="162"/>
      <c r="N123" s="125" t="s">
        <v>108</v>
      </c>
      <c r="O123" s="16" t="s">
        <v>205</v>
      </c>
      <c r="P123" s="180">
        <v>188922.5</v>
      </c>
      <c r="Q123" s="180">
        <v>221150.4</v>
      </c>
      <c r="R123" s="162">
        <v>6181735</v>
      </c>
      <c r="S123" s="162">
        <v>2331</v>
      </c>
      <c r="T123" s="180">
        <v>4583.8999999999996</v>
      </c>
      <c r="U123" s="162">
        <v>2205843</v>
      </c>
      <c r="V123" s="162">
        <v>13895</v>
      </c>
      <c r="W123" s="180">
        <v>32922</v>
      </c>
      <c r="X123" s="162">
        <v>159129</v>
      </c>
      <c r="Y123" s="17">
        <v>50557</v>
      </c>
      <c r="Z123" s="162"/>
      <c r="AA123" s="125" t="s">
        <v>108</v>
      </c>
      <c r="AB123" s="16" t="s">
        <v>205</v>
      </c>
      <c r="AC123" s="180">
        <v>224332.79999999999</v>
      </c>
      <c r="AD123" s="162">
        <v>530176</v>
      </c>
      <c r="AE123" s="162">
        <v>2798623</v>
      </c>
      <c r="AF123" s="180">
        <v>6467006.5999999996</v>
      </c>
      <c r="AG123" s="162">
        <v>460550</v>
      </c>
      <c r="AH123" s="180">
        <v>3847314.6</v>
      </c>
      <c r="AI123" s="162">
        <v>167985</v>
      </c>
      <c r="AJ123" s="162">
        <v>3523683</v>
      </c>
      <c r="AK123" s="162">
        <v>25296228</v>
      </c>
      <c r="AL123" s="17">
        <v>1708954</v>
      </c>
    </row>
    <row r="124" spans="1:38" ht="15" customHeight="1" x14ac:dyDescent="0.2">
      <c r="A124" s="125" t="s">
        <v>109</v>
      </c>
      <c r="B124" s="16" t="s">
        <v>204</v>
      </c>
      <c r="C124" s="162">
        <v>8676</v>
      </c>
      <c r="D124" s="162">
        <v>170</v>
      </c>
      <c r="E124" s="226">
        <v>1.1447625161324204</v>
      </c>
      <c r="F124" s="180">
        <v>9932</v>
      </c>
      <c r="G124" s="162">
        <v>67779508</v>
      </c>
      <c r="H124" s="162">
        <v>619922</v>
      </c>
      <c r="I124" s="162">
        <v>68399430</v>
      </c>
      <c r="J124" s="162">
        <v>2909</v>
      </c>
      <c r="K124" s="180">
        <v>162597.62991000435</v>
      </c>
      <c r="L124" s="17">
        <v>608976</v>
      </c>
      <c r="M124" s="162"/>
      <c r="N124" s="125" t="s">
        <v>109</v>
      </c>
      <c r="O124" s="16" t="s">
        <v>204</v>
      </c>
      <c r="P124" s="180">
        <v>588793.1</v>
      </c>
      <c r="Q124" s="180">
        <v>751390.79999999993</v>
      </c>
      <c r="R124" s="162">
        <v>20992160</v>
      </c>
      <c r="S124" s="162">
        <v>5237</v>
      </c>
      <c r="T124" s="180">
        <v>16171</v>
      </c>
      <c r="U124" s="162">
        <v>7781732</v>
      </c>
      <c r="V124" s="162">
        <v>30404</v>
      </c>
      <c r="W124" s="180">
        <v>65525.9</v>
      </c>
      <c r="X124" s="162">
        <v>316721</v>
      </c>
      <c r="Y124" s="17">
        <v>80623</v>
      </c>
      <c r="Z124" s="162"/>
      <c r="AA124" s="125" t="s">
        <v>109</v>
      </c>
      <c r="AB124" s="16" t="s">
        <v>204</v>
      </c>
      <c r="AC124" s="180">
        <v>432018.2</v>
      </c>
      <c r="AD124" s="162">
        <v>1021009</v>
      </c>
      <c r="AE124" s="162">
        <v>6616365</v>
      </c>
      <c r="AF124" s="180">
        <v>15425527.6</v>
      </c>
      <c r="AG124" s="162">
        <v>1098533</v>
      </c>
      <c r="AH124" s="180">
        <v>6034764</v>
      </c>
      <c r="AI124" s="162">
        <v>263495</v>
      </c>
      <c r="AJ124" s="162">
        <v>10481490</v>
      </c>
      <c r="AK124" s="162">
        <v>99873080</v>
      </c>
      <c r="AL124" s="17">
        <v>0</v>
      </c>
    </row>
    <row r="125" spans="1:38" ht="15" customHeight="1" x14ac:dyDescent="0.2">
      <c r="A125" s="125" t="s">
        <v>110</v>
      </c>
      <c r="B125" s="16" t="s">
        <v>203</v>
      </c>
      <c r="C125" s="162">
        <v>64</v>
      </c>
      <c r="D125" s="162">
        <v>0</v>
      </c>
      <c r="E125" s="226">
        <v>1.3557548329138187</v>
      </c>
      <c r="F125" s="180">
        <v>86.8</v>
      </c>
      <c r="G125" s="162">
        <v>592354</v>
      </c>
      <c r="H125" s="162">
        <v>0</v>
      </c>
      <c r="I125" s="162">
        <v>592354</v>
      </c>
      <c r="J125" s="162">
        <v>26</v>
      </c>
      <c r="K125" s="180">
        <v>2066.0397839999996</v>
      </c>
      <c r="L125" s="17">
        <v>3736.5</v>
      </c>
      <c r="M125" s="162"/>
      <c r="N125" s="125" t="s">
        <v>110</v>
      </c>
      <c r="O125" s="16" t="s">
        <v>203</v>
      </c>
      <c r="P125" s="180">
        <v>4673</v>
      </c>
      <c r="Q125" s="180">
        <v>6739</v>
      </c>
      <c r="R125" s="162">
        <v>188274</v>
      </c>
      <c r="S125" s="162">
        <v>41</v>
      </c>
      <c r="T125" s="180">
        <v>111.2</v>
      </c>
      <c r="U125" s="162">
        <v>53511</v>
      </c>
      <c r="V125" s="162">
        <v>186</v>
      </c>
      <c r="W125" s="180">
        <v>404.8</v>
      </c>
      <c r="X125" s="162">
        <v>1957</v>
      </c>
      <c r="Y125" s="17">
        <v>318</v>
      </c>
      <c r="Z125" s="162"/>
      <c r="AA125" s="125" t="s">
        <v>110</v>
      </c>
      <c r="AB125" s="16" t="s">
        <v>203</v>
      </c>
      <c r="AC125" s="180">
        <v>2076.4</v>
      </c>
      <c r="AD125" s="162">
        <v>4907</v>
      </c>
      <c r="AE125" s="162">
        <v>0</v>
      </c>
      <c r="AF125" s="180">
        <v>0</v>
      </c>
      <c r="AG125" s="162">
        <v>0</v>
      </c>
      <c r="AH125" s="180">
        <v>0</v>
      </c>
      <c r="AI125" s="162">
        <v>0</v>
      </c>
      <c r="AJ125" s="162">
        <v>60375</v>
      </c>
      <c r="AK125" s="162">
        <v>841003</v>
      </c>
      <c r="AL125" s="17">
        <v>34964</v>
      </c>
    </row>
    <row r="126" spans="1:38" ht="15" customHeight="1" x14ac:dyDescent="0.2">
      <c r="A126" s="125" t="s">
        <v>111</v>
      </c>
      <c r="B126" s="16" t="s">
        <v>202</v>
      </c>
      <c r="C126" s="162">
        <v>70</v>
      </c>
      <c r="D126" s="162">
        <v>0</v>
      </c>
      <c r="E126" s="226">
        <v>1.9359677985944541</v>
      </c>
      <c r="F126" s="180">
        <v>135.5</v>
      </c>
      <c r="G126" s="162">
        <v>924700</v>
      </c>
      <c r="H126" s="162">
        <v>0</v>
      </c>
      <c r="I126" s="162">
        <v>924700</v>
      </c>
      <c r="J126" s="162">
        <v>32</v>
      </c>
      <c r="K126" s="180">
        <v>2875.1760730000001</v>
      </c>
      <c r="L126" s="17">
        <v>6440</v>
      </c>
      <c r="M126" s="162"/>
      <c r="N126" s="125" t="s">
        <v>111</v>
      </c>
      <c r="O126" s="16" t="s">
        <v>202</v>
      </c>
      <c r="P126" s="180">
        <v>7217.4</v>
      </c>
      <c r="Q126" s="180">
        <v>10092.6</v>
      </c>
      <c r="R126" s="162">
        <v>283107</v>
      </c>
      <c r="S126" s="162">
        <v>76</v>
      </c>
      <c r="T126" s="180">
        <v>195.6</v>
      </c>
      <c r="U126" s="162">
        <v>94126</v>
      </c>
      <c r="V126" s="162">
        <v>567</v>
      </c>
      <c r="W126" s="180">
        <v>832.1</v>
      </c>
      <c r="X126" s="162">
        <v>4022</v>
      </c>
      <c r="Y126" s="17">
        <v>1786</v>
      </c>
      <c r="Z126" s="162"/>
      <c r="AA126" s="125" t="s">
        <v>111</v>
      </c>
      <c r="AB126" s="16" t="s">
        <v>202</v>
      </c>
      <c r="AC126" s="180">
        <v>5611.3</v>
      </c>
      <c r="AD126" s="162">
        <v>13261</v>
      </c>
      <c r="AE126" s="162">
        <v>108606</v>
      </c>
      <c r="AF126" s="180">
        <v>187044.5</v>
      </c>
      <c r="AG126" s="162">
        <v>13320</v>
      </c>
      <c r="AH126" s="180">
        <v>148499</v>
      </c>
      <c r="AI126" s="162">
        <v>6484</v>
      </c>
      <c r="AJ126" s="162">
        <v>131213</v>
      </c>
      <c r="AK126" s="162">
        <v>1339020</v>
      </c>
      <c r="AL126" s="17">
        <v>59798</v>
      </c>
    </row>
    <row r="127" spans="1:38" ht="15" customHeight="1" x14ac:dyDescent="0.2">
      <c r="A127" s="125" t="s">
        <v>112</v>
      </c>
      <c r="B127" s="16" t="s">
        <v>198</v>
      </c>
      <c r="C127" s="162">
        <v>206</v>
      </c>
      <c r="D127" s="162">
        <v>0</v>
      </c>
      <c r="E127" s="226">
        <v>1.3458900575975687</v>
      </c>
      <c r="F127" s="180">
        <v>277.3</v>
      </c>
      <c r="G127" s="162">
        <v>1892394</v>
      </c>
      <c r="H127" s="162">
        <v>0</v>
      </c>
      <c r="I127" s="162">
        <v>1892394</v>
      </c>
      <c r="J127" s="162">
        <v>57</v>
      </c>
      <c r="K127" s="180">
        <v>3443.2202700000025</v>
      </c>
      <c r="L127" s="17">
        <v>12326</v>
      </c>
      <c r="M127" s="162"/>
      <c r="N127" s="125" t="s">
        <v>112</v>
      </c>
      <c r="O127" s="16" t="s">
        <v>198</v>
      </c>
      <c r="P127" s="180">
        <v>15620.6</v>
      </c>
      <c r="Q127" s="180">
        <v>19063.899999999998</v>
      </c>
      <c r="R127" s="162">
        <v>532601</v>
      </c>
      <c r="S127" s="162">
        <v>85</v>
      </c>
      <c r="T127" s="180">
        <v>425.3</v>
      </c>
      <c r="U127" s="162">
        <v>204661</v>
      </c>
      <c r="V127" s="162">
        <v>1228</v>
      </c>
      <c r="W127" s="180">
        <v>1773.6</v>
      </c>
      <c r="X127" s="162">
        <v>8573</v>
      </c>
      <c r="Y127" s="17">
        <v>2246</v>
      </c>
      <c r="Z127" s="162"/>
      <c r="AA127" s="125" t="s">
        <v>112</v>
      </c>
      <c r="AB127" s="16" t="s">
        <v>198</v>
      </c>
      <c r="AC127" s="180">
        <v>9997.9</v>
      </c>
      <c r="AD127" s="162">
        <v>23629</v>
      </c>
      <c r="AE127" s="162">
        <v>153240</v>
      </c>
      <c r="AF127" s="180">
        <v>306726</v>
      </c>
      <c r="AG127" s="162">
        <v>21844</v>
      </c>
      <c r="AH127" s="180">
        <v>113130</v>
      </c>
      <c r="AI127" s="162">
        <v>4940</v>
      </c>
      <c r="AJ127" s="162">
        <v>263647</v>
      </c>
      <c r="AK127" s="162">
        <v>2688642</v>
      </c>
      <c r="AL127" s="17">
        <v>186458</v>
      </c>
    </row>
    <row r="128" spans="1:38" ht="15" customHeight="1" x14ac:dyDescent="0.2">
      <c r="A128" s="125" t="s">
        <v>113</v>
      </c>
      <c r="B128" s="16" t="s">
        <v>199</v>
      </c>
      <c r="C128" s="162">
        <v>40</v>
      </c>
      <c r="D128" s="162">
        <v>40</v>
      </c>
      <c r="E128" s="226">
        <v>0.97306573194633195</v>
      </c>
      <c r="F128" s="180">
        <v>38.9</v>
      </c>
      <c r="G128" s="162">
        <v>265467</v>
      </c>
      <c r="H128" s="162">
        <v>0</v>
      </c>
      <c r="I128" s="162">
        <v>265467</v>
      </c>
      <c r="J128" s="162">
        <v>0</v>
      </c>
      <c r="K128" s="180">
        <v>0</v>
      </c>
      <c r="L128" s="17">
        <v>4475</v>
      </c>
      <c r="M128" s="162"/>
      <c r="N128" s="125" t="s">
        <v>113</v>
      </c>
      <c r="O128" s="16" t="s">
        <v>199</v>
      </c>
      <c r="P128" s="180">
        <v>4239.3</v>
      </c>
      <c r="Q128" s="180">
        <v>4239.3</v>
      </c>
      <c r="R128" s="162">
        <v>118916</v>
      </c>
      <c r="S128" s="162">
        <v>23</v>
      </c>
      <c r="T128" s="180">
        <v>38.4</v>
      </c>
      <c r="U128" s="162">
        <v>18479</v>
      </c>
      <c r="V128" s="162">
        <v>461</v>
      </c>
      <c r="W128" s="180">
        <v>909.4</v>
      </c>
      <c r="X128" s="162">
        <v>4396</v>
      </c>
      <c r="Y128" s="17">
        <v>461</v>
      </c>
      <c r="Z128" s="162"/>
      <c r="AA128" s="125" t="s">
        <v>113</v>
      </c>
      <c r="AB128" s="16" t="s">
        <v>199</v>
      </c>
      <c r="AC128" s="180">
        <v>1062.7</v>
      </c>
      <c r="AD128" s="162">
        <v>2512</v>
      </c>
      <c r="AE128" s="162">
        <v>22882</v>
      </c>
      <c r="AF128" s="180">
        <v>56028.2</v>
      </c>
      <c r="AG128" s="162">
        <v>3990</v>
      </c>
      <c r="AH128" s="180">
        <v>31378</v>
      </c>
      <c r="AI128" s="162">
        <v>1370</v>
      </c>
      <c r="AJ128" s="162">
        <v>30747</v>
      </c>
      <c r="AK128" s="162">
        <v>415130</v>
      </c>
      <c r="AL128" s="17">
        <v>161901</v>
      </c>
    </row>
    <row r="129" spans="1:38" ht="15" customHeight="1" x14ac:dyDescent="0.2">
      <c r="A129" s="125" t="s">
        <v>114</v>
      </c>
      <c r="B129" s="16" t="s">
        <v>196</v>
      </c>
      <c r="C129" s="162">
        <v>1208</v>
      </c>
      <c r="D129" s="162">
        <v>250</v>
      </c>
      <c r="E129" s="226">
        <v>0.96460701226579859</v>
      </c>
      <c r="F129" s="180">
        <v>1165.2</v>
      </c>
      <c r="G129" s="162">
        <v>7951740</v>
      </c>
      <c r="H129" s="162">
        <v>432000</v>
      </c>
      <c r="I129" s="162">
        <v>8383740</v>
      </c>
      <c r="J129" s="162">
        <v>500</v>
      </c>
      <c r="K129" s="180">
        <v>16893.240928999956</v>
      </c>
      <c r="L129" s="17">
        <v>96745</v>
      </c>
      <c r="M129" s="162"/>
      <c r="N129" s="125" t="s">
        <v>114</v>
      </c>
      <c r="O129" s="16" t="s">
        <v>196</v>
      </c>
      <c r="P129" s="180">
        <v>76520.399999999994</v>
      </c>
      <c r="Q129" s="180">
        <v>93413.6</v>
      </c>
      <c r="R129" s="162">
        <v>2612946</v>
      </c>
      <c r="S129" s="162">
        <v>951</v>
      </c>
      <c r="T129" s="180">
        <v>1974.7</v>
      </c>
      <c r="U129" s="162">
        <v>950256</v>
      </c>
      <c r="V129" s="162">
        <v>7771</v>
      </c>
      <c r="W129" s="180">
        <v>16925.900000000001</v>
      </c>
      <c r="X129" s="162">
        <v>81812</v>
      </c>
      <c r="Y129" s="17">
        <v>21279</v>
      </c>
      <c r="Z129" s="162"/>
      <c r="AA129" s="125" t="s">
        <v>114</v>
      </c>
      <c r="AB129" s="16" t="s">
        <v>196</v>
      </c>
      <c r="AC129" s="180">
        <v>85349.5</v>
      </c>
      <c r="AD129" s="162">
        <v>201710</v>
      </c>
      <c r="AE129" s="162">
        <v>1285858</v>
      </c>
      <c r="AF129" s="180">
        <v>2818328.6</v>
      </c>
      <c r="AG129" s="162">
        <v>200708</v>
      </c>
      <c r="AH129" s="180">
        <v>873749</v>
      </c>
      <c r="AI129" s="162">
        <v>38150</v>
      </c>
      <c r="AJ129" s="162">
        <v>1472636</v>
      </c>
      <c r="AK129" s="162">
        <v>12469322</v>
      </c>
      <c r="AL129" s="17">
        <v>646301</v>
      </c>
    </row>
    <row r="130" spans="1:38" ht="15" customHeight="1" x14ac:dyDescent="0.2">
      <c r="A130" s="125" t="s">
        <v>115</v>
      </c>
      <c r="B130" s="16" t="s">
        <v>195</v>
      </c>
      <c r="C130" s="162">
        <v>317</v>
      </c>
      <c r="D130" s="162">
        <v>25</v>
      </c>
      <c r="E130" s="226">
        <v>1.1359393329054748</v>
      </c>
      <c r="F130" s="180">
        <v>360.1</v>
      </c>
      <c r="G130" s="162">
        <v>2457451</v>
      </c>
      <c r="H130" s="162">
        <v>3864</v>
      </c>
      <c r="I130" s="162">
        <v>2461315</v>
      </c>
      <c r="J130" s="162">
        <v>74</v>
      </c>
      <c r="K130" s="180">
        <v>3815.1639440000035</v>
      </c>
      <c r="L130" s="17">
        <v>15640</v>
      </c>
      <c r="M130" s="162"/>
      <c r="N130" s="125" t="s">
        <v>115</v>
      </c>
      <c r="O130" s="16" t="s">
        <v>195</v>
      </c>
      <c r="P130" s="180">
        <v>15736.7</v>
      </c>
      <c r="Q130" s="180">
        <v>19551.8</v>
      </c>
      <c r="R130" s="162">
        <v>546234</v>
      </c>
      <c r="S130" s="162">
        <v>140</v>
      </c>
      <c r="T130" s="180">
        <v>401.2</v>
      </c>
      <c r="U130" s="162">
        <v>193064</v>
      </c>
      <c r="V130" s="162">
        <v>1559</v>
      </c>
      <c r="W130" s="180">
        <v>3049.9</v>
      </c>
      <c r="X130" s="162">
        <v>14742</v>
      </c>
      <c r="Y130" s="17">
        <v>1828</v>
      </c>
      <c r="Z130" s="162"/>
      <c r="AA130" s="125" t="s">
        <v>115</v>
      </c>
      <c r="AB130" s="16" t="s">
        <v>195</v>
      </c>
      <c r="AC130" s="180">
        <v>9236.9</v>
      </c>
      <c r="AD130" s="162">
        <v>21830</v>
      </c>
      <c r="AE130" s="162">
        <v>233312</v>
      </c>
      <c r="AF130" s="180">
        <v>491258.4</v>
      </c>
      <c r="AG130" s="162">
        <v>34985</v>
      </c>
      <c r="AH130" s="180">
        <v>271903.3</v>
      </c>
      <c r="AI130" s="162">
        <v>11872</v>
      </c>
      <c r="AJ130" s="162">
        <v>276493</v>
      </c>
      <c r="AK130" s="162">
        <v>3284042</v>
      </c>
      <c r="AL130" s="17">
        <v>144534</v>
      </c>
    </row>
    <row r="131" spans="1:38" ht="15" customHeight="1" x14ac:dyDescent="0.2">
      <c r="A131" s="125" t="s">
        <v>116</v>
      </c>
      <c r="B131" s="16" t="s">
        <v>194</v>
      </c>
      <c r="C131" s="162">
        <v>4603</v>
      </c>
      <c r="D131" s="162">
        <v>80</v>
      </c>
      <c r="E131" s="226">
        <v>1.0690490931970626</v>
      </c>
      <c r="F131" s="180">
        <v>4920.8</v>
      </c>
      <c r="G131" s="162">
        <v>33581293</v>
      </c>
      <c r="H131" s="162">
        <v>266668</v>
      </c>
      <c r="I131" s="162">
        <v>33847961</v>
      </c>
      <c r="J131" s="162">
        <v>1660</v>
      </c>
      <c r="K131" s="180">
        <v>85570.405041999242</v>
      </c>
      <c r="L131" s="17">
        <v>347126</v>
      </c>
      <c r="M131" s="162"/>
      <c r="N131" s="125" t="s">
        <v>116</v>
      </c>
      <c r="O131" s="16" t="s">
        <v>194</v>
      </c>
      <c r="P131" s="180">
        <v>314158.3</v>
      </c>
      <c r="Q131" s="180">
        <v>399728.69999999995</v>
      </c>
      <c r="R131" s="162">
        <v>11167518</v>
      </c>
      <c r="S131" s="162">
        <v>2991</v>
      </c>
      <c r="T131" s="180">
        <v>9322.1</v>
      </c>
      <c r="U131" s="162">
        <v>4485937</v>
      </c>
      <c r="V131" s="162">
        <v>11047</v>
      </c>
      <c r="W131" s="180">
        <v>26312.1</v>
      </c>
      <c r="X131" s="162">
        <v>127180</v>
      </c>
      <c r="Y131" s="17">
        <v>39094</v>
      </c>
      <c r="Z131" s="162"/>
      <c r="AA131" s="125" t="s">
        <v>116</v>
      </c>
      <c r="AB131" s="16" t="s">
        <v>194</v>
      </c>
      <c r="AC131" s="180">
        <v>217572.4</v>
      </c>
      <c r="AD131" s="162">
        <v>514199</v>
      </c>
      <c r="AE131" s="162">
        <v>2512616</v>
      </c>
      <c r="AF131" s="180">
        <v>5859209.2000000002</v>
      </c>
      <c r="AG131" s="162">
        <v>417265</v>
      </c>
      <c r="AH131" s="180">
        <v>2018197</v>
      </c>
      <c r="AI131" s="162">
        <v>88120</v>
      </c>
      <c r="AJ131" s="162">
        <v>5632701</v>
      </c>
      <c r="AK131" s="162">
        <v>50648180</v>
      </c>
      <c r="AL131" s="17">
        <v>0</v>
      </c>
    </row>
    <row r="132" spans="1:38" ht="15" customHeight="1" x14ac:dyDescent="0.2">
      <c r="A132" s="125" t="s">
        <v>117</v>
      </c>
      <c r="B132" s="16" t="s">
        <v>193</v>
      </c>
      <c r="C132" s="162">
        <v>256</v>
      </c>
      <c r="D132" s="162">
        <v>0</v>
      </c>
      <c r="E132" s="226">
        <v>1.0186064112956574</v>
      </c>
      <c r="F132" s="180">
        <v>260.8</v>
      </c>
      <c r="G132" s="162">
        <v>1779792</v>
      </c>
      <c r="H132" s="162">
        <v>292</v>
      </c>
      <c r="I132" s="162">
        <v>1780084</v>
      </c>
      <c r="J132" s="162">
        <v>89</v>
      </c>
      <c r="K132" s="180">
        <v>3456.2508120000048</v>
      </c>
      <c r="L132" s="17">
        <v>18257</v>
      </c>
      <c r="M132" s="162"/>
      <c r="N132" s="125" t="s">
        <v>117</v>
      </c>
      <c r="O132" s="16" t="s">
        <v>193</v>
      </c>
      <c r="P132" s="180">
        <v>14997.1</v>
      </c>
      <c r="Q132" s="180">
        <v>18453.3</v>
      </c>
      <c r="R132" s="162">
        <v>516406</v>
      </c>
      <c r="S132" s="162">
        <v>209</v>
      </c>
      <c r="T132" s="180">
        <v>458.3</v>
      </c>
      <c r="U132" s="162">
        <v>220541</v>
      </c>
      <c r="V132" s="162">
        <v>728</v>
      </c>
      <c r="W132" s="180">
        <v>1779.7</v>
      </c>
      <c r="X132" s="162">
        <v>8602</v>
      </c>
      <c r="Y132" s="17">
        <v>3521</v>
      </c>
      <c r="Z132" s="162"/>
      <c r="AA132" s="125" t="s">
        <v>117</v>
      </c>
      <c r="AB132" s="16" t="s">
        <v>193</v>
      </c>
      <c r="AC132" s="180">
        <v>16033.2</v>
      </c>
      <c r="AD132" s="162">
        <v>37892</v>
      </c>
      <c r="AE132" s="162">
        <v>228882</v>
      </c>
      <c r="AF132" s="180">
        <v>534766.80000000005</v>
      </c>
      <c r="AG132" s="162">
        <v>38084</v>
      </c>
      <c r="AH132" s="180">
        <v>252645</v>
      </c>
      <c r="AI132" s="162">
        <v>11031</v>
      </c>
      <c r="AJ132" s="162">
        <v>316150</v>
      </c>
      <c r="AK132" s="162">
        <v>2612640</v>
      </c>
      <c r="AL132" s="17">
        <v>96600</v>
      </c>
    </row>
    <row r="133" spans="1:38" ht="15" customHeight="1" x14ac:dyDescent="0.2">
      <c r="A133" s="125" t="s">
        <v>382</v>
      </c>
      <c r="B133" s="16" t="s">
        <v>381</v>
      </c>
      <c r="C133" s="162">
        <v>90</v>
      </c>
      <c r="D133" s="162">
        <v>0</v>
      </c>
      <c r="E133" s="226">
        <v>1.4022228345522869</v>
      </c>
      <c r="F133" s="180">
        <v>126.2</v>
      </c>
      <c r="G133" s="162">
        <v>861234</v>
      </c>
      <c r="H133" s="162">
        <v>0</v>
      </c>
      <c r="I133" s="162">
        <v>861234</v>
      </c>
      <c r="J133" s="162">
        <v>59</v>
      </c>
      <c r="K133" s="180">
        <v>4461.0385139999962</v>
      </c>
      <c r="L133" s="17">
        <v>12415</v>
      </c>
      <c r="M133" s="162"/>
      <c r="N133" s="125" t="s">
        <v>382</v>
      </c>
      <c r="O133" s="16" t="s">
        <v>381</v>
      </c>
      <c r="P133" s="180">
        <v>14412.9</v>
      </c>
      <c r="Q133" s="180">
        <v>18873.899999999998</v>
      </c>
      <c r="R133" s="162">
        <v>530956</v>
      </c>
      <c r="S133" s="162">
        <v>73</v>
      </c>
      <c r="T133" s="180">
        <v>178</v>
      </c>
      <c r="U133" s="162">
        <v>85656</v>
      </c>
      <c r="V133" s="162">
        <v>369</v>
      </c>
      <c r="W133" s="180">
        <v>794.5</v>
      </c>
      <c r="X133" s="162">
        <v>3840</v>
      </c>
      <c r="Y133" s="17">
        <v>1227</v>
      </c>
      <c r="Z133" s="162"/>
      <c r="AA133" s="125" t="s">
        <v>382</v>
      </c>
      <c r="AB133" s="16" t="s">
        <v>381</v>
      </c>
      <c r="AC133" s="180">
        <v>7012.7</v>
      </c>
      <c r="AD133" s="162">
        <v>16573</v>
      </c>
      <c r="AE133" s="162">
        <v>94670</v>
      </c>
      <c r="AF133" s="180">
        <v>181436.6</v>
      </c>
      <c r="AG133" s="162">
        <v>12921</v>
      </c>
      <c r="AH133" s="180">
        <v>103986</v>
      </c>
      <c r="AI133" s="162">
        <v>4540</v>
      </c>
      <c r="AJ133" s="162">
        <v>123530</v>
      </c>
      <c r="AK133" s="162">
        <v>1515720</v>
      </c>
      <c r="AL133" s="17">
        <v>84930</v>
      </c>
    </row>
    <row r="134" spans="1:38" ht="15" customHeight="1" x14ac:dyDescent="0.2">
      <c r="A134" s="125" t="s">
        <v>131</v>
      </c>
      <c r="B134" s="16" t="s">
        <v>252</v>
      </c>
      <c r="C134" s="162">
        <v>28</v>
      </c>
      <c r="D134" s="162">
        <v>0</v>
      </c>
      <c r="E134" s="226">
        <v>0.72661008403361205</v>
      </c>
      <c r="F134" s="180">
        <v>20.3</v>
      </c>
      <c r="G134" s="162">
        <v>138534</v>
      </c>
      <c r="H134" s="162">
        <v>0</v>
      </c>
      <c r="I134" s="162">
        <v>138534</v>
      </c>
      <c r="J134" s="162">
        <v>31</v>
      </c>
      <c r="K134" s="180">
        <v>529.30834499999969</v>
      </c>
      <c r="L134" s="17">
        <v>4555</v>
      </c>
      <c r="M134" s="162"/>
      <c r="N134" s="125" t="s">
        <v>131</v>
      </c>
      <c r="O134" s="16" t="s">
        <v>252</v>
      </c>
      <c r="P134" s="180">
        <v>1703.5</v>
      </c>
      <c r="Q134" s="180">
        <v>2232.8000000000002</v>
      </c>
      <c r="R134" s="162">
        <v>62632</v>
      </c>
      <c r="S134" s="162">
        <v>37</v>
      </c>
      <c r="T134" s="180">
        <v>92.4</v>
      </c>
      <c r="U134" s="162">
        <v>44464</v>
      </c>
      <c r="V134" s="162">
        <v>194</v>
      </c>
      <c r="W134" s="180">
        <v>213.4</v>
      </c>
      <c r="X134" s="162">
        <v>1031</v>
      </c>
      <c r="Y134" s="17">
        <v>333</v>
      </c>
      <c r="Z134" s="162"/>
      <c r="AA134" s="125" t="s">
        <v>131</v>
      </c>
      <c r="AB134" s="16" t="s">
        <v>252</v>
      </c>
      <c r="AC134" s="180">
        <v>2242.3000000000002</v>
      </c>
      <c r="AD134" s="162">
        <v>5299</v>
      </c>
      <c r="AE134" s="162">
        <v>0</v>
      </c>
      <c r="AF134" s="180">
        <v>0</v>
      </c>
      <c r="AG134" s="162">
        <v>0</v>
      </c>
      <c r="AH134" s="180">
        <v>0</v>
      </c>
      <c r="AI134" s="162">
        <v>0</v>
      </c>
      <c r="AJ134" s="162">
        <v>50794</v>
      </c>
      <c r="AK134" s="162">
        <v>251960</v>
      </c>
      <c r="AL134" s="17">
        <v>12526</v>
      </c>
    </row>
    <row r="135" spans="1:38" ht="15" customHeight="1" x14ac:dyDescent="0.2">
      <c r="A135" s="125" t="s">
        <v>118</v>
      </c>
      <c r="B135" s="16" t="s">
        <v>192</v>
      </c>
      <c r="C135" s="162">
        <v>1325</v>
      </c>
      <c r="D135" s="162">
        <v>300</v>
      </c>
      <c r="E135" s="226">
        <v>1.11501474912441</v>
      </c>
      <c r="F135" s="180">
        <v>1477.4</v>
      </c>
      <c r="G135" s="162">
        <v>10082304</v>
      </c>
      <c r="H135" s="162">
        <v>164228</v>
      </c>
      <c r="I135" s="162">
        <v>10246532</v>
      </c>
      <c r="J135" s="162">
        <v>497</v>
      </c>
      <c r="K135" s="180">
        <v>15717.56932700003</v>
      </c>
      <c r="L135" s="17">
        <v>128513</v>
      </c>
      <c r="M135" s="162"/>
      <c r="N135" s="125" t="s">
        <v>118</v>
      </c>
      <c r="O135" s="16" t="s">
        <v>192</v>
      </c>
      <c r="P135" s="180">
        <v>114712.8</v>
      </c>
      <c r="Q135" s="180">
        <v>130430.40000000001</v>
      </c>
      <c r="R135" s="162">
        <v>3654286</v>
      </c>
      <c r="S135" s="162">
        <v>1085</v>
      </c>
      <c r="T135" s="180">
        <v>2041.1</v>
      </c>
      <c r="U135" s="162">
        <v>982209</v>
      </c>
      <c r="V135" s="162">
        <v>9553</v>
      </c>
      <c r="W135" s="180">
        <v>20554.599999999999</v>
      </c>
      <c r="X135" s="162">
        <v>99351</v>
      </c>
      <c r="Y135" s="17">
        <v>22290</v>
      </c>
      <c r="Z135" s="162"/>
      <c r="AA135" s="125" t="s">
        <v>118</v>
      </c>
      <c r="AB135" s="16" t="s">
        <v>192</v>
      </c>
      <c r="AC135" s="180">
        <v>83390.899999999994</v>
      </c>
      <c r="AD135" s="162">
        <v>197082</v>
      </c>
      <c r="AE135" s="162">
        <v>883117</v>
      </c>
      <c r="AF135" s="180">
        <v>2162375.1</v>
      </c>
      <c r="AG135" s="162">
        <v>153994</v>
      </c>
      <c r="AH135" s="180">
        <v>1288719</v>
      </c>
      <c r="AI135" s="162">
        <v>56269</v>
      </c>
      <c r="AJ135" s="162">
        <v>1488905</v>
      </c>
      <c r="AK135" s="162">
        <v>15389723</v>
      </c>
      <c r="AL135" s="17">
        <v>1093713</v>
      </c>
    </row>
    <row r="136" spans="1:38" ht="15" customHeight="1" x14ac:dyDescent="0.2">
      <c r="A136" s="125" t="s">
        <v>119</v>
      </c>
      <c r="B136" s="16" t="s">
        <v>191</v>
      </c>
      <c r="C136" s="162">
        <v>2570</v>
      </c>
      <c r="D136" s="162">
        <v>135</v>
      </c>
      <c r="E136" s="226">
        <v>1.0623888162786732</v>
      </c>
      <c r="F136" s="180">
        <v>2730.3</v>
      </c>
      <c r="G136" s="162">
        <v>18632540</v>
      </c>
      <c r="H136" s="162">
        <v>61319</v>
      </c>
      <c r="I136" s="162">
        <v>18693859</v>
      </c>
      <c r="J136" s="162">
        <v>852</v>
      </c>
      <c r="K136" s="180">
        <v>41934.366094000143</v>
      </c>
      <c r="L136" s="17">
        <v>171004</v>
      </c>
      <c r="M136" s="162"/>
      <c r="N136" s="125" t="s">
        <v>119</v>
      </c>
      <c r="O136" s="16" t="s">
        <v>191</v>
      </c>
      <c r="P136" s="180">
        <v>154800.9</v>
      </c>
      <c r="Q136" s="180">
        <v>196735.2</v>
      </c>
      <c r="R136" s="162">
        <v>5500995</v>
      </c>
      <c r="S136" s="162">
        <v>1538</v>
      </c>
      <c r="T136" s="180">
        <v>4237.8</v>
      </c>
      <c r="U136" s="162">
        <v>2039294</v>
      </c>
      <c r="V136" s="162">
        <v>7196</v>
      </c>
      <c r="W136" s="180">
        <v>16514</v>
      </c>
      <c r="X136" s="162">
        <v>79821</v>
      </c>
      <c r="Y136" s="17">
        <v>17360</v>
      </c>
      <c r="Z136" s="162"/>
      <c r="AA136" s="125" t="s">
        <v>119</v>
      </c>
      <c r="AB136" s="16" t="s">
        <v>191</v>
      </c>
      <c r="AC136" s="180">
        <v>101617.9</v>
      </c>
      <c r="AD136" s="162">
        <v>240158</v>
      </c>
      <c r="AE136" s="162">
        <v>1985280</v>
      </c>
      <c r="AF136" s="180">
        <v>4397456.0999999996</v>
      </c>
      <c r="AG136" s="162">
        <v>313166</v>
      </c>
      <c r="AH136" s="180">
        <v>1703258</v>
      </c>
      <c r="AI136" s="162">
        <v>74369</v>
      </c>
      <c r="AJ136" s="162">
        <v>2746808</v>
      </c>
      <c r="AK136" s="162">
        <v>26941662</v>
      </c>
      <c r="AL136" s="17">
        <v>0</v>
      </c>
    </row>
    <row r="137" spans="1:38" ht="15" customHeight="1" x14ac:dyDescent="0.2">
      <c r="A137" s="125" t="s">
        <v>120</v>
      </c>
      <c r="B137" s="16" t="s">
        <v>190</v>
      </c>
      <c r="C137" s="162">
        <v>1047</v>
      </c>
      <c r="D137" s="162">
        <v>25</v>
      </c>
      <c r="E137" s="226">
        <v>1.0899861762766638</v>
      </c>
      <c r="F137" s="180">
        <v>1141.2</v>
      </c>
      <c r="G137" s="162">
        <v>7787956</v>
      </c>
      <c r="H137" s="162">
        <v>78095</v>
      </c>
      <c r="I137" s="162">
        <v>7866051</v>
      </c>
      <c r="J137" s="162">
        <v>378</v>
      </c>
      <c r="K137" s="180">
        <v>18051.888005999986</v>
      </c>
      <c r="L137" s="17">
        <v>71059.5</v>
      </c>
      <c r="M137" s="162"/>
      <c r="N137" s="125" t="s">
        <v>120</v>
      </c>
      <c r="O137" s="16" t="s">
        <v>190</v>
      </c>
      <c r="P137" s="180">
        <v>64351</v>
      </c>
      <c r="Q137" s="180">
        <v>82402.899999999994</v>
      </c>
      <c r="R137" s="162">
        <v>2302151</v>
      </c>
      <c r="S137" s="162">
        <v>594</v>
      </c>
      <c r="T137" s="180">
        <v>1827.7</v>
      </c>
      <c r="U137" s="162">
        <v>879517</v>
      </c>
      <c r="V137" s="162">
        <v>7227</v>
      </c>
      <c r="W137" s="180">
        <v>11180</v>
      </c>
      <c r="X137" s="162">
        <v>54039</v>
      </c>
      <c r="Y137" s="17">
        <v>14806</v>
      </c>
      <c r="Z137" s="162"/>
      <c r="AA137" s="125" t="s">
        <v>120</v>
      </c>
      <c r="AB137" s="16" t="s">
        <v>190</v>
      </c>
      <c r="AC137" s="180">
        <v>60813.1</v>
      </c>
      <c r="AD137" s="162">
        <v>143722</v>
      </c>
      <c r="AE137" s="162">
        <v>842105</v>
      </c>
      <c r="AF137" s="180">
        <v>1955370</v>
      </c>
      <c r="AG137" s="162">
        <v>139252</v>
      </c>
      <c r="AH137" s="180">
        <v>788862</v>
      </c>
      <c r="AI137" s="162">
        <v>34444</v>
      </c>
      <c r="AJ137" s="162">
        <v>1250974</v>
      </c>
      <c r="AK137" s="162">
        <v>11419176</v>
      </c>
      <c r="AL137" s="17">
        <v>0</v>
      </c>
    </row>
    <row r="138" spans="1:38" ht="15" customHeight="1" x14ac:dyDescent="0.2">
      <c r="A138" s="125" t="s">
        <v>121</v>
      </c>
      <c r="B138" s="16" t="s">
        <v>189</v>
      </c>
      <c r="C138" s="162">
        <v>17</v>
      </c>
      <c r="D138" s="162">
        <v>0</v>
      </c>
      <c r="E138" s="226">
        <v>0.72606290868094592</v>
      </c>
      <c r="F138" s="180">
        <v>12.3</v>
      </c>
      <c r="G138" s="162">
        <v>83940</v>
      </c>
      <c r="H138" s="162">
        <v>0</v>
      </c>
      <c r="I138" s="162">
        <v>83940</v>
      </c>
      <c r="J138" s="162">
        <v>13</v>
      </c>
      <c r="K138" s="180">
        <v>255.52800000000005</v>
      </c>
      <c r="L138" s="17">
        <v>1910</v>
      </c>
      <c r="M138" s="162"/>
      <c r="N138" s="125" t="s">
        <v>121</v>
      </c>
      <c r="O138" s="16" t="s">
        <v>189</v>
      </c>
      <c r="P138" s="180">
        <v>968.4</v>
      </c>
      <c r="Q138" s="180">
        <v>1223.9000000000001</v>
      </c>
      <c r="R138" s="162">
        <v>34332</v>
      </c>
      <c r="S138" s="162">
        <v>16</v>
      </c>
      <c r="T138" s="180">
        <v>37.700000000000003</v>
      </c>
      <c r="U138" s="162">
        <v>18142</v>
      </c>
      <c r="V138" s="162">
        <v>205</v>
      </c>
      <c r="W138" s="180">
        <v>239.2</v>
      </c>
      <c r="X138" s="162">
        <v>1156</v>
      </c>
      <c r="Y138" s="17">
        <v>591</v>
      </c>
      <c r="Z138" s="162"/>
      <c r="AA138" s="125" t="s">
        <v>121</v>
      </c>
      <c r="AB138" s="16" t="s">
        <v>189</v>
      </c>
      <c r="AC138" s="180">
        <v>2256.5</v>
      </c>
      <c r="AD138" s="162">
        <v>5333</v>
      </c>
      <c r="AE138" s="162">
        <v>20912</v>
      </c>
      <c r="AF138" s="180">
        <v>34967.4</v>
      </c>
      <c r="AG138" s="162">
        <v>2490</v>
      </c>
      <c r="AH138" s="180">
        <v>15864</v>
      </c>
      <c r="AI138" s="162">
        <v>693</v>
      </c>
      <c r="AJ138" s="162">
        <v>27814</v>
      </c>
      <c r="AK138" s="162">
        <v>146086</v>
      </c>
      <c r="AL138" s="17">
        <v>0</v>
      </c>
    </row>
    <row r="139" spans="1:38" ht="15" customHeight="1" x14ac:dyDescent="0.2">
      <c r="A139" s="125" t="s">
        <v>122</v>
      </c>
      <c r="B139" s="16" t="s">
        <v>185</v>
      </c>
      <c r="C139" s="162">
        <v>3648</v>
      </c>
      <c r="D139" s="162">
        <v>80</v>
      </c>
      <c r="E139" s="226">
        <v>1.0792873341886438</v>
      </c>
      <c r="F139" s="180">
        <v>3937.2</v>
      </c>
      <c r="G139" s="162">
        <v>26868856</v>
      </c>
      <c r="H139" s="162">
        <v>0</v>
      </c>
      <c r="I139" s="162">
        <v>26868856</v>
      </c>
      <c r="J139" s="162">
        <v>1142</v>
      </c>
      <c r="K139" s="180">
        <v>63363.994336999633</v>
      </c>
      <c r="L139" s="17">
        <v>235880</v>
      </c>
      <c r="M139" s="162"/>
      <c r="N139" s="125" t="s">
        <v>122</v>
      </c>
      <c r="O139" s="16" t="s">
        <v>185</v>
      </c>
      <c r="P139" s="180">
        <v>218485.3</v>
      </c>
      <c r="Q139" s="180">
        <v>281849.3</v>
      </c>
      <c r="R139" s="162">
        <v>7874233</v>
      </c>
      <c r="S139" s="162">
        <v>1972</v>
      </c>
      <c r="T139" s="180">
        <v>5904.4</v>
      </c>
      <c r="U139" s="162">
        <v>2841288</v>
      </c>
      <c r="V139" s="162">
        <v>17643</v>
      </c>
      <c r="W139" s="180">
        <v>37946.300000000003</v>
      </c>
      <c r="X139" s="162">
        <v>183415</v>
      </c>
      <c r="Y139" s="17">
        <v>29171</v>
      </c>
      <c r="Z139" s="162"/>
      <c r="AA139" s="125" t="s">
        <v>122</v>
      </c>
      <c r="AB139" s="16" t="s">
        <v>185</v>
      </c>
      <c r="AC139" s="180">
        <v>159672.6</v>
      </c>
      <c r="AD139" s="162">
        <v>377362</v>
      </c>
      <c r="AE139" s="162">
        <v>1497009</v>
      </c>
      <c r="AF139" s="180">
        <v>3510136.2</v>
      </c>
      <c r="AG139" s="162">
        <v>249975</v>
      </c>
      <c r="AH139" s="180">
        <v>1406678</v>
      </c>
      <c r="AI139" s="162">
        <v>61420</v>
      </c>
      <c r="AJ139" s="162">
        <v>3713460</v>
      </c>
      <c r="AK139" s="162">
        <v>38456549</v>
      </c>
      <c r="AL139" s="17">
        <v>0</v>
      </c>
    </row>
    <row r="140" spans="1:38" ht="15" customHeight="1" x14ac:dyDescent="0.2">
      <c r="A140" s="125" t="s">
        <v>123</v>
      </c>
      <c r="B140" s="16" t="s">
        <v>184</v>
      </c>
      <c r="C140" s="162">
        <v>195</v>
      </c>
      <c r="D140" s="162">
        <v>0</v>
      </c>
      <c r="E140" s="226">
        <v>1.4106540303592272</v>
      </c>
      <c r="F140" s="180">
        <v>275.10000000000002</v>
      </c>
      <c r="G140" s="162">
        <v>1877380</v>
      </c>
      <c r="H140" s="162">
        <v>0</v>
      </c>
      <c r="I140" s="162">
        <v>1877380</v>
      </c>
      <c r="J140" s="162">
        <v>72</v>
      </c>
      <c r="K140" s="180">
        <v>4308.0661080000027</v>
      </c>
      <c r="L140" s="17">
        <v>13935</v>
      </c>
      <c r="M140" s="162"/>
      <c r="N140" s="125" t="s">
        <v>123</v>
      </c>
      <c r="O140" s="16" t="s">
        <v>184</v>
      </c>
      <c r="P140" s="180">
        <v>14447.9</v>
      </c>
      <c r="Q140" s="180">
        <v>18756</v>
      </c>
      <c r="R140" s="162">
        <v>524232</v>
      </c>
      <c r="S140" s="162">
        <v>135</v>
      </c>
      <c r="T140" s="180">
        <v>353.4</v>
      </c>
      <c r="U140" s="162">
        <v>170061</v>
      </c>
      <c r="V140" s="162">
        <v>769</v>
      </c>
      <c r="W140" s="180">
        <v>1488.2</v>
      </c>
      <c r="X140" s="162">
        <v>7193</v>
      </c>
      <c r="Y140" s="17">
        <v>2884</v>
      </c>
      <c r="Z140" s="162"/>
      <c r="AA140" s="125" t="s">
        <v>123</v>
      </c>
      <c r="AB140" s="16" t="s">
        <v>184</v>
      </c>
      <c r="AC140" s="180">
        <v>12948.3</v>
      </c>
      <c r="AD140" s="162">
        <v>30601</v>
      </c>
      <c r="AE140" s="162">
        <v>238914</v>
      </c>
      <c r="AF140" s="180">
        <v>533999</v>
      </c>
      <c r="AG140" s="162">
        <v>38029</v>
      </c>
      <c r="AH140" s="180">
        <v>345984</v>
      </c>
      <c r="AI140" s="162">
        <v>15107</v>
      </c>
      <c r="AJ140" s="162">
        <v>260991</v>
      </c>
      <c r="AK140" s="162">
        <v>2662603</v>
      </c>
      <c r="AL140" s="17">
        <v>158512</v>
      </c>
    </row>
    <row r="141" spans="1:38" ht="15" customHeight="1" x14ac:dyDescent="0.2">
      <c r="A141" s="125" t="s">
        <v>124</v>
      </c>
      <c r="B141" s="16" t="s">
        <v>179</v>
      </c>
      <c r="C141" s="162">
        <v>1573</v>
      </c>
      <c r="D141" s="162">
        <v>80</v>
      </c>
      <c r="E141" s="226">
        <v>1.2516399803843961</v>
      </c>
      <c r="F141" s="180">
        <v>1968.8</v>
      </c>
      <c r="G141" s="162">
        <v>13435793</v>
      </c>
      <c r="H141" s="162">
        <v>132098</v>
      </c>
      <c r="I141" s="162">
        <v>13567891</v>
      </c>
      <c r="J141" s="162">
        <v>624</v>
      </c>
      <c r="K141" s="180">
        <v>29114.062713999963</v>
      </c>
      <c r="L141" s="17">
        <v>117468</v>
      </c>
      <c r="M141" s="162"/>
      <c r="N141" s="125" t="s">
        <v>124</v>
      </c>
      <c r="O141" s="16" t="s">
        <v>179</v>
      </c>
      <c r="P141" s="180">
        <v>115263.9</v>
      </c>
      <c r="Q141" s="180">
        <v>144378</v>
      </c>
      <c r="R141" s="162">
        <v>4039136</v>
      </c>
      <c r="S141" s="162">
        <v>987</v>
      </c>
      <c r="T141" s="180">
        <v>2701.4</v>
      </c>
      <c r="U141" s="162">
        <v>1299955</v>
      </c>
      <c r="V141" s="162">
        <v>12987</v>
      </c>
      <c r="W141" s="180">
        <v>19697.8</v>
      </c>
      <c r="X141" s="162">
        <v>95210</v>
      </c>
      <c r="Y141" s="17">
        <v>38624</v>
      </c>
      <c r="Z141" s="162"/>
      <c r="AA141" s="125" t="s">
        <v>124</v>
      </c>
      <c r="AB141" s="16" t="s">
        <v>179</v>
      </c>
      <c r="AC141" s="180">
        <v>114575.9</v>
      </c>
      <c r="AD141" s="162">
        <v>270783</v>
      </c>
      <c r="AE141" s="162">
        <v>1593425</v>
      </c>
      <c r="AF141" s="180">
        <v>3637738.9</v>
      </c>
      <c r="AG141" s="162">
        <v>259063</v>
      </c>
      <c r="AH141" s="180">
        <v>3243220.6</v>
      </c>
      <c r="AI141" s="162">
        <v>141608</v>
      </c>
      <c r="AJ141" s="162">
        <v>2066619</v>
      </c>
      <c r="AK141" s="162">
        <v>19673646</v>
      </c>
      <c r="AL141" s="17">
        <v>0</v>
      </c>
    </row>
    <row r="142" spans="1:38" ht="15" customHeight="1" x14ac:dyDescent="0.2">
      <c r="A142" s="125" t="s">
        <v>125</v>
      </c>
      <c r="B142" s="16" t="s">
        <v>177</v>
      </c>
      <c r="C142" s="162">
        <v>1651</v>
      </c>
      <c r="D142" s="162">
        <v>110</v>
      </c>
      <c r="E142" s="226">
        <v>1.1643194596501742</v>
      </c>
      <c r="F142" s="180">
        <v>1922.3</v>
      </c>
      <c r="G142" s="162">
        <v>13118460</v>
      </c>
      <c r="H142" s="162">
        <v>93498</v>
      </c>
      <c r="I142" s="162">
        <v>13211958</v>
      </c>
      <c r="J142" s="162">
        <v>627</v>
      </c>
      <c r="K142" s="180">
        <v>31525.693755000022</v>
      </c>
      <c r="L142" s="17">
        <v>113559.5</v>
      </c>
      <c r="M142" s="162"/>
      <c r="N142" s="125" t="s">
        <v>125</v>
      </c>
      <c r="O142" s="16" t="s">
        <v>177</v>
      </c>
      <c r="P142" s="180">
        <v>106632.2</v>
      </c>
      <c r="Q142" s="180">
        <v>138157.90000000002</v>
      </c>
      <c r="R142" s="162">
        <v>3864272</v>
      </c>
      <c r="S142" s="162">
        <v>1042</v>
      </c>
      <c r="T142" s="180">
        <v>2908.1</v>
      </c>
      <c r="U142" s="162">
        <v>1399422</v>
      </c>
      <c r="V142" s="162">
        <v>9925</v>
      </c>
      <c r="W142" s="180">
        <v>17088.099999999999</v>
      </c>
      <c r="X142" s="162">
        <v>82596</v>
      </c>
      <c r="Y142" s="17">
        <v>27165</v>
      </c>
      <c r="Z142" s="162"/>
      <c r="AA142" s="125" t="s">
        <v>125</v>
      </c>
      <c r="AB142" s="16" t="s">
        <v>177</v>
      </c>
      <c r="AC142" s="180">
        <v>99707.9</v>
      </c>
      <c r="AD142" s="162">
        <v>235644</v>
      </c>
      <c r="AE142" s="162">
        <v>1851952</v>
      </c>
      <c r="AF142" s="180">
        <v>4108866</v>
      </c>
      <c r="AG142" s="162">
        <v>292614</v>
      </c>
      <c r="AH142" s="180">
        <v>2319454.6</v>
      </c>
      <c r="AI142" s="162">
        <v>101274</v>
      </c>
      <c r="AJ142" s="162">
        <v>2111550</v>
      </c>
      <c r="AK142" s="162">
        <v>19187780</v>
      </c>
      <c r="AL142" s="17">
        <v>0</v>
      </c>
    </row>
    <row r="143" spans="1:38" ht="15.95" customHeight="1" x14ac:dyDescent="0.2">
      <c r="A143" s="126" t="s">
        <v>399</v>
      </c>
      <c r="B143" s="138"/>
      <c r="C143" s="99">
        <v>178603</v>
      </c>
      <c r="D143" s="99">
        <v>8523</v>
      </c>
      <c r="E143" s="134"/>
      <c r="F143" s="135">
        <v>216734.2</v>
      </c>
      <c r="G143" s="99">
        <v>1479071428</v>
      </c>
      <c r="H143" s="99">
        <v>17410000</v>
      </c>
      <c r="I143" s="99">
        <v>1496481428</v>
      </c>
      <c r="J143" s="99">
        <v>67448</v>
      </c>
      <c r="K143" s="135">
        <v>3231947.9424830074</v>
      </c>
      <c r="L143" s="100">
        <v>13113408.000599999</v>
      </c>
      <c r="M143" s="227"/>
      <c r="N143" s="126" t="s">
        <v>399</v>
      </c>
      <c r="O143" s="138"/>
      <c r="P143" s="135">
        <v>12148454.300304202</v>
      </c>
      <c r="Q143" s="135">
        <v>15380402.000000006</v>
      </c>
      <c r="R143" s="99">
        <v>429918048</v>
      </c>
      <c r="S143" s="99">
        <v>110153</v>
      </c>
      <c r="T143" s="135">
        <v>312536.00000000012</v>
      </c>
      <c r="U143" s="99">
        <v>150397103</v>
      </c>
      <c r="V143" s="99">
        <v>834047</v>
      </c>
      <c r="W143" s="135">
        <v>1666895.1</v>
      </c>
      <c r="X143" s="99">
        <v>8056994</v>
      </c>
      <c r="Y143" s="100">
        <v>2194182</v>
      </c>
      <c r="Z143" s="227"/>
      <c r="AA143" s="126" t="s">
        <v>399</v>
      </c>
      <c r="AB143" s="138"/>
      <c r="AC143" s="135">
        <v>10227152.600000001</v>
      </c>
      <c r="AD143" s="99">
        <v>24170302</v>
      </c>
      <c r="AE143" s="99">
        <v>148475818</v>
      </c>
      <c r="AF143" s="135">
        <v>339406974.79999989</v>
      </c>
      <c r="AG143" s="99">
        <v>24170959</v>
      </c>
      <c r="AH143" s="135">
        <v>184527061.59999999</v>
      </c>
      <c r="AI143" s="99">
        <v>8056985</v>
      </c>
      <c r="AJ143" s="99">
        <v>214852343</v>
      </c>
      <c r="AK143" s="99">
        <v>2141251819</v>
      </c>
      <c r="AL143" s="100">
        <v>45384799</v>
      </c>
    </row>
    <row r="144" spans="1:38" ht="13.35" customHeight="1" x14ac:dyDescent="0.2"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</row>
    <row r="146" spans="1:38" x14ac:dyDescent="0.2">
      <c r="A146" s="125" t="s">
        <v>96</v>
      </c>
      <c r="B146" s="16" t="s">
        <v>221</v>
      </c>
      <c r="C146" s="162">
        <f>C108+C89</f>
        <v>3946</v>
      </c>
      <c r="D146" s="162">
        <f t="shared" ref="D146:AL146" si="0">D108+D89</f>
        <v>40</v>
      </c>
      <c r="E146" s="226">
        <f t="shared" si="0"/>
        <v>1.951042738967034</v>
      </c>
      <c r="F146" s="180">
        <f t="shared" si="0"/>
        <v>4107.7</v>
      </c>
      <c r="G146" s="162">
        <f t="shared" si="0"/>
        <v>28032409</v>
      </c>
      <c r="H146" s="162">
        <f t="shared" si="0"/>
        <v>151834</v>
      </c>
      <c r="I146" s="162">
        <f t="shared" si="0"/>
        <v>28184243</v>
      </c>
      <c r="J146" s="162">
        <f t="shared" si="0"/>
        <v>1755</v>
      </c>
      <c r="K146" s="180">
        <f t="shared" si="0"/>
        <v>59806.57617899972</v>
      </c>
      <c r="L146" s="17">
        <f t="shared" si="0"/>
        <v>330073</v>
      </c>
      <c r="M146" s="162">
        <f t="shared" si="0"/>
        <v>0</v>
      </c>
      <c r="N146" s="125" t="s">
        <v>96</v>
      </c>
      <c r="O146" s="16" t="s">
        <v>221</v>
      </c>
      <c r="P146" s="180">
        <f t="shared" si="0"/>
        <v>267123.90000000002</v>
      </c>
      <c r="Q146" s="180">
        <f t="shared" si="0"/>
        <v>326930.5</v>
      </c>
      <c r="R146" s="162">
        <f t="shared" si="0"/>
        <v>9134894</v>
      </c>
      <c r="S146" s="162">
        <f t="shared" si="0"/>
        <v>2223</v>
      </c>
      <c r="T146" s="180">
        <f t="shared" si="0"/>
        <v>6312.7000000000007</v>
      </c>
      <c r="U146" s="162">
        <f t="shared" si="0"/>
        <v>3037768</v>
      </c>
      <c r="V146" s="162">
        <f t="shared" si="0"/>
        <v>11410</v>
      </c>
      <c r="W146" s="180">
        <f t="shared" si="0"/>
        <v>26222</v>
      </c>
      <c r="X146" s="162">
        <f t="shared" si="0"/>
        <v>126745</v>
      </c>
      <c r="Y146" s="17">
        <f t="shared" si="0"/>
        <v>31319</v>
      </c>
      <c r="Z146" s="162">
        <f t="shared" si="0"/>
        <v>0</v>
      </c>
      <c r="AA146" s="125" t="s">
        <v>96</v>
      </c>
      <c r="AB146" s="16" t="s">
        <v>221</v>
      </c>
      <c r="AC146" s="180">
        <f t="shared" si="0"/>
        <v>192770.8</v>
      </c>
      <c r="AD146" s="162">
        <f t="shared" si="0"/>
        <v>455584</v>
      </c>
      <c r="AE146" s="162">
        <f t="shared" si="0"/>
        <v>3588718</v>
      </c>
      <c r="AF146" s="180">
        <f t="shared" si="0"/>
        <v>8424047.9000000004</v>
      </c>
      <c r="AG146" s="162">
        <f t="shared" si="0"/>
        <v>599921</v>
      </c>
      <c r="AH146" s="180">
        <f t="shared" si="0"/>
        <v>2613877.7999999998</v>
      </c>
      <c r="AI146" s="162">
        <f t="shared" si="0"/>
        <v>114129</v>
      </c>
      <c r="AJ146" s="162">
        <f t="shared" si="0"/>
        <v>4334147</v>
      </c>
      <c r="AK146" s="162">
        <f t="shared" si="0"/>
        <v>41653284</v>
      </c>
      <c r="AL146" s="17">
        <f t="shared" si="0"/>
        <v>44002</v>
      </c>
    </row>
  </sheetData>
  <mergeCells count="3">
    <mergeCell ref="A5:L5"/>
    <mergeCell ref="N5:Y5"/>
    <mergeCell ref="AA5:AL5"/>
  </mergeCells>
  <pageMargins left="0.70866141732283472" right="0.51181102362204722" top="0.74803149606299213" bottom="0.74803149606299213" header="0.31496062992125984" footer="0.31496062992125984"/>
  <pageSetup paperSize="9" scale="72" fitToWidth="3" fitToHeight="0" pageOrder="overThenDown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>
    <tabColor theme="4" tint="0.59999389629810485"/>
  </sheetPr>
  <dimension ref="A4:T45"/>
  <sheetViews>
    <sheetView zoomScale="90" zoomScaleNormal="90" workbookViewId="0"/>
  </sheetViews>
  <sheetFormatPr defaultRowHeight="15" x14ac:dyDescent="0.25"/>
  <cols>
    <col min="1" max="6" width="4.42578125" customWidth="1"/>
    <col min="7" max="7" width="77.42578125" customWidth="1"/>
    <col min="8" max="13" width="14.7109375" customWidth="1"/>
    <col min="14" max="17" width="12.85546875" customWidth="1"/>
    <col min="18" max="18" width="13.5703125" customWidth="1"/>
    <col min="19" max="21" width="11" bestFit="1" customWidth="1"/>
  </cols>
  <sheetData>
    <row r="4" spans="1:20" x14ac:dyDescent="0.25">
      <c r="A4" s="43" t="s">
        <v>435</v>
      </c>
      <c r="K4" s="197"/>
      <c r="L4" s="114"/>
      <c r="S4" s="43"/>
      <c r="T4" s="43"/>
    </row>
    <row r="5" spans="1:20" ht="45" x14ac:dyDescent="0.25">
      <c r="A5" s="55"/>
      <c r="B5" s="56"/>
      <c r="C5" s="56"/>
      <c r="D5" s="56"/>
      <c r="E5" s="56"/>
      <c r="F5" s="56"/>
      <c r="G5" s="57"/>
      <c r="H5" s="75" t="s">
        <v>151</v>
      </c>
      <c r="I5" s="75" t="s">
        <v>151</v>
      </c>
      <c r="J5" s="75" t="s">
        <v>151</v>
      </c>
      <c r="K5" s="75" t="s">
        <v>151</v>
      </c>
      <c r="L5" s="75" t="s">
        <v>151</v>
      </c>
      <c r="M5" s="75" t="s">
        <v>151</v>
      </c>
      <c r="N5" s="58" t="s">
        <v>344</v>
      </c>
      <c r="O5" s="59" t="s">
        <v>343</v>
      </c>
      <c r="P5" s="59" t="s">
        <v>340</v>
      </c>
      <c r="Q5" s="59" t="s">
        <v>341</v>
      </c>
      <c r="R5" s="60" t="s">
        <v>342</v>
      </c>
      <c r="S5" s="43"/>
      <c r="T5" s="43"/>
    </row>
    <row r="6" spans="1:20" ht="15" customHeight="1" x14ac:dyDescent="0.25">
      <c r="A6" s="239" t="s">
        <v>457</v>
      </c>
      <c r="B6" s="237"/>
      <c r="C6" s="237"/>
      <c r="D6" s="237"/>
      <c r="E6" s="237"/>
      <c r="F6" s="237"/>
      <c r="G6" s="238"/>
      <c r="H6" s="79">
        <f>I7+H25</f>
        <v>2113735415</v>
      </c>
      <c r="I6" s="77"/>
      <c r="J6" s="77"/>
      <c r="K6" s="77"/>
      <c r="L6" s="77"/>
      <c r="M6" s="77"/>
      <c r="N6" s="93"/>
      <c r="O6" s="49"/>
      <c r="P6" s="94"/>
      <c r="Q6" s="94"/>
      <c r="R6" s="95"/>
      <c r="S6" s="43"/>
      <c r="T6" s="43"/>
    </row>
    <row r="7" spans="1:20" ht="15" customHeight="1" x14ac:dyDescent="0.25">
      <c r="A7" s="72"/>
      <c r="B7" s="235" t="s">
        <v>458</v>
      </c>
      <c r="C7" s="235"/>
      <c r="D7" s="235"/>
      <c r="E7" s="235"/>
      <c r="F7" s="235"/>
      <c r="G7" s="236"/>
      <c r="H7" s="78"/>
      <c r="I7" s="86">
        <v>2066774000</v>
      </c>
      <c r="J7" s="77"/>
      <c r="K7" s="77"/>
      <c r="L7" s="77"/>
      <c r="M7" s="77"/>
      <c r="N7" s="50">
        <f>I7/I$7</f>
        <v>1</v>
      </c>
      <c r="O7" s="51"/>
      <c r="P7" s="51"/>
      <c r="Q7" s="51"/>
      <c r="R7" s="61"/>
      <c r="S7" s="43"/>
      <c r="T7" s="43"/>
    </row>
    <row r="8" spans="1:20" s="144" customFormat="1" ht="15" customHeight="1" x14ac:dyDescent="0.25">
      <c r="A8" s="72"/>
      <c r="B8" s="181"/>
      <c r="C8" s="235" t="s">
        <v>459</v>
      </c>
      <c r="D8" s="235"/>
      <c r="E8" s="235"/>
      <c r="F8" s="235"/>
      <c r="G8" s="236"/>
      <c r="H8" s="78"/>
      <c r="I8" s="79"/>
      <c r="J8" s="77">
        <f>I7-H26</f>
        <v>2063774000</v>
      </c>
      <c r="K8" s="77"/>
      <c r="L8" s="77"/>
      <c r="M8" s="77"/>
      <c r="N8" s="50"/>
      <c r="O8" s="51"/>
      <c r="P8" s="51"/>
      <c r="Q8" s="51"/>
      <c r="R8" s="61"/>
      <c r="S8" s="43"/>
      <c r="T8" s="43"/>
    </row>
    <row r="9" spans="1:20" ht="15" customHeight="1" x14ac:dyDescent="0.25">
      <c r="A9" s="72"/>
      <c r="B9" s="181"/>
      <c r="C9" s="240" t="s">
        <v>460</v>
      </c>
      <c r="D9" s="235"/>
      <c r="E9" s="235"/>
      <c r="F9" s="235"/>
      <c r="G9" s="236"/>
      <c r="H9" s="79"/>
      <c r="I9" s="76"/>
      <c r="J9" s="153">
        <v>2063774000</v>
      </c>
      <c r="K9" s="77"/>
      <c r="L9" s="77"/>
      <c r="M9" s="77"/>
      <c r="N9" s="50">
        <f>J9/I$7</f>
        <v>0.99854846248307749</v>
      </c>
      <c r="O9" s="52">
        <f>J9/J$9</f>
        <v>1</v>
      </c>
      <c r="P9" s="52"/>
      <c r="Q9" s="51"/>
      <c r="R9" s="61"/>
      <c r="S9" s="43"/>
      <c r="T9" s="43"/>
    </row>
    <row r="10" spans="1:20" ht="15" customHeight="1" x14ac:dyDescent="0.25">
      <c r="A10" s="72"/>
      <c r="B10" s="181"/>
      <c r="C10" s="181"/>
      <c r="D10" s="235" t="s">
        <v>339</v>
      </c>
      <c r="E10" s="235"/>
      <c r="F10" s="235"/>
      <c r="G10" s="236"/>
      <c r="H10" s="79"/>
      <c r="I10" s="77"/>
      <c r="J10" s="77"/>
      <c r="K10" s="153">
        <v>1444642000</v>
      </c>
      <c r="L10" s="77"/>
      <c r="M10" s="77"/>
      <c r="N10" s="50">
        <f>K10/I$7</f>
        <v>0.698984020507322</v>
      </c>
      <c r="O10" s="82">
        <v>0.7</v>
      </c>
      <c r="P10" s="52">
        <f>K10/K$10</f>
        <v>1</v>
      </c>
      <c r="Q10" s="51"/>
      <c r="R10" s="61"/>
      <c r="S10" s="143"/>
      <c r="T10" s="143"/>
    </row>
    <row r="11" spans="1:20" ht="15" customHeight="1" x14ac:dyDescent="0.25">
      <c r="A11" s="164"/>
      <c r="B11" s="181"/>
      <c r="C11" s="181"/>
      <c r="D11" s="46"/>
      <c r="E11" s="235" t="s">
        <v>461</v>
      </c>
      <c r="F11" s="235"/>
      <c r="G11" s="236"/>
      <c r="H11" s="79"/>
      <c r="I11" s="77"/>
      <c r="J11" s="77"/>
      <c r="K11" s="77"/>
      <c r="L11" s="77">
        <f>K10-H27</f>
        <v>1431697000</v>
      </c>
      <c r="M11" s="77"/>
      <c r="N11" s="50">
        <f>L11/I$7</f>
        <v>0.69272063612180146</v>
      </c>
      <c r="O11" s="51">
        <f>L11/J$9</f>
        <v>0.69372760777100595</v>
      </c>
      <c r="P11" s="52">
        <f>L11/K$10</f>
        <v>0.9910393024707852</v>
      </c>
      <c r="Q11" s="52"/>
      <c r="R11" s="61"/>
      <c r="S11" s="43"/>
      <c r="T11" s="43"/>
    </row>
    <row r="12" spans="1:20" ht="15" customHeight="1" x14ac:dyDescent="0.25">
      <c r="A12" s="72"/>
      <c r="B12" s="181"/>
      <c r="C12" s="181"/>
      <c r="D12" s="46"/>
      <c r="E12" s="235" t="s">
        <v>462</v>
      </c>
      <c r="F12" s="235"/>
      <c r="G12" s="236"/>
      <c r="H12" s="79"/>
      <c r="I12" s="77"/>
      <c r="J12" s="77"/>
      <c r="K12" s="77"/>
      <c r="L12" s="77">
        <f>K10-H27-H28</f>
        <v>1421697000</v>
      </c>
      <c r="M12" s="71"/>
      <c r="N12" s="50">
        <f>L12/I$7</f>
        <v>0.68788217773205973</v>
      </c>
      <c r="O12" s="51">
        <f>L12/J$9</f>
        <v>0.68888211596812443</v>
      </c>
      <c r="P12" s="52">
        <f>L12/K$10</f>
        <v>0.98411717228212936</v>
      </c>
      <c r="Q12" s="51"/>
      <c r="R12" s="61"/>
      <c r="S12" s="43"/>
      <c r="T12" s="43"/>
    </row>
    <row r="13" spans="1:20" ht="15" customHeight="1" x14ac:dyDescent="0.25">
      <c r="A13" s="72"/>
      <c r="B13" s="181"/>
      <c r="C13" s="46"/>
      <c r="D13" s="235" t="s">
        <v>150</v>
      </c>
      <c r="E13" s="235"/>
      <c r="F13" s="235"/>
      <c r="G13" s="236"/>
      <c r="H13" s="79"/>
      <c r="I13" s="77"/>
      <c r="J13" s="77"/>
      <c r="K13" s="77">
        <f>ROUND(J9*O13,-3)</f>
        <v>412755000</v>
      </c>
      <c r="L13" s="77"/>
      <c r="M13" s="77"/>
      <c r="N13" s="50">
        <f>K13/I$7</f>
        <v>0.19970978926578328</v>
      </c>
      <c r="O13" s="83">
        <v>0.2</v>
      </c>
      <c r="P13" s="84"/>
      <c r="Q13" s="51"/>
      <c r="R13" s="61"/>
      <c r="S13" s="143"/>
      <c r="T13" s="143"/>
    </row>
    <row r="14" spans="1:20" ht="15" customHeight="1" x14ac:dyDescent="0.25">
      <c r="A14" s="72"/>
      <c r="B14" s="181"/>
      <c r="C14" s="46"/>
      <c r="D14" s="235" t="s">
        <v>328</v>
      </c>
      <c r="E14" s="235"/>
      <c r="F14" s="235"/>
      <c r="G14" s="236"/>
      <c r="H14" s="79"/>
      <c r="I14" s="77"/>
      <c r="J14" s="77"/>
      <c r="K14" s="77">
        <f>ROUND(J9*O14,-3)</f>
        <v>206377000</v>
      </c>
      <c r="L14" s="77"/>
      <c r="M14" s="77"/>
      <c r="N14" s="50">
        <f>K14/I$7</f>
        <v>9.9854652709972153E-2</v>
      </c>
      <c r="O14" s="83">
        <v>0.1</v>
      </c>
      <c r="P14" s="84"/>
      <c r="Q14" s="51">
        <f>K14/K$14</f>
        <v>1</v>
      </c>
      <c r="R14" s="61"/>
      <c r="S14" s="43"/>
      <c r="T14" s="143"/>
    </row>
    <row r="15" spans="1:20" ht="15" customHeight="1" x14ac:dyDescent="0.25">
      <c r="A15" s="72"/>
      <c r="B15" s="47"/>
      <c r="C15" s="46"/>
      <c r="D15" s="181"/>
      <c r="E15" s="235" t="s">
        <v>156</v>
      </c>
      <c r="F15" s="235"/>
      <c r="G15" s="236"/>
      <c r="H15" s="79"/>
      <c r="I15" s="77"/>
      <c r="J15" s="77"/>
      <c r="K15" s="77"/>
      <c r="L15" s="77">
        <f>K14*Q15</f>
        <v>144463900</v>
      </c>
      <c r="M15" s="77"/>
      <c r="N15" s="50">
        <f>L15/I$7</f>
        <v>6.989825689698051E-2</v>
      </c>
      <c r="O15" s="52">
        <f>L15/J$9</f>
        <v>6.9999864326229524E-2</v>
      </c>
      <c r="P15" s="84"/>
      <c r="Q15" s="186">
        <f>7/10</f>
        <v>0.7</v>
      </c>
      <c r="R15" s="187"/>
      <c r="S15" s="142"/>
      <c r="T15" s="142"/>
    </row>
    <row r="16" spans="1:20" s="43" customFormat="1" ht="15" customHeight="1" x14ac:dyDescent="0.25">
      <c r="A16" s="62"/>
      <c r="B16" s="47"/>
      <c r="C16" s="46"/>
      <c r="D16" s="181"/>
      <c r="E16" s="235" t="s">
        <v>330</v>
      </c>
      <c r="F16" s="235"/>
      <c r="G16" s="236"/>
      <c r="H16" s="79"/>
      <c r="I16" s="77"/>
      <c r="J16" s="77"/>
      <c r="K16" s="77"/>
      <c r="L16" s="77">
        <f>K14*Q16</f>
        <v>30956550</v>
      </c>
      <c r="M16" s="77"/>
      <c r="N16" s="50">
        <f>L16/I$7</f>
        <v>1.4978197906495823E-2</v>
      </c>
      <c r="O16" s="52">
        <f>L16/J$9</f>
        <v>1.4999970927049184E-2</v>
      </c>
      <c r="P16" s="84"/>
      <c r="Q16" s="186">
        <f>3/20</f>
        <v>0.15</v>
      </c>
      <c r="R16" s="187">
        <f>L16/L$16</f>
        <v>1</v>
      </c>
      <c r="S16" s="142"/>
      <c r="T16" s="142"/>
    </row>
    <row r="17" spans="1:20" s="43" customFormat="1" ht="15" customHeight="1" x14ac:dyDescent="0.25">
      <c r="A17" s="62"/>
      <c r="B17" s="181"/>
      <c r="C17" s="46"/>
      <c r="D17" s="181"/>
      <c r="E17" s="181"/>
      <c r="F17" s="235" t="s">
        <v>14</v>
      </c>
      <c r="G17" s="236"/>
      <c r="H17" s="79"/>
      <c r="I17" s="77"/>
      <c r="J17" s="77"/>
      <c r="K17" s="77"/>
      <c r="L17" s="77"/>
      <c r="M17" s="77">
        <f>ROUND(L16*R17,0)</f>
        <v>7739138</v>
      </c>
      <c r="N17" s="50">
        <f>M17/I$7</f>
        <v>3.7445497185468754E-3</v>
      </c>
      <c r="O17" s="52">
        <f>M17/J$9</f>
        <v>3.7499929740368856E-3</v>
      </c>
      <c r="P17" s="84"/>
      <c r="Q17" s="188">
        <f>M17/K$14</f>
        <v>3.7500002422750596E-2</v>
      </c>
      <c r="R17" s="189">
        <f>1/4</f>
        <v>0.25</v>
      </c>
    </row>
    <row r="18" spans="1:20" ht="15" customHeight="1" x14ac:dyDescent="0.25">
      <c r="A18" s="72"/>
      <c r="B18" s="181"/>
      <c r="C18" s="46"/>
      <c r="D18" s="181"/>
      <c r="E18" s="181"/>
      <c r="F18" s="235" t="s">
        <v>331</v>
      </c>
      <c r="G18" s="236"/>
      <c r="H18" s="79"/>
      <c r="I18" s="77"/>
      <c r="J18" s="77"/>
      <c r="K18" s="77"/>
      <c r="L18" s="77"/>
      <c r="M18" s="77">
        <f>ROUND(L16*R18,0)</f>
        <v>23217413</v>
      </c>
      <c r="N18" s="50">
        <f>M18/I$7</f>
        <v>1.1233648671794787E-2</v>
      </c>
      <c r="O18" s="52">
        <f>M18/J$9</f>
        <v>1.1249978437561477E-2</v>
      </c>
      <c r="P18" s="84"/>
      <c r="Q18" s="188">
        <f>M18/K$14</f>
        <v>0.1125000024227506</v>
      </c>
      <c r="R18" s="189">
        <f>3/4</f>
        <v>0.75</v>
      </c>
      <c r="S18" s="43"/>
      <c r="T18" s="43"/>
    </row>
    <row r="19" spans="1:20" ht="15" customHeight="1" x14ac:dyDescent="0.25">
      <c r="A19" s="72"/>
      <c r="B19" s="181"/>
      <c r="C19" s="46"/>
      <c r="D19" s="181"/>
      <c r="E19" s="235" t="s">
        <v>512</v>
      </c>
      <c r="F19" s="235"/>
      <c r="G19" s="236"/>
      <c r="H19" s="79"/>
      <c r="I19" s="77"/>
      <c r="J19" s="77"/>
      <c r="K19" s="77"/>
      <c r="L19" s="77">
        <f>K14*Q19</f>
        <v>30956550</v>
      </c>
      <c r="M19" s="77"/>
      <c r="N19" s="50">
        <f>L19/I$7</f>
        <v>1.4978197906495823E-2</v>
      </c>
      <c r="O19" s="52">
        <f>L19/J$9</f>
        <v>1.4999970927049184E-2</v>
      </c>
      <c r="P19" s="84"/>
      <c r="Q19" s="186">
        <f>3/20</f>
        <v>0.15</v>
      </c>
      <c r="R19" s="190"/>
      <c r="S19" s="43"/>
      <c r="T19" s="142"/>
    </row>
    <row r="20" spans="1:20" s="144" customFormat="1" ht="15" customHeight="1" x14ac:dyDescent="0.25">
      <c r="A20" s="72"/>
      <c r="B20" s="181"/>
      <c r="C20" s="46"/>
      <c r="D20" s="181"/>
      <c r="E20" s="181"/>
      <c r="F20" s="235" t="s">
        <v>510</v>
      </c>
      <c r="G20" s="236"/>
      <c r="H20" s="79"/>
      <c r="I20" s="77"/>
      <c r="J20" s="77"/>
      <c r="K20" s="77"/>
      <c r="L20" s="77"/>
      <c r="M20" s="77">
        <f>ROUND(L19*R20,0)</f>
        <v>23217413</v>
      </c>
      <c r="N20" s="50">
        <f>M20/I$7</f>
        <v>1.1233648671794787E-2</v>
      </c>
      <c r="O20" s="52">
        <f>M20/J$9</f>
        <v>1.1249978437561477E-2</v>
      </c>
      <c r="P20" s="84"/>
      <c r="Q20" s="191"/>
      <c r="R20" s="189">
        <f>3/4</f>
        <v>0.75</v>
      </c>
      <c r="S20" s="43"/>
      <c r="T20" s="142"/>
    </row>
    <row r="21" spans="1:20" s="144" customFormat="1" ht="15" customHeight="1" x14ac:dyDescent="0.25">
      <c r="A21" s="72"/>
      <c r="B21" s="181"/>
      <c r="C21" s="46"/>
      <c r="D21" s="181"/>
      <c r="E21" s="181"/>
      <c r="F21" s="235" t="s">
        <v>511</v>
      </c>
      <c r="G21" s="236"/>
      <c r="H21" s="79"/>
      <c r="I21" s="77"/>
      <c r="J21" s="77"/>
      <c r="K21" s="77"/>
      <c r="L21" s="77"/>
      <c r="M21" s="77">
        <f>ROUND(L19*R21,0)</f>
        <v>7739138</v>
      </c>
      <c r="N21" s="50">
        <f>M21/I$7</f>
        <v>3.7445497185468754E-3</v>
      </c>
      <c r="O21" s="52">
        <f>M21/J$9</f>
        <v>3.7499929740368856E-3</v>
      </c>
      <c r="P21" s="84"/>
      <c r="Q21" s="191"/>
      <c r="R21" s="189">
        <f>1/4</f>
        <v>0.25</v>
      </c>
      <c r="S21" s="43"/>
      <c r="T21" s="142"/>
    </row>
    <row r="22" spans="1:20" ht="15" customHeight="1" x14ac:dyDescent="0.25">
      <c r="A22" s="72"/>
      <c r="B22" s="181"/>
      <c r="C22" s="235" t="s">
        <v>155</v>
      </c>
      <c r="D22" s="235"/>
      <c r="E22" s="235"/>
      <c r="F22" s="235"/>
      <c r="G22" s="236"/>
      <c r="H22" s="79"/>
      <c r="I22" s="77"/>
      <c r="J22" s="77">
        <f>J8+H25</f>
        <v>2110735415</v>
      </c>
      <c r="K22" s="77"/>
      <c r="L22" s="77"/>
      <c r="M22" s="77"/>
      <c r="N22" s="50"/>
      <c r="O22" s="51"/>
      <c r="P22" s="85"/>
      <c r="Q22" s="51"/>
      <c r="R22" s="61"/>
      <c r="S22" s="43"/>
      <c r="T22" s="43"/>
    </row>
    <row r="23" spans="1:20" ht="15" customHeight="1" x14ac:dyDescent="0.25">
      <c r="A23" s="72"/>
      <c r="B23" s="181"/>
      <c r="C23" s="235" t="s">
        <v>431</v>
      </c>
      <c r="D23" s="235"/>
      <c r="E23" s="235"/>
      <c r="F23" s="235"/>
      <c r="G23" s="236"/>
      <c r="H23" s="79"/>
      <c r="I23" s="77"/>
      <c r="J23" s="77">
        <f>J8-H28</f>
        <v>2053774000</v>
      </c>
      <c r="K23" s="77">
        <f>K10+K13+K14-H28</f>
        <v>2053774000</v>
      </c>
      <c r="L23" s="77"/>
      <c r="M23" s="77"/>
      <c r="N23" s="50"/>
      <c r="O23" s="51"/>
      <c r="P23" s="85"/>
      <c r="Q23" s="51"/>
      <c r="R23" s="61"/>
      <c r="S23" s="43"/>
      <c r="T23" s="43"/>
    </row>
    <row r="24" spans="1:20" ht="15" customHeight="1" x14ac:dyDescent="0.25">
      <c r="A24" s="54"/>
      <c r="B24" s="44"/>
      <c r="C24" s="233" t="s">
        <v>432</v>
      </c>
      <c r="D24" s="233"/>
      <c r="E24" s="233"/>
      <c r="F24" s="233"/>
      <c r="G24" s="234"/>
      <c r="H24" s="77"/>
      <c r="I24" s="77"/>
      <c r="J24" s="77">
        <f>J8-H27-H28</f>
        <v>2040829000</v>
      </c>
      <c r="K24" s="77"/>
      <c r="L24" s="77">
        <f>L12+K13+K14</f>
        <v>2040829000</v>
      </c>
      <c r="M24" s="77"/>
      <c r="N24" s="50">
        <f>J24/I$7</f>
        <v>0.98744661970781522</v>
      </c>
      <c r="O24" s="110">
        <f>J24/J$9</f>
        <v>0.98888201905828832</v>
      </c>
      <c r="P24" s="81"/>
      <c r="Q24" s="81"/>
      <c r="R24" s="80"/>
      <c r="S24" s="43"/>
      <c r="T24" s="43"/>
    </row>
    <row r="25" spans="1:20" ht="15" customHeight="1" x14ac:dyDescent="0.25">
      <c r="A25" s="53"/>
      <c r="B25" s="48"/>
      <c r="C25" s="48"/>
      <c r="D25" s="48"/>
      <c r="E25" s="48"/>
      <c r="F25" s="237" t="s">
        <v>152</v>
      </c>
      <c r="G25" s="238"/>
      <c r="H25" s="87">
        <v>46961415</v>
      </c>
      <c r="I25" s="96"/>
      <c r="J25" s="96"/>
      <c r="K25" s="96"/>
      <c r="L25" s="96"/>
      <c r="M25" s="96"/>
      <c r="N25" s="63"/>
      <c r="O25" s="64"/>
      <c r="P25" s="64"/>
      <c r="Q25" s="64"/>
      <c r="R25" s="65"/>
      <c r="S25" s="43"/>
      <c r="T25" s="43"/>
    </row>
    <row r="26" spans="1:20" ht="15" customHeight="1" x14ac:dyDescent="0.25">
      <c r="A26" s="54"/>
      <c r="B26" s="44"/>
      <c r="C26" s="44"/>
      <c r="D26" s="44"/>
      <c r="E26" s="44"/>
      <c r="F26" s="235" t="s">
        <v>153</v>
      </c>
      <c r="G26" s="236"/>
      <c r="H26" s="86">
        <v>3000000</v>
      </c>
      <c r="I26" s="79"/>
      <c r="J26" s="79"/>
      <c r="K26" s="79"/>
      <c r="L26" s="79"/>
      <c r="M26" s="79"/>
      <c r="N26" s="67">
        <f>H26/I$7</f>
        <v>1.4515375169225082E-3</v>
      </c>
      <c r="O26" s="51"/>
      <c r="P26" s="51"/>
      <c r="Q26" s="51"/>
      <c r="R26" s="61"/>
      <c r="S26" s="43"/>
      <c r="T26" s="43"/>
    </row>
    <row r="27" spans="1:20" ht="15" customHeight="1" x14ac:dyDescent="0.25">
      <c r="A27" s="54"/>
      <c r="B27" s="44"/>
      <c r="C27" s="44"/>
      <c r="D27" s="44"/>
      <c r="E27" s="44"/>
      <c r="F27" s="235" t="s">
        <v>154</v>
      </c>
      <c r="G27" s="236"/>
      <c r="H27" s="86">
        <v>12945000</v>
      </c>
      <c r="I27" s="79"/>
      <c r="J27" s="79"/>
      <c r="K27" s="79"/>
      <c r="L27" s="79"/>
      <c r="M27" s="79"/>
      <c r="N27" s="67">
        <f>H27/I$7</f>
        <v>6.2633843855206227E-3</v>
      </c>
      <c r="O27" s="51">
        <f>H27/J$9</f>
        <v>6.2724891388301236E-3</v>
      </c>
      <c r="P27" s="51">
        <f>H27/K$10</f>
        <v>8.9606975292148509E-3</v>
      </c>
      <c r="Q27" s="51"/>
      <c r="R27" s="61"/>
      <c r="S27" s="43"/>
      <c r="T27" s="43"/>
    </row>
    <row r="28" spans="1:20" ht="15" customHeight="1" x14ac:dyDescent="0.25">
      <c r="A28" s="182"/>
      <c r="B28" s="45"/>
      <c r="C28" s="45"/>
      <c r="D28" s="45"/>
      <c r="E28" s="45"/>
      <c r="F28" s="233" t="s">
        <v>358</v>
      </c>
      <c r="G28" s="234"/>
      <c r="H28" s="183">
        <v>10000000</v>
      </c>
      <c r="I28" s="119"/>
      <c r="J28" s="119"/>
      <c r="K28" s="119"/>
      <c r="L28" s="119"/>
      <c r="M28" s="184"/>
      <c r="N28" s="68">
        <f>H28/I$7</f>
        <v>4.8384583897416941E-3</v>
      </c>
      <c r="O28" s="66">
        <f>H28/J$9</f>
        <v>4.8454918028815169E-3</v>
      </c>
      <c r="P28" s="66">
        <f>H28/K$10</f>
        <v>6.9221301886557363E-3</v>
      </c>
      <c r="Q28" s="66"/>
      <c r="R28" s="185"/>
      <c r="S28" s="43"/>
      <c r="T28" s="43"/>
    </row>
    <row r="29" spans="1:20" x14ac:dyDescent="0.25">
      <c r="A29" s="43" t="s">
        <v>557</v>
      </c>
    </row>
    <row r="30" spans="1:20" x14ac:dyDescent="0.25">
      <c r="C30" s="104"/>
      <c r="D30" s="104"/>
      <c r="E30" s="104"/>
      <c r="F30" s="104"/>
      <c r="G30" s="104"/>
      <c r="H30" s="104"/>
      <c r="I30" s="104"/>
      <c r="K30" s="104"/>
      <c r="L30" s="104"/>
      <c r="M30" s="104"/>
    </row>
    <row r="31" spans="1:20" x14ac:dyDescent="0.25">
      <c r="C31" s="104"/>
      <c r="D31" s="104"/>
      <c r="E31" s="104"/>
      <c r="F31" s="104"/>
      <c r="G31" s="104"/>
      <c r="H31" s="120"/>
      <c r="I31" s="121"/>
      <c r="J31" s="121"/>
      <c r="K31" s="121"/>
      <c r="L31" s="121"/>
      <c r="M31" s="121"/>
      <c r="N31" s="121"/>
      <c r="O31" s="121"/>
    </row>
    <row r="32" spans="1:20" x14ac:dyDescent="0.25">
      <c r="C32" s="104"/>
      <c r="D32" s="104"/>
      <c r="E32" s="104"/>
      <c r="F32" s="104"/>
      <c r="G32" s="104"/>
      <c r="H32" s="120"/>
      <c r="I32" s="121"/>
      <c r="J32" s="121"/>
      <c r="K32" s="121"/>
      <c r="L32" s="121"/>
      <c r="M32" s="121"/>
      <c r="N32" s="121"/>
      <c r="O32" s="121"/>
    </row>
    <row r="33" spans="8:15" x14ac:dyDescent="0.25">
      <c r="H33" s="120"/>
      <c r="I33" s="121"/>
      <c r="J33" s="121"/>
      <c r="K33" s="121"/>
      <c r="L33" s="121"/>
      <c r="M33" s="121"/>
      <c r="N33" s="121"/>
      <c r="O33" s="121"/>
    </row>
    <row r="34" spans="8:15" x14ac:dyDescent="0.25">
      <c r="H34" s="120"/>
      <c r="I34" s="121"/>
      <c r="J34" s="121"/>
      <c r="K34" s="121"/>
      <c r="L34" s="121"/>
      <c r="M34" s="121"/>
      <c r="N34" s="121"/>
      <c r="O34" s="2"/>
    </row>
    <row r="35" spans="8:15" x14ac:dyDescent="0.25">
      <c r="H35" s="120"/>
      <c r="I35" s="121"/>
      <c r="J35" s="121"/>
      <c r="K35" s="121"/>
      <c r="L35" s="121"/>
      <c r="M35" s="121"/>
      <c r="N35" s="121"/>
      <c r="O35" s="2"/>
    </row>
    <row r="36" spans="8:15" x14ac:dyDescent="0.25">
      <c r="H36" s="120"/>
      <c r="I36" s="121"/>
      <c r="J36" s="121"/>
      <c r="K36" s="121"/>
      <c r="L36" s="121"/>
      <c r="M36" s="121"/>
      <c r="N36" s="121"/>
      <c r="O36" s="2"/>
    </row>
    <row r="37" spans="8:15" x14ac:dyDescent="0.25">
      <c r="H37" s="120"/>
      <c r="I37" s="121"/>
      <c r="J37" s="121"/>
      <c r="K37" s="121"/>
      <c r="L37" s="121"/>
      <c r="M37" s="121"/>
      <c r="N37" s="121"/>
      <c r="O37" s="2"/>
    </row>
    <row r="38" spans="8:15" x14ac:dyDescent="0.25">
      <c r="H38" s="120"/>
      <c r="I38" s="121"/>
      <c r="J38" s="121"/>
      <c r="K38" s="121"/>
      <c r="L38" s="121"/>
      <c r="M38" s="121"/>
      <c r="N38" s="121"/>
      <c r="O38" s="144"/>
    </row>
    <row r="39" spans="8:15" x14ac:dyDescent="0.25">
      <c r="H39" s="120"/>
      <c r="I39" s="121"/>
      <c r="J39" s="121"/>
      <c r="K39" s="121"/>
      <c r="L39" s="121"/>
      <c r="M39" s="121"/>
      <c r="N39" s="121"/>
      <c r="O39" s="121"/>
    </row>
    <row r="40" spans="8:15" x14ac:dyDescent="0.25">
      <c r="H40" s="120"/>
      <c r="I40" s="121"/>
      <c r="J40" s="121"/>
      <c r="K40" s="121"/>
      <c r="L40" s="121"/>
      <c r="M40" s="121"/>
      <c r="N40" s="121"/>
      <c r="O40" s="121"/>
    </row>
    <row r="41" spans="8:15" x14ac:dyDescent="0.25">
      <c r="H41" s="120"/>
      <c r="I41" s="121"/>
      <c r="J41" s="121"/>
      <c r="K41" s="121"/>
      <c r="L41" s="121"/>
      <c r="M41" s="121"/>
      <c r="N41" s="121"/>
      <c r="O41" s="2"/>
    </row>
    <row r="42" spans="8:15" x14ac:dyDescent="0.25">
      <c r="H42" s="120"/>
      <c r="I42" s="121"/>
      <c r="J42" s="121"/>
      <c r="K42" s="121"/>
      <c r="L42" s="121"/>
      <c r="M42" s="121"/>
      <c r="N42" s="121"/>
      <c r="O42" s="2"/>
    </row>
    <row r="43" spans="8:15" x14ac:dyDescent="0.25">
      <c r="H43" s="120"/>
      <c r="I43" s="121"/>
      <c r="J43" s="121"/>
      <c r="K43" s="121"/>
      <c r="L43" s="121"/>
      <c r="M43" s="121"/>
      <c r="N43" s="121"/>
      <c r="O43" s="2"/>
    </row>
    <row r="44" spans="8:15" x14ac:dyDescent="0.25">
      <c r="H44" s="120"/>
      <c r="I44" s="121"/>
      <c r="J44" s="121"/>
      <c r="K44" s="121"/>
      <c r="L44" s="121"/>
      <c r="M44" s="121"/>
      <c r="N44" s="121"/>
      <c r="O44" s="2"/>
    </row>
    <row r="45" spans="8:15" x14ac:dyDescent="0.25">
      <c r="H45" s="120"/>
      <c r="I45" s="121"/>
      <c r="J45" s="121"/>
      <c r="K45" s="121"/>
      <c r="L45" s="121"/>
      <c r="M45" s="121"/>
      <c r="N45" s="121"/>
      <c r="O45" s="144"/>
    </row>
  </sheetData>
  <mergeCells count="23">
    <mergeCell ref="C23:G23"/>
    <mergeCell ref="C22:G22"/>
    <mergeCell ref="D13:G13"/>
    <mergeCell ref="D14:G14"/>
    <mergeCell ref="E15:G15"/>
    <mergeCell ref="E16:G16"/>
    <mergeCell ref="F17:G17"/>
    <mergeCell ref="F18:G18"/>
    <mergeCell ref="E19:G19"/>
    <mergeCell ref="F20:G20"/>
    <mergeCell ref="F21:G21"/>
    <mergeCell ref="E12:G12"/>
    <mergeCell ref="A6:G6"/>
    <mergeCell ref="B7:G7"/>
    <mergeCell ref="C9:G9"/>
    <mergeCell ref="D10:G10"/>
    <mergeCell ref="E11:G11"/>
    <mergeCell ref="C8:G8"/>
    <mergeCell ref="F28:G28"/>
    <mergeCell ref="F27:G27"/>
    <mergeCell ref="F26:G26"/>
    <mergeCell ref="F25:G25"/>
    <mergeCell ref="C24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>
    <tabColor theme="4" tint="0.59999389629810485"/>
  </sheetPr>
  <dimension ref="A1:AQ307"/>
  <sheetViews>
    <sheetView zoomScaleNormal="100" workbookViewId="0">
      <pane xSplit="2" ySplit="5" topLeftCell="AI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13.140625" defaultRowHeight="15" x14ac:dyDescent="0.25"/>
  <cols>
    <col min="1" max="1" width="11.5703125" style="3" hidden="1" customWidth="1"/>
    <col min="2" max="2" width="42.140625" style="3" customWidth="1"/>
    <col min="3" max="3" width="18.5703125" style="3" hidden="1" customWidth="1"/>
    <col min="4" max="5" width="16.42578125" style="3" hidden="1" customWidth="1"/>
    <col min="6" max="6" width="16.7109375" style="3" customWidth="1"/>
    <col min="7" max="7" width="12.140625" style="4" customWidth="1"/>
    <col min="8" max="8" width="11" style="3" customWidth="1"/>
    <col min="9" max="10" width="10.28515625" style="3" customWidth="1"/>
    <col min="11" max="11" width="12.28515625" style="3" customWidth="1"/>
    <col min="12" max="12" width="11.140625" style="3" customWidth="1"/>
    <col min="13" max="13" width="10.28515625" style="3" customWidth="1"/>
    <col min="14" max="14" width="12.28515625" style="3" customWidth="1"/>
    <col min="15" max="16" width="10.28515625" style="3" customWidth="1"/>
    <col min="17" max="17" width="12.28515625" style="3" customWidth="1"/>
    <col min="18" max="19" width="10.28515625" style="3" customWidth="1"/>
    <col min="20" max="20" width="12.28515625" style="3" customWidth="1"/>
    <col min="21" max="21" width="11.28515625" style="3" customWidth="1"/>
    <col min="22" max="22" width="10.28515625" style="3" customWidth="1"/>
    <col min="23" max="29" width="12.28515625" style="3" customWidth="1"/>
    <col min="30" max="30" width="10.28515625" style="3" customWidth="1"/>
    <col min="31" max="31" width="15.42578125" style="3" customWidth="1"/>
    <col min="32" max="32" width="18.7109375" style="3" customWidth="1"/>
    <col min="33" max="33" width="18.7109375" customWidth="1"/>
    <col min="34" max="34" width="18.7109375" style="3" customWidth="1"/>
    <col min="35" max="35" width="18.7109375" customWidth="1"/>
    <col min="36" max="36" width="18.7109375" style="144" customWidth="1"/>
    <col min="37" max="37" width="18.7109375" customWidth="1"/>
    <col min="38" max="38" width="21.85546875" style="3" customWidth="1"/>
    <col min="39" max="39" width="21.85546875" style="4" customWidth="1"/>
    <col min="40" max="40" width="21.85546875" style="3" customWidth="1"/>
    <col min="41" max="41" width="25.5703125" style="4" customWidth="1"/>
    <col min="42" max="43" width="25.5703125" style="3" customWidth="1"/>
    <col min="44" max="16384" width="13.140625" style="3"/>
  </cols>
  <sheetData>
    <row r="1" spans="1:43" ht="12.75" x14ac:dyDescent="0.2">
      <c r="A1" s="4"/>
      <c r="B1" s="91"/>
      <c r="D1" s="4"/>
      <c r="E1" s="4"/>
      <c r="F1" s="154"/>
      <c r="G1" s="5"/>
      <c r="L1" s="11"/>
      <c r="U1" s="4"/>
      <c r="AF1" s="5"/>
      <c r="AG1" s="5"/>
      <c r="AH1" s="163"/>
      <c r="AI1" s="163"/>
      <c r="AJ1" s="5"/>
      <c r="AK1" s="4"/>
      <c r="AL1" s="16"/>
      <c r="AM1" s="16"/>
      <c r="AN1" s="16"/>
      <c r="AO1" s="16"/>
    </row>
    <row r="2" spans="1:43" ht="53.25" customHeight="1" x14ac:dyDescent="0.2">
      <c r="A2" s="285" t="s">
        <v>324</v>
      </c>
      <c r="B2" s="285"/>
      <c r="C2" s="15"/>
      <c r="D2" s="15"/>
      <c r="E2" s="15"/>
      <c r="F2" s="256" t="s">
        <v>558</v>
      </c>
      <c r="G2" s="257"/>
      <c r="H2" s="257"/>
      <c r="I2" s="257"/>
      <c r="J2" s="286"/>
      <c r="K2" s="286"/>
      <c r="L2" s="286"/>
      <c r="M2" s="286"/>
      <c r="N2" s="286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6"/>
      <c r="AE2" s="288"/>
      <c r="AF2" s="291" t="s">
        <v>566</v>
      </c>
      <c r="AG2" s="291"/>
      <c r="AH2" s="291"/>
      <c r="AI2" s="291"/>
      <c r="AJ2" s="291"/>
      <c r="AK2" s="292"/>
      <c r="AL2" s="241" t="s">
        <v>567</v>
      </c>
      <c r="AM2" s="242"/>
      <c r="AN2" s="242"/>
      <c r="AO2" s="243"/>
      <c r="AP2" s="115" t="s">
        <v>419</v>
      </c>
      <c r="AQ2" s="297" t="s">
        <v>574</v>
      </c>
    </row>
    <row r="3" spans="1:43" s="6" customFormat="1" ht="15" customHeight="1" x14ac:dyDescent="0.2">
      <c r="A3" s="23"/>
      <c r="B3" s="23"/>
      <c r="C3" s="23"/>
      <c r="D3" s="23"/>
      <c r="E3" s="23"/>
      <c r="F3" s="258" t="s">
        <v>422</v>
      </c>
      <c r="G3" s="259"/>
      <c r="H3" s="259"/>
      <c r="I3" s="259"/>
      <c r="J3" s="259"/>
      <c r="K3" s="260"/>
      <c r="L3" s="258" t="s">
        <v>150</v>
      </c>
      <c r="M3" s="259"/>
      <c r="N3" s="260"/>
      <c r="O3" s="264" t="s">
        <v>328</v>
      </c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89"/>
      <c r="AD3" s="258" t="s">
        <v>13</v>
      </c>
      <c r="AE3" s="260"/>
      <c r="AF3" s="294" t="s">
        <v>514</v>
      </c>
      <c r="AG3" s="294" t="s">
        <v>515</v>
      </c>
      <c r="AH3" s="248" t="s">
        <v>516</v>
      </c>
      <c r="AI3" s="248" t="s">
        <v>542</v>
      </c>
      <c r="AJ3" s="248" t="s">
        <v>540</v>
      </c>
      <c r="AK3" s="248" t="s">
        <v>541</v>
      </c>
      <c r="AL3" s="246" t="s">
        <v>360</v>
      </c>
      <c r="AM3" s="244" t="s">
        <v>361</v>
      </c>
      <c r="AN3" s="245" t="s">
        <v>362</v>
      </c>
      <c r="AO3" s="247" t="s">
        <v>421</v>
      </c>
      <c r="AP3" s="295"/>
      <c r="AQ3" s="298"/>
    </row>
    <row r="4" spans="1:43" s="7" customFormat="1" ht="29.25" customHeight="1" x14ac:dyDescent="0.25">
      <c r="A4" s="24"/>
      <c r="B4" s="24"/>
      <c r="C4" s="24"/>
      <c r="D4" s="24"/>
      <c r="E4" s="24"/>
      <c r="F4" s="253" t="s">
        <v>162</v>
      </c>
      <c r="G4" s="254"/>
      <c r="H4" s="254"/>
      <c r="I4" s="254"/>
      <c r="J4" s="254"/>
      <c r="K4" s="255"/>
      <c r="L4" s="261" t="s">
        <v>163</v>
      </c>
      <c r="M4" s="262"/>
      <c r="N4" s="263"/>
      <c r="O4" s="262" t="s">
        <v>164</v>
      </c>
      <c r="P4" s="262"/>
      <c r="Q4" s="262"/>
      <c r="R4" s="249" t="s">
        <v>165</v>
      </c>
      <c r="S4" s="250"/>
      <c r="T4" s="251"/>
      <c r="U4" s="249" t="s">
        <v>329</v>
      </c>
      <c r="V4" s="250"/>
      <c r="W4" s="251"/>
      <c r="X4" s="249" t="s">
        <v>502</v>
      </c>
      <c r="Y4" s="250"/>
      <c r="Z4" s="251"/>
      <c r="AA4" s="249" t="s">
        <v>503</v>
      </c>
      <c r="AB4" s="250"/>
      <c r="AC4" s="251"/>
      <c r="AD4" s="261" t="s">
        <v>504</v>
      </c>
      <c r="AE4" s="263"/>
      <c r="AF4" s="294"/>
      <c r="AG4" s="294"/>
      <c r="AH4" s="248"/>
      <c r="AI4" s="248"/>
      <c r="AJ4" s="248"/>
      <c r="AK4" s="248"/>
      <c r="AL4" s="246"/>
      <c r="AM4" s="244"/>
      <c r="AN4" s="245"/>
      <c r="AO4" s="247"/>
      <c r="AP4" s="295"/>
      <c r="AQ4" s="298"/>
    </row>
    <row r="5" spans="1:43" s="6" customFormat="1" ht="50.25" customHeight="1" x14ac:dyDescent="0.2">
      <c r="A5" s="23" t="s">
        <v>323</v>
      </c>
      <c r="B5" s="25" t="s">
        <v>322</v>
      </c>
      <c r="C5" s="25" t="s">
        <v>333</v>
      </c>
      <c r="D5" s="25" t="s">
        <v>332</v>
      </c>
      <c r="E5" s="25" t="s">
        <v>374</v>
      </c>
      <c r="F5" s="70" t="s">
        <v>559</v>
      </c>
      <c r="G5" s="19" t="s">
        <v>456</v>
      </c>
      <c r="H5" s="18" t="s">
        <v>171</v>
      </c>
      <c r="I5" s="18" t="s">
        <v>169</v>
      </c>
      <c r="J5" s="18" t="s">
        <v>157</v>
      </c>
      <c r="K5" s="18" t="s">
        <v>425</v>
      </c>
      <c r="L5" s="20" t="s">
        <v>158</v>
      </c>
      <c r="M5" s="18" t="s">
        <v>159</v>
      </c>
      <c r="N5" s="22" t="s">
        <v>426</v>
      </c>
      <c r="O5" s="21" t="s">
        <v>160</v>
      </c>
      <c r="P5" s="18" t="s">
        <v>161</v>
      </c>
      <c r="Q5" s="21" t="s">
        <v>427</v>
      </c>
      <c r="R5" s="20" t="s">
        <v>166</v>
      </c>
      <c r="S5" s="18" t="s">
        <v>167</v>
      </c>
      <c r="T5" s="22" t="s">
        <v>428</v>
      </c>
      <c r="U5" s="20" t="s">
        <v>173</v>
      </c>
      <c r="V5" s="18" t="s">
        <v>172</v>
      </c>
      <c r="W5" s="169" t="s">
        <v>429</v>
      </c>
      <c r="X5" s="20" t="s">
        <v>505</v>
      </c>
      <c r="Y5" s="18" t="s">
        <v>168</v>
      </c>
      <c r="Z5" s="22" t="s">
        <v>430</v>
      </c>
      <c r="AA5" s="20" t="s">
        <v>520</v>
      </c>
      <c r="AB5" s="18" t="s">
        <v>506</v>
      </c>
      <c r="AC5" s="169" t="s">
        <v>507</v>
      </c>
      <c r="AD5" s="20" t="s">
        <v>508</v>
      </c>
      <c r="AE5" s="22" t="s">
        <v>509</v>
      </c>
      <c r="AF5" s="290" t="s">
        <v>560</v>
      </c>
      <c r="AG5" s="290" t="s">
        <v>561</v>
      </c>
      <c r="AH5" s="293" t="s">
        <v>562</v>
      </c>
      <c r="AI5" s="290" t="s">
        <v>563</v>
      </c>
      <c r="AJ5" s="290" t="s">
        <v>564</v>
      </c>
      <c r="AK5" s="290" t="s">
        <v>565</v>
      </c>
      <c r="AL5" s="102" t="s">
        <v>418</v>
      </c>
      <c r="AM5" s="102" t="s">
        <v>363</v>
      </c>
      <c r="AN5" s="102" t="s">
        <v>513</v>
      </c>
      <c r="AO5" s="98" t="s">
        <v>365</v>
      </c>
      <c r="AP5" s="296" t="s">
        <v>366</v>
      </c>
      <c r="AQ5" s="299" t="s">
        <v>575</v>
      </c>
    </row>
    <row r="6" spans="1:43" ht="12.75" x14ac:dyDescent="0.2">
      <c r="A6" s="4" t="s">
        <v>379</v>
      </c>
      <c r="B6" s="8" t="s">
        <v>380</v>
      </c>
      <c r="C6" s="8" t="s">
        <v>174</v>
      </c>
      <c r="D6" s="8" t="s">
        <v>326</v>
      </c>
      <c r="E6" s="8" t="s">
        <v>375</v>
      </c>
      <c r="F6" s="106">
        <v>2484</v>
      </c>
      <c r="G6" s="33">
        <v>3613</v>
      </c>
      <c r="H6" s="9">
        <f>IFERROR(VLOOKUP(Ohj.lask.[[#This Row],[Y-tunnus]],'2.1 Toteut. op.vuodet'!$A:$T,COLUMN('2.1 Toteut. op.vuodet'!S:S),FALSE),0)</f>
        <v>0.86023132647627942</v>
      </c>
      <c r="I6" s="74">
        <f t="shared" ref="I6:I37" si="0">IFERROR(ROUND(G6*H6,1),0)</f>
        <v>3108</v>
      </c>
      <c r="J6" s="10">
        <f>IFERROR(Ohj.lask.[[#This Row],[Painotetut opiskelija-vuodet]]/Ohj.lask.[[#Totals],[Painotetut opiskelija-vuodet]],0)</f>
        <v>1.5092800326330818E-2</v>
      </c>
      <c r="K6" s="11">
        <f>ROUND(IFERROR('1.1 Jakotaulu'!L$12*Ohj.lask.[[#This Row],[%-osuus 1]],0),0)</f>
        <v>21457389</v>
      </c>
      <c r="L6" s="139">
        <f>IFERROR(ROUND(VLOOKUP(Ohj.lask.[[#This Row],[Y-tunnus]],'2.2 Tutk. ja osien pain. pist.'!$A:$Q,COLUMN('2.2 Tutk. ja osien pain. pist.'!O:O),FALSE),1),0)</f>
        <v>350389.2</v>
      </c>
      <c r="M6" s="10">
        <f>IFERROR(Ohj.lask.[[#This Row],[Painotetut pisteet 2]]/Ohj.lask.[[#Totals],[Painotetut pisteet 2]],0)</f>
        <v>2.2247188434427374E-2</v>
      </c>
      <c r="N6" s="17">
        <f>ROUND(IFERROR('1.1 Jakotaulu'!K$13*Ohj.lask.[[#This Row],[%-osuus 2]],0),0)</f>
        <v>9182638</v>
      </c>
      <c r="O6" s="140">
        <f>IFERROR(ROUND(VLOOKUP(Ohj.lask.[[#This Row],[Y-tunnus]],'2.3 Työll. ja jatko-opisk.'!$A:$Y,COLUMN('2.3 Työll. ja jatko-opisk.'!L:L),FALSE),1),0)</f>
        <v>6688.4</v>
      </c>
      <c r="P6" s="10">
        <f>IFERROR(Ohj.lask.[[#This Row],[Painotetut pisteet 3]]/Ohj.lask.[[#Totals],[Painotetut pisteet 3]],0)</f>
        <v>1.9815984273780795E-2</v>
      </c>
      <c r="Q6" s="11">
        <f>ROUND(IFERROR('1.1 Jakotaulu'!L$15*Ohj.lask.[[#This Row],[%-osuus 3]],0),0)</f>
        <v>2862694</v>
      </c>
      <c r="R6" s="139">
        <f>IFERROR(ROUND(VLOOKUP(Ohj.lask.[[#This Row],[Y-tunnus]],'2.4 Aloittaneet palaute'!$A:$I,COLUMN('2.4 Aloittaneet palaute'!H:H),FALSE),1),0)</f>
        <v>57156.1</v>
      </c>
      <c r="S6" s="14">
        <f>IFERROR(Ohj.lask.[[#This Row],[Painotetut pisteet 4]]/Ohj.lask.[[#Totals],[Painotetut pisteet 4]],0)</f>
        <v>3.2873844570300736E-2</v>
      </c>
      <c r="T6" s="17">
        <f>ROUND(IFERROR('1.1 Jakotaulu'!M$17*Ohj.lask.[[#This Row],[%-osuus 4]],0),0)</f>
        <v>254415</v>
      </c>
      <c r="U6" s="139">
        <f>IFERROR(ROUND(VLOOKUP(Ohj.lask.[[#This Row],[Y-tunnus]],'2.5 Päättäneet palaute'!$A:$Y,COLUMN('2.5 Päättäneet palaute'!X:X),FALSE),1),0)</f>
        <v>423516.2</v>
      </c>
      <c r="V6" s="14">
        <f>IFERROR(Ohj.lask.[[#This Row],[Painotetut pisteet 5]]/Ohj.lask.[[#Totals],[Painotetut pisteet 5]],0)</f>
        <v>3.8165979885540671E-2</v>
      </c>
      <c r="W6" s="17">
        <f>ROUND(IFERROR('1.1 Jakotaulu'!M$18*Ohj.lask.[[#This Row],[%-osuus 5]],0),0)</f>
        <v>886115</v>
      </c>
      <c r="X6" s="139">
        <f>IFERROR(ROUND(VLOOKUP(Ohj.lask.[[#This Row],[Y-tunnus]],'2.6 Työpaikkaohjaajakysely'!A:I,COLUMN('2.6 Työpaikkaohjaajakysely'!H:H),FALSE),1),0)</f>
        <v>7349443.2999999998</v>
      </c>
      <c r="Y6" s="10">
        <f>IFERROR(Ohj.lask.[[#This Row],[Painotetut pisteet 6]]/Ohj.lask.[[#Totals],[Painotetut pisteet 6]],0)</f>
        <v>2.1416532206941296E-2</v>
      </c>
      <c r="Z6" s="17">
        <f>ROUND(IFERROR('1.1 Jakotaulu'!M$20*Ohj.lask.[[#This Row],[%-osuus 6]],0),0)</f>
        <v>497236</v>
      </c>
      <c r="AA6" s="139">
        <f>IFERROR(ROUND(VLOOKUP(Ohj.lask.[[#This Row],[Y-tunnus]],'2.7 Työpaikkakysely'!A:G,COLUMN('2.7 Työpaikkakysely'!F:F),FALSE),1),0)</f>
        <v>2513625.5</v>
      </c>
      <c r="AB6" s="10">
        <f>IFERROR(Ohj.lask.[[#This Row],[Pisteet 7]]/Ohj.lask.[[#Totals],[Pisteet 7]],0)</f>
        <v>1.2282635616864528E-2</v>
      </c>
      <c r="AC6" s="17">
        <f>ROUND(IFERROR('1.1 Jakotaulu'!M$21*Ohj.lask.[[#This Row],[%-osuus 7]],0),0)</f>
        <v>95057</v>
      </c>
      <c r="AD6" s="13">
        <f>IFERROR(Ohj.lask.[[#This Row],[Jaettava € 8]]/Ohj.lask.[[#Totals],[Jaettava € 8]],"")</f>
        <v>1.7265309317049136E-2</v>
      </c>
      <c r="AE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35235544</v>
      </c>
      <c r="AF6" s="103">
        <v>0</v>
      </c>
      <c r="AG6" s="103">
        <v>0</v>
      </c>
      <c r="AH6" s="107">
        <v>0</v>
      </c>
      <c r="AI6" s="33">
        <v>122000</v>
      </c>
      <c r="AJ6" s="107">
        <v>0</v>
      </c>
      <c r="AK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122000</v>
      </c>
      <c r="AL6" s="11">
        <f>Ohj.lask.[[#This Row],[Jaettava € 1]]+Ohj.lask.[[#This Row],[Harkinnanvarainen korotus yhteensä, €]]</f>
        <v>21579389</v>
      </c>
      <c r="AM6" s="103">
        <f>Ohj.lask.[[#This Row],[Jaettava € 2]]</f>
        <v>9182638</v>
      </c>
      <c r="AN6" s="11">
        <f>Ohj.lask.[[#This Row],[Jaettava € 3]]+Ohj.lask.[[#This Row],[Jaettava € 4]]+Ohj.lask.[[#This Row],[Jaettava € 5]]+Ohj.lask.[[#This Row],[Jaettava € 6]]+Ohj.lask.[[#This Row],[Jaettava € 7]]</f>
        <v>4595517</v>
      </c>
      <c r="AO6" s="34">
        <f>Ohj.lask.[[#This Row],[Jaettava € 8]]+Ohj.lask.[[#This Row],[Harkinnanvarainen korotus yhteensä, €]]</f>
        <v>35357544</v>
      </c>
      <c r="AP6" s="12">
        <v>2538424</v>
      </c>
      <c r="AQ6" s="34">
        <f>Ohj.lask.[[#This Row],[Perus-, suoritus- ja vaikuttavuusrahoitus yhteensä, €]]+Ohj.lask.[[#This Row],[Alv-korvaus, €]]</f>
        <v>37895968</v>
      </c>
    </row>
    <row r="7" spans="1:43" ht="12.75" x14ac:dyDescent="0.2">
      <c r="A7" s="4" t="s">
        <v>321</v>
      </c>
      <c r="B7" s="8" t="s">
        <v>15</v>
      </c>
      <c r="C7" s="8" t="s">
        <v>183</v>
      </c>
      <c r="D7" s="8" t="s">
        <v>326</v>
      </c>
      <c r="E7" s="8" t="s">
        <v>375</v>
      </c>
      <c r="F7" s="106">
        <v>329</v>
      </c>
      <c r="G7" s="33">
        <v>310</v>
      </c>
      <c r="H7" s="9">
        <f>IFERROR(VLOOKUP(Ohj.lask.[[#This Row],[Y-tunnus]],'2.1 Toteut. op.vuodet'!$A:$T,COLUMN('2.1 Toteut. op.vuodet'!S:S),FALSE),0)</f>
        <v>1.16612555670996</v>
      </c>
      <c r="I7" s="74">
        <f t="shared" si="0"/>
        <v>361.5</v>
      </c>
      <c r="J7" s="10">
        <f>IFERROR(Ohj.lask.[[#This Row],[Painotetut opiskelija-vuodet]]/Ohj.lask.[[#Totals],[Painotetut opiskelija-vuodet]],0)</f>
        <v>1.7554849800413741E-3</v>
      </c>
      <c r="K7" s="11">
        <f>ROUND(IFERROR('1.1 Jakotaulu'!L$12*Ohj.lask.[[#This Row],[%-osuus 1]],0),0)</f>
        <v>2495768</v>
      </c>
      <c r="L7" s="139">
        <f>IFERROR(ROUND(VLOOKUP(Ohj.lask.[[#This Row],[Y-tunnus]],'2.2 Tutk. ja osien pain. pist.'!$A:$Q,COLUMN('2.2 Tutk. ja osien pain. pist.'!O:O),FALSE),1),0)</f>
        <v>42771.9</v>
      </c>
      <c r="M7" s="10">
        <f>IFERROR(Ohj.lask.[[#This Row],[Painotetut pisteet 2]]/Ohj.lask.[[#Totals],[Painotetut pisteet 2]],0)</f>
        <v>2.7157073305869137E-3</v>
      </c>
      <c r="N7" s="17">
        <f>ROUND(IFERROR('1.1 Jakotaulu'!K$13*Ohj.lask.[[#This Row],[%-osuus 2]],0),0)</f>
        <v>1120922</v>
      </c>
      <c r="O7" s="140">
        <f>IFERROR(ROUND(VLOOKUP(Ohj.lask.[[#This Row],[Y-tunnus]],'2.3 Työll. ja jatko-opisk.'!$A:$Y,COLUMN('2.3 Työll. ja jatko-opisk.'!L:L),FALSE),1),0)</f>
        <v>669.1</v>
      </c>
      <c r="P7" s="10">
        <f>IFERROR(Ohj.lask.[[#This Row],[Painotetut pisteet 3]]/Ohj.lask.[[#Totals],[Painotetut pisteet 3]],0)</f>
        <v>1.9823687395470863E-3</v>
      </c>
      <c r="Q7" s="11">
        <f>ROUND(IFERROR('1.1 Jakotaulu'!L$15*Ohj.lask.[[#This Row],[%-osuus 3]],0),0)</f>
        <v>286381</v>
      </c>
      <c r="R7" s="139">
        <f>IFERROR(ROUND(VLOOKUP(Ohj.lask.[[#This Row],[Y-tunnus]],'2.4 Aloittaneet palaute'!$A:$I,COLUMN('2.4 Aloittaneet palaute'!H:H),FALSE),1),0)</f>
        <v>6105</v>
      </c>
      <c r="S7" s="14">
        <f>IFERROR(Ohj.lask.[[#This Row],[Painotetut pisteet 4]]/Ohj.lask.[[#Totals],[Painotetut pisteet 4]],0)</f>
        <v>3.5113456149332444E-3</v>
      </c>
      <c r="T7" s="17">
        <f>ROUND(IFERROR('1.1 Jakotaulu'!M$17*Ohj.lask.[[#This Row],[%-osuus 4]],0),0)</f>
        <v>27175</v>
      </c>
      <c r="U7" s="139">
        <f>IFERROR(ROUND(VLOOKUP(Ohj.lask.[[#This Row],[Y-tunnus]],'2.5 Päättäneet palaute'!$A:$Y,COLUMN('2.5 Päättäneet palaute'!X:X),FALSE),1),0)</f>
        <v>28172.1</v>
      </c>
      <c r="V7" s="14">
        <f>IFERROR(Ohj.lask.[[#This Row],[Painotetut pisteet 5]]/Ohj.lask.[[#Totals],[Painotetut pisteet 5]],0)</f>
        <v>2.5387831727179274E-3</v>
      </c>
      <c r="W7" s="17">
        <f>ROUND(IFERROR('1.1 Jakotaulu'!M$18*Ohj.lask.[[#This Row],[%-osuus 5]],0),0)</f>
        <v>58944</v>
      </c>
      <c r="X7" s="139">
        <f>IFERROR(ROUND(VLOOKUP(Ohj.lask.[[#This Row],[Y-tunnus]],'2.6 Työpaikkaohjaajakysely'!A:I,COLUMN('2.6 Työpaikkaohjaajakysely'!H:H),FALSE),1),0)</f>
        <v>489423.3</v>
      </c>
      <c r="Y7" s="10">
        <f>IFERROR(Ohj.lask.[[#This Row],[Painotetut pisteet 6]]/Ohj.lask.[[#Totals],[Painotetut pisteet 6]],0)</f>
        <v>1.4261964395694423E-3</v>
      </c>
      <c r="Z7" s="17">
        <f>ROUND(IFERROR('1.1 Jakotaulu'!M$20*Ohj.lask.[[#This Row],[%-osuus 6]],0),0)</f>
        <v>33113</v>
      </c>
      <c r="AA7" s="139">
        <f>IFERROR(ROUND(VLOOKUP(Ohj.lask.[[#This Row],[Y-tunnus]],'2.7 Työpaikkakysely'!A:G,COLUMN('2.7 Työpaikkakysely'!F:F),FALSE),1),0)</f>
        <v>352924</v>
      </c>
      <c r="AB7" s="10">
        <f>IFERROR(Ohj.lask.[[#This Row],[Pisteet 7]]/Ohj.lask.[[#Totals],[Pisteet 7]],0)</f>
        <v>1.724535692546999E-3</v>
      </c>
      <c r="AC7" s="17">
        <f>ROUND(IFERROR('1.1 Jakotaulu'!M$21*Ohj.lask.[[#This Row],[%-osuus 7]],0),0)</f>
        <v>13346</v>
      </c>
      <c r="AD7" s="13">
        <f>IFERROR(Ohj.lask.[[#This Row],[Jaettava € 8]]/Ohj.lask.[[#Totals],[Jaettava € 8]],"")</f>
        <v>1.9774557270930749E-3</v>
      </c>
      <c r="AE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4035649</v>
      </c>
      <c r="AF7" s="103">
        <v>0</v>
      </c>
      <c r="AG7" s="103">
        <v>0</v>
      </c>
      <c r="AH7" s="107">
        <v>0</v>
      </c>
      <c r="AI7" s="33">
        <v>4000</v>
      </c>
      <c r="AJ7" s="107">
        <v>0</v>
      </c>
      <c r="AK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7" s="11">
        <f>Ohj.lask.[[#This Row],[Jaettava € 1]]+Ohj.lask.[[#This Row],[Harkinnanvarainen korotus yhteensä, €]]</f>
        <v>2499768</v>
      </c>
      <c r="AM7" s="103">
        <f>Ohj.lask.[[#This Row],[Jaettava € 2]]</f>
        <v>1120922</v>
      </c>
      <c r="AN7" s="11">
        <f>Ohj.lask.[[#This Row],[Jaettava € 3]]+Ohj.lask.[[#This Row],[Jaettava € 4]]+Ohj.lask.[[#This Row],[Jaettava € 5]]+Ohj.lask.[[#This Row],[Jaettava € 6]]+Ohj.lask.[[#This Row],[Jaettava € 7]]</f>
        <v>418959</v>
      </c>
      <c r="AO7" s="34">
        <f>Ohj.lask.[[#This Row],[Jaettava € 8]]+Ohj.lask.[[#This Row],[Harkinnanvarainen korotus yhteensä, €]]</f>
        <v>4039649</v>
      </c>
      <c r="AP7" s="12">
        <v>171380</v>
      </c>
      <c r="AQ7" s="34">
        <f>Ohj.lask.[[#This Row],[Perus-, suoritus- ja vaikuttavuusrahoitus yhteensä, €]]+Ohj.lask.[[#This Row],[Alv-korvaus, €]]</f>
        <v>4211029</v>
      </c>
    </row>
    <row r="8" spans="1:43" ht="12.75" x14ac:dyDescent="0.2">
      <c r="A8" s="4" t="s">
        <v>320</v>
      </c>
      <c r="B8" s="8" t="s">
        <v>16</v>
      </c>
      <c r="C8" s="8" t="s">
        <v>183</v>
      </c>
      <c r="D8" s="8" t="s">
        <v>326</v>
      </c>
      <c r="E8" s="8" t="s">
        <v>375</v>
      </c>
      <c r="F8" s="106">
        <v>79</v>
      </c>
      <c r="G8" s="33">
        <v>103</v>
      </c>
      <c r="H8" s="9">
        <f>IFERROR(VLOOKUP(Ohj.lask.[[#This Row],[Y-tunnus]],'2.1 Toteut. op.vuodet'!$A:$T,COLUMN('2.1 Toteut. op.vuodet'!S:S),FALSE),0)</f>
        <v>6.2022294599925614</v>
      </c>
      <c r="I8" s="74">
        <f t="shared" si="0"/>
        <v>638.79999999999995</v>
      </c>
      <c r="J8" s="10">
        <f>IFERROR(Ohj.lask.[[#This Row],[Painotetut opiskelija-vuodet]]/Ohj.lask.[[#Totals],[Painotetut opiskelija-vuodet]],0)</f>
        <v>3.1020852150772603E-3</v>
      </c>
      <c r="K8" s="11">
        <f>ROUND(IFERROR('1.1 Jakotaulu'!L$12*Ohj.lask.[[#This Row],[%-osuus 1]],0),0)</f>
        <v>4410225</v>
      </c>
      <c r="L8" s="139">
        <f>IFERROR(ROUND(VLOOKUP(Ohj.lask.[[#This Row],[Y-tunnus]],'2.2 Tutk. ja osien pain. pist.'!$A:$Q,COLUMN('2.2 Tutk. ja osien pain. pist.'!O:O),FALSE),1),0)</f>
        <v>15567.6</v>
      </c>
      <c r="M8" s="10">
        <f>IFERROR(Ohj.lask.[[#This Row],[Painotetut pisteet 2]]/Ohj.lask.[[#Totals],[Painotetut pisteet 2]],0)</f>
        <v>9.8843038162075647E-4</v>
      </c>
      <c r="N8" s="17">
        <f>ROUND(IFERROR('1.1 Jakotaulu'!K$13*Ohj.lask.[[#This Row],[%-osuus 2]],0),0)</f>
        <v>407980</v>
      </c>
      <c r="O8" s="140">
        <f>IFERROR(ROUND(VLOOKUP(Ohj.lask.[[#This Row],[Y-tunnus]],'2.3 Työll. ja jatko-opisk.'!$A:$Y,COLUMN('2.3 Työll. ja jatko-opisk.'!L:L),FALSE),1),0)</f>
        <v>44</v>
      </c>
      <c r="P8" s="10">
        <f>IFERROR(Ohj.lask.[[#This Row],[Painotetut pisteet 3]]/Ohj.lask.[[#Totals],[Painotetut pisteet 3]],0)</f>
        <v>1.3036052090879059E-4</v>
      </c>
      <c r="Q8" s="11">
        <f>ROUND(IFERROR('1.1 Jakotaulu'!L$15*Ohj.lask.[[#This Row],[%-osuus 3]],0),0)</f>
        <v>18832</v>
      </c>
      <c r="R8" s="139">
        <f>IFERROR(ROUND(VLOOKUP(Ohj.lask.[[#This Row],[Y-tunnus]],'2.4 Aloittaneet palaute'!$A:$I,COLUMN('2.4 Aloittaneet palaute'!H:H),FALSE),1),0)</f>
        <v>368</v>
      </c>
      <c r="S8" s="14">
        <f>IFERROR(Ohj.lask.[[#This Row],[Painotetut pisteet 4]]/Ohj.lask.[[#Totals],[Painotetut pisteet 4]],0)</f>
        <v>2.1165850717369926E-4</v>
      </c>
      <c r="T8" s="17">
        <f>ROUND(IFERROR('1.1 Jakotaulu'!M$17*Ohj.lask.[[#This Row],[%-osuus 4]],0),0)</f>
        <v>1638</v>
      </c>
      <c r="U8" s="139">
        <f>IFERROR(ROUND(VLOOKUP(Ohj.lask.[[#This Row],[Y-tunnus]],'2.5 Päättäneet palaute'!$A:$Y,COLUMN('2.5 Päättäneet palaute'!X:X),FALSE),1),0)</f>
        <v>1786.4</v>
      </c>
      <c r="V8" s="14">
        <f>IFERROR(Ohj.lask.[[#This Row],[Painotetut pisteet 5]]/Ohj.lask.[[#Totals],[Painotetut pisteet 5]],0)</f>
        <v>1.6098488432680937E-4</v>
      </c>
      <c r="W8" s="17">
        <f>ROUND(IFERROR('1.1 Jakotaulu'!M$18*Ohj.lask.[[#This Row],[%-osuus 5]],0),0)</f>
        <v>3738</v>
      </c>
      <c r="X8" s="139">
        <f>IFERROR(ROUND(VLOOKUP(Ohj.lask.[[#This Row],[Y-tunnus]],'2.6 Työpaikkaohjaajakysely'!A:I,COLUMN('2.6 Työpaikkaohjaajakysely'!H:H),FALSE),1),0)</f>
        <v>30829.8</v>
      </c>
      <c r="Y8" s="10">
        <f>IFERROR(Ohj.lask.[[#This Row],[Painotetut pisteet 6]]/Ohj.lask.[[#Totals],[Painotetut pisteet 6]],0)</f>
        <v>8.9839104498371834E-5</v>
      </c>
      <c r="Z8" s="17">
        <f>ROUND(IFERROR('1.1 Jakotaulu'!M$20*Ohj.lask.[[#This Row],[%-osuus 6]],0),0)</f>
        <v>2086</v>
      </c>
      <c r="AA8" s="139">
        <f>IFERROR(ROUND(VLOOKUP(Ohj.lask.[[#This Row],[Y-tunnus]],'2.7 Työpaikkakysely'!A:G,COLUMN('2.7 Työpaikkakysely'!F:F),FALSE),1),0)</f>
        <v>12512</v>
      </c>
      <c r="AB8" s="10">
        <f>IFERROR(Ohj.lask.[[#This Row],[Pisteet 7]]/Ohj.lask.[[#Totals],[Pisteet 7]],0)</f>
        <v>6.1138915418469851E-5</v>
      </c>
      <c r="AC8" s="17">
        <f>ROUND(IFERROR('1.1 Jakotaulu'!M$21*Ohj.lask.[[#This Row],[%-osuus 7]],0),0)</f>
        <v>473</v>
      </c>
      <c r="AD8" s="13">
        <f>IFERROR(Ohj.lask.[[#This Row],[Jaettava € 8]]/Ohj.lask.[[#Totals],[Jaettava € 8]],"")</f>
        <v>2.3740215338364633E-3</v>
      </c>
      <c r="AE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4844972</v>
      </c>
      <c r="AF8" s="103">
        <v>0</v>
      </c>
      <c r="AG8" s="103">
        <v>0</v>
      </c>
      <c r="AH8" s="107">
        <v>0</v>
      </c>
      <c r="AI8" s="33">
        <v>0</v>
      </c>
      <c r="AJ8" s="107">
        <v>0</v>
      </c>
      <c r="AK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8" s="11">
        <f>Ohj.lask.[[#This Row],[Jaettava € 1]]+Ohj.lask.[[#This Row],[Harkinnanvarainen korotus yhteensä, €]]</f>
        <v>4410225</v>
      </c>
      <c r="AM8" s="103">
        <f>Ohj.lask.[[#This Row],[Jaettava € 2]]</f>
        <v>407980</v>
      </c>
      <c r="AN8" s="11">
        <f>Ohj.lask.[[#This Row],[Jaettava € 3]]+Ohj.lask.[[#This Row],[Jaettava € 4]]+Ohj.lask.[[#This Row],[Jaettava € 5]]+Ohj.lask.[[#This Row],[Jaettava € 6]]+Ohj.lask.[[#This Row],[Jaettava € 7]]</f>
        <v>26767</v>
      </c>
      <c r="AO8" s="34">
        <f>Ohj.lask.[[#This Row],[Jaettava € 8]]+Ohj.lask.[[#This Row],[Harkinnanvarainen korotus yhteensä, €]]</f>
        <v>4844972</v>
      </c>
      <c r="AP8" s="12">
        <v>154177</v>
      </c>
      <c r="AQ8" s="34">
        <f>Ohj.lask.[[#This Row],[Perus-, suoritus- ja vaikuttavuusrahoitus yhteensä, €]]+Ohj.lask.[[#This Row],[Alv-korvaus, €]]</f>
        <v>4999149</v>
      </c>
    </row>
    <row r="9" spans="1:43" ht="12.75" x14ac:dyDescent="0.2">
      <c r="A9" s="4" t="s">
        <v>487</v>
      </c>
      <c r="B9" s="8" t="s">
        <v>488</v>
      </c>
      <c r="C9" s="8" t="s">
        <v>174</v>
      </c>
      <c r="D9" s="8" t="s">
        <v>326</v>
      </c>
      <c r="E9" s="8" t="s">
        <v>375</v>
      </c>
      <c r="F9" s="106">
        <v>1462</v>
      </c>
      <c r="G9" s="33">
        <v>1771</v>
      </c>
      <c r="H9" s="9">
        <f>IFERROR(VLOOKUP(Ohj.lask.[[#This Row],[Y-tunnus]],'2.1 Toteut. op.vuodet'!$A:$T,COLUMN('2.1 Toteut. op.vuodet'!S:S),FALSE),0)</f>
        <v>5.3090192308603692</v>
      </c>
      <c r="I9" s="74">
        <f t="shared" si="0"/>
        <v>9402.2999999999993</v>
      </c>
      <c r="J9" s="10">
        <f>IFERROR(Ohj.lask.[[#This Row],[Painotetut opiskelija-vuodet]]/Ohj.lask.[[#Totals],[Painotetut opiskelija-vuodet]],0)</f>
        <v>4.5658634655167389E-2</v>
      </c>
      <c r="K9" s="11">
        <f>ROUND(IFERROR('1.1 Jakotaulu'!L$12*Ohj.lask.[[#This Row],[%-osuus 1]],0),0)</f>
        <v>64912744</v>
      </c>
      <c r="L9" s="139">
        <f>IFERROR(ROUND(VLOOKUP(Ohj.lask.[[#This Row],[Y-tunnus]],'2.2 Tutk. ja osien pain. pist.'!$A:$Q,COLUMN('2.2 Tutk. ja osien pain. pist.'!O:O),FALSE),1),0)</f>
        <v>333023.40000000002</v>
      </c>
      <c r="M9" s="10">
        <f>IFERROR(Ohj.lask.[[#This Row],[Painotetut pisteet 2]]/Ohj.lask.[[#Totals],[Painotetut pisteet 2]],0)</f>
        <v>2.1144585315054462E-2</v>
      </c>
      <c r="N9" s="17">
        <f>ROUND(IFERROR('1.1 Jakotaulu'!K$13*Ohj.lask.[[#This Row],[%-osuus 2]],0),0)</f>
        <v>8727533</v>
      </c>
      <c r="O9" s="140">
        <f>IFERROR(ROUND(VLOOKUP(Ohj.lask.[[#This Row],[Y-tunnus]],'2.3 Työll. ja jatko-opisk.'!$A:$Y,COLUMN('2.3 Työll. ja jatko-opisk.'!L:L),FALSE),1),0)</f>
        <v>1715.7</v>
      </c>
      <c r="P9" s="10">
        <f>IFERROR(Ohj.lask.[[#This Row],[Painotetut pisteet 3]]/Ohj.lask.[[#Totals],[Painotetut pisteet 3]],0)</f>
        <v>5.0831714937093642E-3</v>
      </c>
      <c r="Q9" s="11">
        <f>ROUND(IFERROR('1.1 Jakotaulu'!L$15*Ohj.lask.[[#This Row],[%-osuus 3]],0),0)</f>
        <v>734335</v>
      </c>
      <c r="R9" s="139">
        <f>IFERROR(ROUND(VLOOKUP(Ohj.lask.[[#This Row],[Y-tunnus]],'2.4 Aloittaneet palaute'!$A:$I,COLUMN('2.4 Aloittaneet palaute'!H:H),FALSE),1),0)</f>
        <v>8280.2000000000007</v>
      </c>
      <c r="S9" s="14">
        <f>IFERROR(Ohj.lask.[[#This Row],[Painotetut pisteet 4]]/Ohj.lask.[[#Totals],[Painotetut pisteet 4]],0)</f>
        <v>4.7624314432056104E-3</v>
      </c>
      <c r="T9" s="17">
        <f>ROUND(IFERROR('1.1 Jakotaulu'!M$17*Ohj.lask.[[#This Row],[%-osuus 4]],0),0)</f>
        <v>36857</v>
      </c>
      <c r="U9" s="139">
        <f>IFERROR(ROUND(VLOOKUP(Ohj.lask.[[#This Row],[Y-tunnus]],'2.5 Päättäneet palaute'!$A:$Y,COLUMN('2.5 Päättäneet palaute'!X:X),FALSE),1),0)</f>
        <v>54055.8</v>
      </c>
      <c r="V9" s="14">
        <f>IFERROR(Ohj.lask.[[#This Row],[Painotetut pisteet 5]]/Ohj.lask.[[#Totals],[Painotetut pisteet 5]],0)</f>
        <v>4.871342762087518E-3</v>
      </c>
      <c r="W9" s="17">
        <f>ROUND(IFERROR('1.1 Jakotaulu'!M$18*Ohj.lask.[[#This Row],[%-osuus 5]],0),0)</f>
        <v>113100</v>
      </c>
      <c r="X9" s="139">
        <f>IFERROR(ROUND(VLOOKUP(Ohj.lask.[[#This Row],[Y-tunnus]],'2.6 Työpaikkaohjaajakysely'!A:I,COLUMN('2.6 Työpaikkaohjaajakysely'!H:H),FALSE),1),0)</f>
        <v>1559396.7</v>
      </c>
      <c r="Y9" s="10">
        <f>IFERROR(Ohj.lask.[[#This Row],[Painotetut pisteet 6]]/Ohj.lask.[[#Totals],[Painotetut pisteet 6]],0)</f>
        <v>4.5441359686315252E-3</v>
      </c>
      <c r="Z9" s="17">
        <f>ROUND(IFERROR('1.1 Jakotaulu'!M$20*Ohj.lask.[[#This Row],[%-osuus 6]],0),0)</f>
        <v>105503</v>
      </c>
      <c r="AA9" s="139">
        <f>IFERROR(ROUND(VLOOKUP(Ohj.lask.[[#This Row],[Y-tunnus]],'2.7 Työpaikkakysely'!A:G,COLUMN('2.7 Työpaikkakysely'!F:F),FALSE),1),0)</f>
        <v>1043337</v>
      </c>
      <c r="AB9" s="10">
        <f>IFERROR(Ohj.lask.[[#This Row],[Pisteet 7]]/Ohj.lask.[[#Totals],[Pisteet 7]],0)</f>
        <v>5.0981851499328698E-3</v>
      </c>
      <c r="AC9" s="17">
        <f>ROUND(IFERROR('1.1 Jakotaulu'!M$21*Ohj.lask.[[#This Row],[%-osuus 7]],0),0)</f>
        <v>39456</v>
      </c>
      <c r="AD9" s="13">
        <f>IFERROR(Ohj.lask.[[#This Row],[Jaettava € 8]]/Ohj.lask.[[#Totals],[Jaettava € 8]],"")</f>
        <v>3.6587841455720437E-2</v>
      </c>
      <c r="AE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74669528</v>
      </c>
      <c r="AF9" s="103">
        <v>0</v>
      </c>
      <c r="AG9" s="103">
        <v>0</v>
      </c>
      <c r="AH9" s="107">
        <v>0</v>
      </c>
      <c r="AI9" s="33">
        <v>10000</v>
      </c>
      <c r="AJ9" s="107">
        <v>0</v>
      </c>
      <c r="AK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10000</v>
      </c>
      <c r="AL9" s="11">
        <f>Ohj.lask.[[#This Row],[Jaettava € 1]]+Ohj.lask.[[#This Row],[Harkinnanvarainen korotus yhteensä, €]]</f>
        <v>64922744</v>
      </c>
      <c r="AM9" s="103">
        <f>Ohj.lask.[[#This Row],[Jaettava € 2]]</f>
        <v>8727533</v>
      </c>
      <c r="AN9" s="11">
        <f>Ohj.lask.[[#This Row],[Jaettava € 3]]+Ohj.lask.[[#This Row],[Jaettava € 4]]+Ohj.lask.[[#This Row],[Jaettava € 5]]+Ohj.lask.[[#This Row],[Jaettava € 6]]+Ohj.lask.[[#This Row],[Jaettava € 7]]</f>
        <v>1029251</v>
      </c>
      <c r="AO9" s="34">
        <f>Ohj.lask.[[#This Row],[Jaettava € 8]]+Ohj.lask.[[#This Row],[Harkinnanvarainen korotus yhteensä, €]]</f>
        <v>74679528</v>
      </c>
      <c r="AP9" s="12">
        <v>4559866</v>
      </c>
      <c r="AQ9" s="34">
        <f>Ohj.lask.[[#This Row],[Perus-, suoritus- ja vaikuttavuusrahoitus yhteensä, €]]+Ohj.lask.[[#This Row],[Alv-korvaus, €]]</f>
        <v>79239394</v>
      </c>
    </row>
    <row r="10" spans="1:43" ht="12.75" x14ac:dyDescent="0.2">
      <c r="A10" s="4" t="s">
        <v>319</v>
      </c>
      <c r="B10" s="8" t="s">
        <v>17</v>
      </c>
      <c r="C10" s="8" t="s">
        <v>174</v>
      </c>
      <c r="D10" s="8" t="s">
        <v>326</v>
      </c>
      <c r="E10" s="8" t="s">
        <v>375</v>
      </c>
      <c r="F10" s="106">
        <v>986</v>
      </c>
      <c r="G10" s="33">
        <v>1185</v>
      </c>
      <c r="H10" s="9">
        <f>IFERROR(VLOOKUP(Ohj.lask.[[#This Row],[Y-tunnus]],'2.1 Toteut. op.vuodet'!$A:$T,COLUMN('2.1 Toteut. op.vuodet'!S:S),FALSE),0)</f>
        <v>5.4238050799699522</v>
      </c>
      <c r="I10" s="74">
        <f t="shared" si="0"/>
        <v>6427.2</v>
      </c>
      <c r="J10" s="10">
        <f>IFERROR(Ohj.lask.[[#This Row],[Painotetut opiskelija-vuodet]]/Ohj.lask.[[#Totals],[Painotetut opiskelija-vuodet]],0)</f>
        <v>3.121121179452813E-2</v>
      </c>
      <c r="K10" s="11">
        <f>ROUND(IFERROR('1.1 Jakotaulu'!L$12*Ohj.lask.[[#This Row],[%-osuus 1]],0),0)</f>
        <v>44372886</v>
      </c>
      <c r="L10" s="139">
        <f>IFERROR(ROUND(VLOOKUP(Ohj.lask.[[#This Row],[Y-tunnus]],'2.2 Tutk. ja osien pain. pist.'!$A:$Q,COLUMN('2.2 Tutk. ja osien pain. pist.'!O:O),FALSE),1),0)</f>
        <v>276312.40000000002</v>
      </c>
      <c r="M10" s="10">
        <f>IFERROR(Ohj.lask.[[#This Row],[Painotetut pisteet 2]]/Ohj.lask.[[#Totals],[Painotetut pisteet 2]],0)</f>
        <v>1.7543845613874145E-2</v>
      </c>
      <c r="N10" s="17">
        <f>ROUND(IFERROR('1.1 Jakotaulu'!K$13*Ohj.lask.[[#This Row],[%-osuus 2]],0),0)</f>
        <v>7241310</v>
      </c>
      <c r="O10" s="140">
        <f>IFERROR(ROUND(VLOOKUP(Ohj.lask.[[#This Row],[Y-tunnus]],'2.3 Työll. ja jatko-opisk.'!$A:$Y,COLUMN('2.3 Työll. ja jatko-opisk.'!L:L),FALSE),1),0)</f>
        <v>1046.7</v>
      </c>
      <c r="P10" s="10">
        <f>IFERROR(Ohj.lask.[[#This Row],[Painotetut pisteet 3]]/Ohj.lask.[[#Totals],[Painotetut pisteet 3]],0)</f>
        <v>3.1010990280734346E-3</v>
      </c>
      <c r="Q10" s="11">
        <f>ROUND(IFERROR('1.1 Jakotaulu'!L$15*Ohj.lask.[[#This Row],[%-osuus 3]],0),0)</f>
        <v>447997</v>
      </c>
      <c r="R10" s="139">
        <f>IFERROR(ROUND(VLOOKUP(Ohj.lask.[[#This Row],[Y-tunnus]],'2.4 Aloittaneet palaute'!$A:$I,COLUMN('2.4 Aloittaneet palaute'!H:H),FALSE),1),0)</f>
        <v>5906.3</v>
      </c>
      <c r="S10" s="14">
        <f>IFERROR(Ohj.lask.[[#This Row],[Painotetut pisteet 4]]/Ohj.lask.[[#Totals],[Painotetut pisteet 4]],0)</f>
        <v>3.3970615242391844E-3</v>
      </c>
      <c r="T10" s="17">
        <f>ROUND(IFERROR('1.1 Jakotaulu'!M$17*Ohj.lask.[[#This Row],[%-osuus 4]],0),0)</f>
        <v>26290</v>
      </c>
      <c r="U10" s="139">
        <f>IFERROR(ROUND(VLOOKUP(Ohj.lask.[[#This Row],[Y-tunnus]],'2.5 Päättäneet palaute'!$A:$Y,COLUMN('2.5 Päättäneet palaute'!X:X),FALSE),1),0)</f>
        <v>35265.199999999997</v>
      </c>
      <c r="V10" s="14">
        <f>IFERROR(Ohj.lask.[[#This Row],[Painotetut pisteet 5]]/Ohj.lask.[[#Totals],[Painotetut pisteet 5]],0)</f>
        <v>3.1779915711832719E-3</v>
      </c>
      <c r="W10" s="17">
        <f>ROUND(IFERROR('1.1 Jakotaulu'!M$18*Ohj.lask.[[#This Row],[%-osuus 5]],0),0)</f>
        <v>73785</v>
      </c>
      <c r="X10" s="139">
        <f>IFERROR(ROUND(VLOOKUP(Ohj.lask.[[#This Row],[Y-tunnus]],'2.6 Työpaikkaohjaajakysely'!A:I,COLUMN('2.6 Työpaikkaohjaajakysely'!H:H),FALSE),1),0)</f>
        <v>664738</v>
      </c>
      <c r="Y10" s="10">
        <f>IFERROR(Ohj.lask.[[#This Row],[Painotetut pisteet 6]]/Ohj.lask.[[#Totals],[Painotetut pisteet 6]],0)</f>
        <v>1.9370695445977172E-3</v>
      </c>
      <c r="Z10" s="17">
        <f>ROUND(IFERROR('1.1 Jakotaulu'!M$20*Ohj.lask.[[#This Row],[%-osuus 6]],0),0)</f>
        <v>44974</v>
      </c>
      <c r="AA10" s="139">
        <f>IFERROR(ROUND(VLOOKUP(Ohj.lask.[[#This Row],[Y-tunnus]],'2.7 Työpaikkakysely'!A:G,COLUMN('2.7 Työpaikkakysely'!F:F),FALSE),1),0)</f>
        <v>240507</v>
      </c>
      <c r="AB10" s="10">
        <f>IFERROR(Ohj.lask.[[#This Row],[Pisteet 7]]/Ohj.lask.[[#Totals],[Pisteet 7]],0)</f>
        <v>1.1752187604339775E-3</v>
      </c>
      <c r="AC10" s="17">
        <f>ROUND(IFERROR('1.1 Jakotaulu'!M$21*Ohj.lask.[[#This Row],[%-osuus 7]],0),0)</f>
        <v>9095</v>
      </c>
      <c r="AD10" s="13">
        <f>IFERROR(Ohj.lask.[[#This Row],[Jaettava € 8]]/Ohj.lask.[[#Totals],[Jaettava € 8]],"")</f>
        <v>2.5585846204283877E-2</v>
      </c>
      <c r="AE1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52216337</v>
      </c>
      <c r="AF10" s="103">
        <v>0</v>
      </c>
      <c r="AG10" s="103">
        <v>0</v>
      </c>
      <c r="AH10" s="107">
        <v>0</v>
      </c>
      <c r="AI10" s="33">
        <v>5000</v>
      </c>
      <c r="AJ10" s="107">
        <v>0</v>
      </c>
      <c r="AK1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5000</v>
      </c>
      <c r="AL10" s="11">
        <f>Ohj.lask.[[#This Row],[Jaettava € 1]]+Ohj.lask.[[#This Row],[Harkinnanvarainen korotus yhteensä, €]]</f>
        <v>44377886</v>
      </c>
      <c r="AM10" s="103">
        <f>Ohj.lask.[[#This Row],[Jaettava € 2]]</f>
        <v>7241310</v>
      </c>
      <c r="AN10" s="11">
        <f>Ohj.lask.[[#This Row],[Jaettava € 3]]+Ohj.lask.[[#This Row],[Jaettava € 4]]+Ohj.lask.[[#This Row],[Jaettava € 5]]+Ohj.lask.[[#This Row],[Jaettava € 6]]+Ohj.lask.[[#This Row],[Jaettava € 7]]</f>
        <v>602141</v>
      </c>
      <c r="AO10" s="34">
        <f>Ohj.lask.[[#This Row],[Jaettava € 8]]+Ohj.lask.[[#This Row],[Harkinnanvarainen korotus yhteensä, €]]</f>
        <v>52221337</v>
      </c>
      <c r="AP10" s="12">
        <v>3258865</v>
      </c>
      <c r="AQ10" s="34">
        <f>Ohj.lask.[[#This Row],[Perus-, suoritus- ja vaikuttavuusrahoitus yhteensä, €]]+Ohj.lask.[[#This Row],[Alv-korvaus, €]]</f>
        <v>55480202</v>
      </c>
    </row>
    <row r="11" spans="1:43" ht="12.75" x14ac:dyDescent="0.2">
      <c r="A11" s="4" t="s">
        <v>317</v>
      </c>
      <c r="B11" s="8" t="s">
        <v>493</v>
      </c>
      <c r="C11" s="97" t="s">
        <v>174</v>
      </c>
      <c r="D11" s="97" t="s">
        <v>326</v>
      </c>
      <c r="E11" s="97" t="s">
        <v>375</v>
      </c>
      <c r="F11" s="105">
        <v>68</v>
      </c>
      <c r="G11" s="33">
        <v>64</v>
      </c>
      <c r="H11" s="9">
        <f>IFERROR(VLOOKUP(Ohj.lask.[[#This Row],[Y-tunnus]],'2.1 Toteut. op.vuodet'!$A:$T,COLUMN('2.1 Toteut. op.vuodet'!S:S),FALSE),0)</f>
        <v>0.72571483245304758</v>
      </c>
      <c r="I11" s="74">
        <f t="shared" si="0"/>
        <v>46.4</v>
      </c>
      <c r="J11" s="10">
        <f>IFERROR(Ohj.lask.[[#This Row],[Painotetut opiskelija-vuodet]]/Ohj.lask.[[#Totals],[Painotetut opiskelija-vuodet]],0)</f>
        <v>2.2532365995551801E-4</v>
      </c>
      <c r="K11" s="11">
        <f>ROUND(IFERROR('1.1 Jakotaulu'!L$12*Ohj.lask.[[#This Row],[%-osuus 1]],0),0)</f>
        <v>320342</v>
      </c>
      <c r="L11" s="139">
        <f>IFERROR(ROUND(VLOOKUP(Ohj.lask.[[#This Row],[Y-tunnus]],'2.2 Tutk. ja osien pain. pist.'!$A:$Q,COLUMN('2.2 Tutk. ja osien pain. pist.'!O:O),FALSE),1),0)</f>
        <v>6266.5</v>
      </c>
      <c r="M11" s="10">
        <f>IFERROR(Ohj.lask.[[#This Row],[Painotetut pisteet 2]]/Ohj.lask.[[#Totals],[Painotetut pisteet 2]],0)</f>
        <v>3.9787757820257912E-4</v>
      </c>
      <c r="N11" s="17">
        <f>ROUND(IFERROR('1.1 Jakotaulu'!K$13*Ohj.lask.[[#This Row],[%-osuus 2]],0),0)</f>
        <v>164226</v>
      </c>
      <c r="O11" s="140">
        <f>IFERROR(ROUND(VLOOKUP(Ohj.lask.[[#This Row],[Y-tunnus]],'2.3 Työll. ja jatko-opisk.'!$A:$Y,COLUMN('2.3 Työll. ja jatko-opisk.'!L:L),FALSE),1),0)</f>
        <v>187.4</v>
      </c>
      <c r="P11" s="14">
        <f>IFERROR(Ohj.lask.[[#This Row],[Painotetut pisteet 3]]/Ohj.lask.[[#Totals],[Painotetut pisteet 3]],0)</f>
        <v>5.5521730950698546E-4</v>
      </c>
      <c r="Q11" s="11">
        <f>ROUND(IFERROR('1.1 Jakotaulu'!L$15*Ohj.lask.[[#This Row],[%-osuus 3]],0),0)</f>
        <v>80209</v>
      </c>
      <c r="R11" s="139">
        <f>IFERROR(ROUND(VLOOKUP(Ohj.lask.[[#This Row],[Y-tunnus]],'2.4 Aloittaneet palaute'!$A:$I,COLUMN('2.4 Aloittaneet palaute'!H:H),FALSE),1),0)</f>
        <v>2654.9</v>
      </c>
      <c r="S11" s="14">
        <f>IFERROR(Ohj.lask.[[#This Row],[Painotetut pisteet 4]]/Ohj.lask.[[#Totals],[Painotetut pisteet 4]],0)</f>
        <v>1.5269895942811255E-3</v>
      </c>
      <c r="T11" s="17">
        <f>ROUND(IFERROR('1.1 Jakotaulu'!M$17*Ohj.lask.[[#This Row],[%-osuus 4]],0),0)</f>
        <v>11818</v>
      </c>
      <c r="U11" s="139">
        <f>IFERROR(ROUND(VLOOKUP(Ohj.lask.[[#This Row],[Y-tunnus]],'2.5 Päättäneet palaute'!$A:$Y,COLUMN('2.5 Päättäneet palaute'!X:X),FALSE),1),0)</f>
        <v>13131.2</v>
      </c>
      <c r="V11" s="14">
        <f>IFERROR(Ohj.lask.[[#This Row],[Painotetut pisteet 5]]/Ohj.lask.[[#Totals],[Painotetut pisteet 5]],0)</f>
        <v>1.183343435441222E-3</v>
      </c>
      <c r="W11" s="17">
        <f>ROUND(IFERROR('1.1 Jakotaulu'!M$18*Ohj.lask.[[#This Row],[%-osuus 5]],0),0)</f>
        <v>27474</v>
      </c>
      <c r="X11" s="139">
        <f>IFERROR(ROUND(VLOOKUP(Ohj.lask.[[#This Row],[Y-tunnus]],'2.6 Työpaikkaohjaajakysely'!A:I,COLUMN('2.6 Työpaikkaohjaajakysely'!H:H),FALSE),1),0)</f>
        <v>379666</v>
      </c>
      <c r="Y11" s="10">
        <f>IFERROR(Ohj.lask.[[#This Row],[Painotetut pisteet 6]]/Ohj.lask.[[#Totals],[Painotetut pisteet 6]],0)</f>
        <v>1.1063598676760422E-3</v>
      </c>
      <c r="Z11" s="17">
        <f>ROUND(IFERROR('1.1 Jakotaulu'!M$20*Ohj.lask.[[#This Row],[%-osuus 6]],0),0)</f>
        <v>25687</v>
      </c>
      <c r="AA11" s="139">
        <f>IFERROR(ROUND(VLOOKUP(Ohj.lask.[[#This Row],[Y-tunnus]],'2.7 Työpaikkakysely'!A:G,COLUMN('2.7 Työpaikkakysely'!F:F),FALSE),1),0)</f>
        <v>124794</v>
      </c>
      <c r="AB11" s="10">
        <f>IFERROR(Ohj.lask.[[#This Row],[Pisteet 7]]/Ohj.lask.[[#Totals],[Pisteet 7]],0)</f>
        <v>6.0979618052529774E-4</v>
      </c>
      <c r="AC11" s="17">
        <f>ROUND(IFERROR('1.1 Jakotaulu'!M$21*Ohj.lask.[[#This Row],[%-osuus 7]],0),0)</f>
        <v>4719</v>
      </c>
      <c r="AD11" s="13">
        <f>IFERROR(Ohj.lask.[[#This Row],[Jaettava € 8]]/Ohj.lask.[[#Totals],[Jaettava € 8]],"")</f>
        <v>3.1089081891100506E-4</v>
      </c>
      <c r="AE1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634475</v>
      </c>
      <c r="AF11" s="103">
        <v>0</v>
      </c>
      <c r="AG11" s="103">
        <v>0</v>
      </c>
      <c r="AH11" s="107">
        <v>0</v>
      </c>
      <c r="AI11" s="33">
        <v>4000</v>
      </c>
      <c r="AJ11" s="107">
        <v>0</v>
      </c>
      <c r="AK1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11" s="11">
        <f>Ohj.lask.[[#This Row],[Jaettava € 1]]+Ohj.lask.[[#This Row],[Harkinnanvarainen korotus yhteensä, €]]</f>
        <v>324342</v>
      </c>
      <c r="AM11" s="103">
        <f>Ohj.lask.[[#This Row],[Jaettava € 2]]</f>
        <v>164226</v>
      </c>
      <c r="AN11" s="11">
        <f>Ohj.lask.[[#This Row],[Jaettava € 3]]+Ohj.lask.[[#This Row],[Jaettava € 4]]+Ohj.lask.[[#This Row],[Jaettava € 5]]+Ohj.lask.[[#This Row],[Jaettava € 6]]+Ohj.lask.[[#This Row],[Jaettava € 7]]</f>
        <v>149907</v>
      </c>
      <c r="AO11" s="34">
        <f>Ohj.lask.[[#This Row],[Jaettava € 8]]+Ohj.lask.[[#This Row],[Harkinnanvarainen korotus yhteensä, €]]</f>
        <v>638475</v>
      </c>
      <c r="AP11" s="12">
        <v>30985</v>
      </c>
      <c r="AQ11" s="34">
        <f>Ohj.lask.[[#This Row],[Perus-, suoritus- ja vaikuttavuusrahoitus yhteensä, €]]+Ohj.lask.[[#This Row],[Alv-korvaus, €]]</f>
        <v>669460</v>
      </c>
    </row>
    <row r="12" spans="1:43" ht="12.75" x14ac:dyDescent="0.2">
      <c r="A12" s="4" t="s">
        <v>316</v>
      </c>
      <c r="B12" s="8" t="s">
        <v>19</v>
      </c>
      <c r="C12" s="8" t="s">
        <v>174</v>
      </c>
      <c r="D12" s="8" t="s">
        <v>326</v>
      </c>
      <c r="E12" s="8" t="s">
        <v>376</v>
      </c>
      <c r="F12" s="106">
        <v>1592</v>
      </c>
      <c r="G12" s="33">
        <v>1618</v>
      </c>
      <c r="H12" s="9">
        <f>IFERROR(VLOOKUP(Ohj.lask.[[#This Row],[Y-tunnus]],'2.1 Toteut. op.vuodet'!$A:$T,COLUMN('2.1 Toteut. op.vuodet'!S:S),FALSE),0)</f>
        <v>1.1104286490125344</v>
      </c>
      <c r="I12" s="74">
        <f t="shared" si="0"/>
        <v>1796.7</v>
      </c>
      <c r="J12" s="10">
        <f>IFERROR(Ohj.lask.[[#This Row],[Painotetut opiskelija-vuodet]]/Ohj.lask.[[#Totals],[Painotetut opiskelija-vuodet]],0)</f>
        <v>8.7249788759068796E-3</v>
      </c>
      <c r="K12" s="11">
        <f>ROUND(IFERROR('1.1 Jakotaulu'!L$12*Ohj.lask.[[#This Row],[%-osuus 1]],0),0)</f>
        <v>12404276</v>
      </c>
      <c r="L12" s="139">
        <f>IFERROR(ROUND(VLOOKUP(Ohj.lask.[[#This Row],[Y-tunnus]],'2.2 Tutk. ja osien pain. pist.'!$A:$Q,COLUMN('2.2 Tutk. ja osien pain. pist.'!O:O),FALSE),1),0)</f>
        <v>153516.1</v>
      </c>
      <c r="M12" s="10">
        <f>IFERROR(Ohj.lask.[[#This Row],[Painotetut pisteet 2]]/Ohj.lask.[[#Totals],[Painotetut pisteet 2]],0)</f>
        <v>9.7471657357544022E-3</v>
      </c>
      <c r="N12" s="17">
        <f>ROUND(IFERROR('1.1 Jakotaulu'!K$13*Ohj.lask.[[#This Row],[%-osuus 2]],0),0)</f>
        <v>4023191</v>
      </c>
      <c r="O12" s="140">
        <f>IFERROR(ROUND(VLOOKUP(Ohj.lask.[[#This Row],[Y-tunnus]],'2.3 Työll. ja jatko-opisk.'!$A:$Y,COLUMN('2.3 Työll. ja jatko-opisk.'!L:L),FALSE),1),0)</f>
        <v>3221.7</v>
      </c>
      <c r="P12" s="10">
        <f>IFERROR(Ohj.lask.[[#This Row],[Painotetut pisteet 3]]/Ohj.lask.[[#Totals],[Painotetut pisteet 3]],0)</f>
        <v>9.5450565957238779E-3</v>
      </c>
      <c r="Q12" s="11">
        <f>ROUND(IFERROR('1.1 Jakotaulu'!L$15*Ohj.lask.[[#This Row],[%-osuus 3]],0),0)</f>
        <v>1378916</v>
      </c>
      <c r="R12" s="139">
        <f>IFERROR(ROUND(VLOOKUP(Ohj.lask.[[#This Row],[Y-tunnus]],'2.4 Aloittaneet palaute'!$A:$I,COLUMN('2.4 Aloittaneet palaute'!H:H),FALSE),1),0)</f>
        <v>14802.6</v>
      </c>
      <c r="S12" s="14">
        <f>IFERROR(Ohj.lask.[[#This Row],[Painotetut pisteet 4]]/Ohj.lask.[[#Totals],[Painotetut pisteet 4]],0)</f>
        <v>8.513848419264676E-3</v>
      </c>
      <c r="T12" s="17">
        <f>ROUND(IFERROR('1.1 Jakotaulu'!M$17*Ohj.lask.[[#This Row],[%-osuus 4]],0),0)</f>
        <v>65890</v>
      </c>
      <c r="U12" s="139">
        <f>IFERROR(ROUND(VLOOKUP(Ohj.lask.[[#This Row],[Y-tunnus]],'2.5 Päättäneet palaute'!$A:$Y,COLUMN('2.5 Päättäneet palaute'!X:X),FALSE),1),0)</f>
        <v>104676.4</v>
      </c>
      <c r="V12" s="14">
        <f>IFERROR(Ohj.lask.[[#This Row],[Painotetut pisteet 5]]/Ohj.lask.[[#Totals],[Painotetut pisteet 5]],0)</f>
        <v>9.4331158451336911E-3</v>
      </c>
      <c r="W12" s="17">
        <f>ROUND(IFERROR('1.1 Jakotaulu'!M$18*Ohj.lask.[[#This Row],[%-osuus 5]],0),0)</f>
        <v>219013</v>
      </c>
      <c r="X12" s="139">
        <f>IFERROR(ROUND(VLOOKUP(Ohj.lask.[[#This Row],[Y-tunnus]],'2.6 Työpaikkaohjaajakysely'!A:I,COLUMN('2.6 Työpaikkaohjaajakysely'!H:H),FALSE),1),0)</f>
        <v>1769482</v>
      </c>
      <c r="Y12" s="10">
        <f>IFERROR(Ohj.lask.[[#This Row],[Painotetut pisteet 6]]/Ohj.lask.[[#Totals],[Painotetut pisteet 6]],0)</f>
        <v>5.1563318057849224E-3</v>
      </c>
      <c r="Z12" s="17">
        <f>ROUND(IFERROR('1.1 Jakotaulu'!M$20*Ohj.lask.[[#This Row],[%-osuus 6]],0),0)</f>
        <v>119717</v>
      </c>
      <c r="AA12" s="139">
        <f>IFERROR(ROUND(VLOOKUP(Ohj.lask.[[#This Row],[Y-tunnus]],'2.7 Työpaikkakysely'!A:G,COLUMN('2.7 Työpaikkakysely'!F:F),FALSE),1),0)</f>
        <v>902721</v>
      </c>
      <c r="AB12" s="10">
        <f>IFERROR(Ohj.lask.[[#This Row],[Pisteet 7]]/Ohj.lask.[[#Totals],[Pisteet 7]],0)</f>
        <v>4.4110759962816912E-3</v>
      </c>
      <c r="AC12" s="17">
        <f>ROUND(IFERROR('1.1 Jakotaulu'!M$21*Ohj.lask.[[#This Row],[%-osuus 7]],0),0)</f>
        <v>34138</v>
      </c>
      <c r="AD12" s="13">
        <f>IFERROR(Ohj.lask.[[#This Row],[Jaettava € 8]]/Ohj.lask.[[#Totals],[Jaettava € 8]],"")</f>
        <v>8.9400635590634048E-3</v>
      </c>
      <c r="AE1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18245141</v>
      </c>
      <c r="AF12" s="103">
        <v>0</v>
      </c>
      <c r="AG12" s="103">
        <v>0</v>
      </c>
      <c r="AH12" s="107">
        <v>0</v>
      </c>
      <c r="AI12" s="33">
        <v>17000</v>
      </c>
      <c r="AJ12" s="107">
        <v>0</v>
      </c>
      <c r="AK1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17000</v>
      </c>
      <c r="AL12" s="11">
        <f>Ohj.lask.[[#This Row],[Jaettava € 1]]+Ohj.lask.[[#This Row],[Harkinnanvarainen korotus yhteensä, €]]</f>
        <v>12421276</v>
      </c>
      <c r="AM12" s="103">
        <f>Ohj.lask.[[#This Row],[Jaettava € 2]]</f>
        <v>4023191</v>
      </c>
      <c r="AN12" s="11">
        <f>Ohj.lask.[[#This Row],[Jaettava € 3]]+Ohj.lask.[[#This Row],[Jaettava € 4]]+Ohj.lask.[[#This Row],[Jaettava € 5]]+Ohj.lask.[[#This Row],[Jaettava € 6]]+Ohj.lask.[[#This Row],[Jaettava € 7]]</f>
        <v>1817674</v>
      </c>
      <c r="AO12" s="34">
        <f>Ohj.lask.[[#This Row],[Jaettava € 8]]+Ohj.lask.[[#This Row],[Harkinnanvarainen korotus yhteensä, €]]</f>
        <v>18262141</v>
      </c>
      <c r="AP12" s="12">
        <v>1410781</v>
      </c>
      <c r="AQ12" s="34">
        <f>Ohj.lask.[[#This Row],[Perus-, suoritus- ja vaikuttavuusrahoitus yhteensä, €]]+Ohj.lask.[[#This Row],[Alv-korvaus, €]]</f>
        <v>19672922</v>
      </c>
    </row>
    <row r="13" spans="1:43" ht="12.75" x14ac:dyDescent="0.2">
      <c r="A13" s="4" t="s">
        <v>175</v>
      </c>
      <c r="B13" s="8" t="s">
        <v>148</v>
      </c>
      <c r="C13" s="8" t="s">
        <v>174</v>
      </c>
      <c r="D13" s="8" t="s">
        <v>326</v>
      </c>
      <c r="E13" s="8" t="s">
        <v>377</v>
      </c>
      <c r="F13" s="106">
        <v>2494</v>
      </c>
      <c r="G13" s="33">
        <v>2846</v>
      </c>
      <c r="H13" s="9">
        <f>IFERROR(VLOOKUP(Ohj.lask.[[#This Row],[Y-tunnus]],'2.1 Toteut. op.vuodet'!$A:$T,COLUMN('2.1 Toteut. op.vuodet'!S:S),FALSE),0)</f>
        <v>0.99401783430094359</v>
      </c>
      <c r="I13" s="74">
        <f t="shared" si="0"/>
        <v>2829</v>
      </c>
      <c r="J13" s="10">
        <f>IFERROR(Ohj.lask.[[#This Row],[Painotetut opiskelija-vuodet]]/Ohj.lask.[[#Totals],[Painotetut opiskelija-vuodet]],0)</f>
        <v>1.3737944698581044E-2</v>
      </c>
      <c r="K13" s="11">
        <f>ROUND(IFERROR('1.1 Jakotaulu'!L$12*Ohj.lask.[[#This Row],[%-osuus 1]],0),0)</f>
        <v>19531195</v>
      </c>
      <c r="L13" s="139">
        <f>IFERROR(ROUND(VLOOKUP(Ohj.lask.[[#This Row],[Y-tunnus]],'2.2 Tutk. ja osien pain. pist.'!$A:$Q,COLUMN('2.2 Tutk. ja osien pain. pist.'!O:O),FALSE),1),0)</f>
        <v>270558.8</v>
      </c>
      <c r="M13" s="10">
        <f>IFERROR(Ohj.lask.[[#This Row],[Painotetut pisteet 2]]/Ohj.lask.[[#Totals],[Painotetut pisteet 2]],0)</f>
        <v>1.7178533488453836E-2</v>
      </c>
      <c r="N13" s="17">
        <f>ROUND(IFERROR('1.1 Jakotaulu'!K$13*Ohj.lask.[[#This Row],[%-osuus 2]],0),0)</f>
        <v>7090526</v>
      </c>
      <c r="O13" s="140">
        <f>IFERROR(ROUND(VLOOKUP(Ohj.lask.[[#This Row],[Y-tunnus]],'2.3 Työll. ja jatko-opisk.'!$A:$Y,COLUMN('2.3 Työll. ja jatko-opisk.'!L:L),FALSE),1),0)</f>
        <v>5970.7</v>
      </c>
      <c r="P13" s="10">
        <f>IFERROR(Ohj.lask.[[#This Row],[Painotetut pisteet 3]]/Ohj.lask.[[#Totals],[Painotetut pisteet 3]],0)</f>
        <v>1.7689626413411728E-2</v>
      </c>
      <c r="Q13" s="11">
        <f>ROUND(IFERROR('1.1 Jakotaulu'!L$15*Ohj.lask.[[#This Row],[%-osuus 3]],0),0)</f>
        <v>2555512</v>
      </c>
      <c r="R13" s="139">
        <f>IFERROR(ROUND(VLOOKUP(Ohj.lask.[[#This Row],[Y-tunnus]],'2.4 Aloittaneet palaute'!$A:$I,COLUMN('2.4 Aloittaneet palaute'!H:H),FALSE),1),0)</f>
        <v>36532.5</v>
      </c>
      <c r="S13" s="14">
        <f>IFERROR(Ohj.lask.[[#This Row],[Painotetut pisteet 4]]/Ohj.lask.[[#Totals],[Painotetut pisteet 4]],0)</f>
        <v>2.1011995688378172E-2</v>
      </c>
      <c r="T13" s="17">
        <f>ROUND(IFERROR('1.1 Jakotaulu'!M$17*Ohj.lask.[[#This Row],[%-osuus 4]],0),0)</f>
        <v>162615</v>
      </c>
      <c r="U13" s="139">
        <f>IFERROR(ROUND(VLOOKUP(Ohj.lask.[[#This Row],[Y-tunnus]],'2.5 Päättäneet palaute'!$A:$Y,COLUMN('2.5 Päättäneet palaute'!X:X),FALSE),1),0)</f>
        <v>254785.6</v>
      </c>
      <c r="V13" s="14">
        <f>IFERROR(Ohj.lask.[[#This Row],[Painotetut pisteet 5]]/Ohj.lask.[[#Totals],[Painotetut pisteet 5]],0)</f>
        <v>2.2960496162190282E-2</v>
      </c>
      <c r="W13" s="17">
        <f>ROUND(IFERROR('1.1 Jakotaulu'!M$18*Ohj.lask.[[#This Row],[%-osuus 5]],0),0)</f>
        <v>533083</v>
      </c>
      <c r="X13" s="139">
        <f>IFERROR(ROUND(VLOOKUP(Ohj.lask.[[#This Row],[Y-tunnus]],'2.6 Työpaikkaohjaajakysely'!A:I,COLUMN('2.6 Työpaikkaohjaajakysely'!H:H),FALSE),1),0)</f>
        <v>4589521.2</v>
      </c>
      <c r="Y13" s="10">
        <f>IFERROR(Ohj.lask.[[#This Row],[Painotetut pisteet 6]]/Ohj.lask.[[#Totals],[Painotetut pisteet 6]],0)</f>
        <v>1.337402366166154E-2</v>
      </c>
      <c r="Z13" s="17">
        <f>ROUND(IFERROR('1.1 Jakotaulu'!M$20*Ohj.lask.[[#This Row],[%-osuus 6]],0),0)</f>
        <v>310510</v>
      </c>
      <c r="AA13" s="139">
        <f>IFERROR(ROUND(VLOOKUP(Ohj.lask.[[#This Row],[Y-tunnus]],'2.7 Työpaikkakysely'!A:G,COLUMN('2.7 Työpaikkakysely'!F:F),FALSE),1),0)</f>
        <v>2188656.9</v>
      </c>
      <c r="AB13" s="10">
        <f>IFERROR(Ohj.lask.[[#This Row],[Pisteet 7]]/Ohj.lask.[[#Totals],[Pisteet 7]],0)</f>
        <v>1.0694701813391176E-2</v>
      </c>
      <c r="AC13" s="17">
        <f>ROUND(IFERROR('1.1 Jakotaulu'!M$21*Ohj.lask.[[#This Row],[%-osuus 7]],0),0)</f>
        <v>82768</v>
      </c>
      <c r="AD13" s="13">
        <f>IFERROR(Ohj.lask.[[#This Row],[Jaettava € 8]]/Ohj.lask.[[#Totals],[Jaettava € 8]],"")</f>
        <v>1.4830350291724073E-2</v>
      </c>
      <c r="AE1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30266209</v>
      </c>
      <c r="AF13" s="103">
        <v>0</v>
      </c>
      <c r="AG13" s="103">
        <v>0</v>
      </c>
      <c r="AH13" s="107">
        <v>0</v>
      </c>
      <c r="AI13" s="33">
        <v>53000</v>
      </c>
      <c r="AJ13" s="107">
        <v>0</v>
      </c>
      <c r="AK1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53000</v>
      </c>
      <c r="AL13" s="11">
        <f>Ohj.lask.[[#This Row],[Jaettava € 1]]+Ohj.lask.[[#This Row],[Harkinnanvarainen korotus yhteensä, €]]</f>
        <v>19584195</v>
      </c>
      <c r="AM13" s="103">
        <f>Ohj.lask.[[#This Row],[Jaettava € 2]]</f>
        <v>7090526</v>
      </c>
      <c r="AN13" s="11">
        <f>Ohj.lask.[[#This Row],[Jaettava € 3]]+Ohj.lask.[[#This Row],[Jaettava € 4]]+Ohj.lask.[[#This Row],[Jaettava € 5]]+Ohj.lask.[[#This Row],[Jaettava € 6]]+Ohj.lask.[[#This Row],[Jaettava € 7]]</f>
        <v>3644488</v>
      </c>
      <c r="AO13" s="34">
        <f>Ohj.lask.[[#This Row],[Jaettava € 8]]+Ohj.lask.[[#This Row],[Harkinnanvarainen korotus yhteensä, €]]</f>
        <v>30319209</v>
      </c>
      <c r="AP13" s="12">
        <v>1818769</v>
      </c>
      <c r="AQ13" s="34">
        <f>Ohj.lask.[[#This Row],[Perus-, suoritus- ja vaikuttavuusrahoitus yhteensä, €]]+Ohj.lask.[[#This Row],[Alv-korvaus, €]]</f>
        <v>32137978</v>
      </c>
    </row>
    <row r="14" spans="1:43" ht="12.75" x14ac:dyDescent="0.2">
      <c r="A14" s="4" t="s">
        <v>315</v>
      </c>
      <c r="B14" s="8" t="s">
        <v>20</v>
      </c>
      <c r="C14" s="8" t="s">
        <v>174</v>
      </c>
      <c r="D14" s="8" t="s">
        <v>326</v>
      </c>
      <c r="E14" s="8" t="s">
        <v>375</v>
      </c>
      <c r="F14" s="106">
        <v>0</v>
      </c>
      <c r="G14" s="33">
        <v>0</v>
      </c>
      <c r="H14" s="9">
        <f>IFERROR(VLOOKUP(Ohj.lask.[[#This Row],[Y-tunnus]],'2.1 Toteut. op.vuodet'!$A:$T,COLUMN('2.1 Toteut. op.vuodet'!S:S),FALSE),0)</f>
        <v>0.79068600000000056</v>
      </c>
      <c r="I14" s="74">
        <f t="shared" si="0"/>
        <v>0</v>
      </c>
      <c r="J14" s="10">
        <f>IFERROR(Ohj.lask.[[#This Row],[Painotetut opiskelija-vuodet]]/Ohj.lask.[[#Totals],[Painotetut opiskelija-vuodet]],0)</f>
        <v>0</v>
      </c>
      <c r="K14" s="11">
        <f>ROUND(IFERROR('1.1 Jakotaulu'!L$12*Ohj.lask.[[#This Row],[%-osuus 1]],0),0)</f>
        <v>0</v>
      </c>
      <c r="L14" s="139">
        <f>IFERROR(ROUND(VLOOKUP(Ohj.lask.[[#This Row],[Y-tunnus]],'2.2 Tutk. ja osien pain. pist.'!$A:$Q,COLUMN('2.2 Tutk. ja osien pain. pist.'!O:O),FALSE),1),0)</f>
        <v>292</v>
      </c>
      <c r="M14" s="10">
        <f>IFERROR(Ohj.lask.[[#This Row],[Painotetut pisteet 2]]/Ohj.lask.[[#Totals],[Painotetut pisteet 2]],0)</f>
        <v>1.853989513048003E-5</v>
      </c>
      <c r="N14" s="17">
        <f>ROUND(IFERROR('1.1 Jakotaulu'!K$13*Ohj.lask.[[#This Row],[%-osuus 2]],0),0)</f>
        <v>7652</v>
      </c>
      <c r="O14" s="140">
        <f>IFERROR(ROUND(VLOOKUP(Ohj.lask.[[#This Row],[Y-tunnus]],'2.3 Työll. ja jatko-opisk.'!$A:$Y,COLUMN('2.3 Työll. ja jatko-opisk.'!L:L),FALSE),1),0)</f>
        <v>59.4</v>
      </c>
      <c r="P14" s="10">
        <f>IFERROR(Ohj.lask.[[#This Row],[Painotetut pisteet 3]]/Ohj.lask.[[#Totals],[Painotetut pisteet 3]],0)</f>
        <v>1.759867032268673E-4</v>
      </c>
      <c r="Q14" s="11">
        <f>ROUND(IFERROR('1.1 Jakotaulu'!L$15*Ohj.lask.[[#This Row],[%-osuus 3]],0),0)</f>
        <v>25424</v>
      </c>
      <c r="R14" s="139">
        <f>IFERROR(ROUND(VLOOKUP(Ohj.lask.[[#This Row],[Y-tunnus]],'2.4 Aloittaneet palaute'!$A:$I,COLUMN('2.4 Aloittaneet palaute'!H:H),FALSE),1),0)</f>
        <v>163.1</v>
      </c>
      <c r="S14" s="14">
        <f>IFERROR(Ohj.lask.[[#This Row],[Painotetut pisteet 4]]/Ohj.lask.[[#Totals],[Painotetut pisteet 4]],0)</f>
        <v>9.3808430760952035E-5</v>
      </c>
      <c r="T14" s="17">
        <f>ROUND(IFERROR('1.1 Jakotaulu'!M$17*Ohj.lask.[[#This Row],[%-osuus 4]],0),0)</f>
        <v>726</v>
      </c>
      <c r="U14" s="139">
        <f>IFERROR(ROUND(VLOOKUP(Ohj.lask.[[#This Row],[Y-tunnus]],'2.5 Päättäneet palaute'!$A:$Y,COLUMN('2.5 Päättäneet palaute'!X:X),FALSE),1),0)</f>
        <v>1566.7</v>
      </c>
      <c r="V14" s="14">
        <f>IFERROR(Ohj.lask.[[#This Row],[Painotetut pisteet 5]]/Ohj.lask.[[#Totals],[Painotetut pisteet 5]],0)</f>
        <v>1.4118619473511655E-4</v>
      </c>
      <c r="W14" s="17">
        <f>ROUND(IFERROR('1.1 Jakotaulu'!M$18*Ohj.lask.[[#This Row],[%-osuus 5]],0),0)</f>
        <v>3278</v>
      </c>
      <c r="X14" s="139">
        <f>IFERROR(ROUND(VLOOKUP(Ohj.lask.[[#This Row],[Y-tunnus]],'2.6 Työpaikkaohjaajakysely'!A:I,COLUMN('2.6 Työpaikkaohjaajakysely'!H:H),FALSE),1),0)</f>
        <v>4717.3999999999996</v>
      </c>
      <c r="Y14" s="10">
        <f>IFERROR(Ohj.lask.[[#This Row],[Painotetut pisteet 6]]/Ohj.lask.[[#Totals],[Painotetut pisteet 6]],0)</f>
        <v>1.3746666911904043E-5</v>
      </c>
      <c r="Z14" s="17">
        <f>ROUND(IFERROR('1.1 Jakotaulu'!M$20*Ohj.lask.[[#This Row],[%-osuus 6]],0),0)</f>
        <v>319</v>
      </c>
      <c r="AA14" s="139">
        <f>IFERROR(ROUND(VLOOKUP(Ohj.lask.[[#This Row],[Y-tunnus]],'2.7 Työpaikkakysely'!A:G,COLUMN('2.7 Työpaikkakysely'!F:F),FALSE),1),0)</f>
        <v>1972</v>
      </c>
      <c r="AB14" s="10">
        <f>IFERROR(Ohj.lask.[[#This Row],[Pisteet 7]]/Ohj.lask.[[#Totals],[Pisteet 7]],0)</f>
        <v>9.6360247126936162E-6</v>
      </c>
      <c r="AC14" s="17">
        <f>ROUND(IFERROR('1.1 Jakotaulu'!M$21*Ohj.lask.[[#This Row],[%-osuus 7]],0),0)</f>
        <v>75</v>
      </c>
      <c r="AD14" s="13">
        <f>IFERROR(Ohj.lask.[[#This Row],[Jaettava € 8]]/Ohj.lask.[[#Totals],[Jaettava € 8]],"")</f>
        <v>1.8362145944081332E-5</v>
      </c>
      <c r="AE1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37474</v>
      </c>
      <c r="AF14" s="103">
        <v>0</v>
      </c>
      <c r="AG14" s="103">
        <v>0</v>
      </c>
      <c r="AH14" s="107">
        <v>0</v>
      </c>
      <c r="AI14" s="33">
        <v>0</v>
      </c>
      <c r="AJ14" s="107">
        <v>0</v>
      </c>
      <c r="AK1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4" s="11">
        <f>Ohj.lask.[[#This Row],[Jaettava € 1]]+Ohj.lask.[[#This Row],[Harkinnanvarainen korotus yhteensä, €]]</f>
        <v>0</v>
      </c>
      <c r="AM14" s="103">
        <f>Ohj.lask.[[#This Row],[Jaettava € 2]]</f>
        <v>7652</v>
      </c>
      <c r="AN14" s="11">
        <f>Ohj.lask.[[#This Row],[Jaettava € 3]]+Ohj.lask.[[#This Row],[Jaettava € 4]]+Ohj.lask.[[#This Row],[Jaettava € 5]]+Ohj.lask.[[#This Row],[Jaettava € 6]]+Ohj.lask.[[#This Row],[Jaettava € 7]]</f>
        <v>29822</v>
      </c>
      <c r="AO14" s="34">
        <f>Ohj.lask.[[#This Row],[Jaettava € 8]]+Ohj.lask.[[#This Row],[Harkinnanvarainen korotus yhteensä, €]]</f>
        <v>37474</v>
      </c>
      <c r="AP14" s="12">
        <v>80</v>
      </c>
      <c r="AQ14" s="34">
        <f>Ohj.lask.[[#This Row],[Perus-, suoritus- ja vaikuttavuusrahoitus yhteensä, €]]+Ohj.lask.[[#This Row],[Alv-korvaus, €]]</f>
        <v>37554</v>
      </c>
    </row>
    <row r="15" spans="1:43" s="4" customFormat="1" ht="12.75" x14ac:dyDescent="0.2">
      <c r="A15" s="4" t="s">
        <v>314</v>
      </c>
      <c r="B15" s="8" t="s">
        <v>21</v>
      </c>
      <c r="C15" s="97" t="s">
        <v>174</v>
      </c>
      <c r="D15" s="97" t="s">
        <v>325</v>
      </c>
      <c r="E15" s="97" t="s">
        <v>375</v>
      </c>
      <c r="F15" s="106">
        <v>5838</v>
      </c>
      <c r="G15" s="33">
        <v>6602</v>
      </c>
      <c r="H15" s="211">
        <f>IFERROR(VLOOKUP(Ohj.lask.[[#This Row],[Y-tunnus]],'2.1 Toteut. op.vuodet'!$A:$T,COLUMN('2.1 Toteut. op.vuodet'!S:S),FALSE),0)</f>
        <v>1.0172994605822432</v>
      </c>
      <c r="I15" s="165">
        <f t="shared" si="0"/>
        <v>6716.2</v>
      </c>
      <c r="J15" s="174">
        <f>IFERROR(Ohj.lask.[[#This Row],[Painotetut opiskelija-vuodet]]/Ohj.lask.[[#Totals],[Painotetut opiskelija-vuodet]],0)</f>
        <v>3.2614628555889008E-2</v>
      </c>
      <c r="K15" s="33">
        <f>ROUND(IFERROR('1.1 Jakotaulu'!L$12*Ohj.lask.[[#This Row],[%-osuus 1]],0),0)</f>
        <v>46368120</v>
      </c>
      <c r="L15" s="212">
        <f>IFERROR(ROUND(VLOOKUP(Ohj.lask.[[#This Row],[Y-tunnus]],'2.2 Tutk. ja osien pain. pist.'!$A:$Q,COLUMN('2.2 Tutk. ja osien pain. pist.'!O:O),FALSE),1),0)</f>
        <v>548497.30000000005</v>
      </c>
      <c r="M15" s="174">
        <f>IFERROR(Ohj.lask.[[#This Row],[Painotetut pisteet 2]]/Ohj.lask.[[#Totals],[Painotetut pisteet 2]],0)</f>
        <v>3.4825624730655633E-2</v>
      </c>
      <c r="N15" s="107">
        <f>ROUND(IFERROR('1.1 Jakotaulu'!K$13*Ohj.lask.[[#This Row],[%-osuus 2]],0),0)</f>
        <v>14374451</v>
      </c>
      <c r="O15" s="213">
        <f>IFERROR(ROUND(VLOOKUP(Ohj.lask.[[#This Row],[Y-tunnus]],'2.3 Työll. ja jatko-opisk.'!$A:$Y,COLUMN('2.3 Työll. ja jatko-opisk.'!L:L),FALSE),1),0)</f>
        <v>12401.9</v>
      </c>
      <c r="P15" s="214">
        <f>IFERROR(Ohj.lask.[[#This Row],[Painotetut pisteet 3]]/Ohj.lask.[[#Totals],[Painotetut pisteet 3]],0)</f>
        <v>3.674359418769841E-2</v>
      </c>
      <c r="Q15" s="33">
        <f>ROUND(IFERROR('1.1 Jakotaulu'!L$15*Ohj.lask.[[#This Row],[%-osuus 3]],0),0)</f>
        <v>5308123</v>
      </c>
      <c r="R15" s="212">
        <f>IFERROR(ROUND(VLOOKUP(Ohj.lask.[[#This Row],[Y-tunnus]],'2.4 Aloittaneet palaute'!$A:$I,COLUMN('2.4 Aloittaneet palaute'!H:H),FALSE),1),0)</f>
        <v>78148.3</v>
      </c>
      <c r="S15" s="214">
        <f>IFERROR(Ohj.lask.[[#This Row],[Painotetut pisteet 4]]/Ohj.lask.[[#Totals],[Painotetut pisteet 4]],0)</f>
        <v>4.4947697054789133E-2</v>
      </c>
      <c r="T15" s="107">
        <f>ROUND(IFERROR('1.1 Jakotaulu'!M$17*Ohj.lask.[[#This Row],[%-osuus 4]],0),0)</f>
        <v>347856</v>
      </c>
      <c r="U15" s="212">
        <f>IFERROR(ROUND(VLOOKUP(Ohj.lask.[[#This Row],[Y-tunnus]],'2.5 Päättäneet palaute'!$A:$Y,COLUMN('2.5 Päättäneet palaute'!X:X),FALSE),1),0)</f>
        <v>466223.7</v>
      </c>
      <c r="V15" s="214">
        <f>IFERROR(Ohj.lask.[[#This Row],[Painotetut pisteet 5]]/Ohj.lask.[[#Totals],[Painotetut pisteet 5]],0)</f>
        <v>4.2014648687257648E-2</v>
      </c>
      <c r="W15" s="107">
        <f>ROUND(IFERROR('1.1 Jakotaulu'!M$18*Ohj.lask.[[#This Row],[%-osuus 5]],0),0)</f>
        <v>975471</v>
      </c>
      <c r="X15" s="212">
        <f>IFERROR(ROUND(VLOOKUP(Ohj.lask.[[#This Row],[Y-tunnus]],'2.6 Työpaikkaohjaajakysely'!A:I,COLUMN('2.6 Työpaikkaohjaajakysely'!H:H),FALSE),1),0)</f>
        <v>10302842</v>
      </c>
      <c r="Y15" s="174">
        <f>IFERROR(Ohj.lask.[[#This Row],[Painotetut pisteet 6]]/Ohj.lask.[[#Totals],[Painotetut pisteet 6]],0)</f>
        <v>3.0022838262597044E-2</v>
      </c>
      <c r="Z15" s="107">
        <f>ROUND(IFERROR('1.1 Jakotaulu'!M$20*Ohj.lask.[[#This Row],[%-osuus 6]],0),0)</f>
        <v>697053</v>
      </c>
      <c r="AA15" s="212">
        <f>IFERROR(ROUND(VLOOKUP(Ohj.lask.[[#This Row],[Y-tunnus]],'2.7 Työpaikkakysely'!A:G,COLUMN('2.7 Työpaikkakysely'!F:F),FALSE),1),0)</f>
        <v>3831890.3</v>
      </c>
      <c r="AB15" s="174">
        <f>IFERROR(Ohj.lask.[[#This Row],[Pisteet 7]]/Ohj.lask.[[#Totals],[Pisteet 7]],0)</f>
        <v>1.8724234090837198E-2</v>
      </c>
      <c r="AC15" s="107">
        <f>ROUND(IFERROR('1.1 Jakotaulu'!M$21*Ohj.lask.[[#This Row],[%-osuus 7]],0),0)</f>
        <v>144909</v>
      </c>
      <c r="AD15" s="171">
        <f>IFERROR(Ohj.lask.[[#This Row],[Jaettava € 8]]/Ohj.lask.[[#Totals],[Jaettava € 8]],"")</f>
        <v>3.3425624047738994E-2</v>
      </c>
      <c r="AE15" s="10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68215983</v>
      </c>
      <c r="AF15" s="103">
        <v>0</v>
      </c>
      <c r="AG15" s="103">
        <v>0</v>
      </c>
      <c r="AH15" s="107">
        <v>0</v>
      </c>
      <c r="AI15" s="33">
        <v>89000</v>
      </c>
      <c r="AJ15" s="107">
        <v>74000</v>
      </c>
      <c r="AK1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163000</v>
      </c>
      <c r="AL15" s="33">
        <f>Ohj.lask.[[#This Row],[Jaettava € 1]]+Ohj.lask.[[#This Row],[Harkinnanvarainen korotus yhteensä, €]]</f>
        <v>46531120</v>
      </c>
      <c r="AM15" s="103">
        <f>Ohj.lask.[[#This Row],[Jaettava € 2]]</f>
        <v>14374451</v>
      </c>
      <c r="AN15" s="33">
        <f>Ohj.lask.[[#This Row],[Jaettava € 3]]+Ohj.lask.[[#This Row],[Jaettava € 4]]+Ohj.lask.[[#This Row],[Jaettava € 5]]+Ohj.lask.[[#This Row],[Jaettava € 6]]+Ohj.lask.[[#This Row],[Jaettava € 7]]</f>
        <v>7473412</v>
      </c>
      <c r="AO15" s="103">
        <f>Ohj.lask.[[#This Row],[Jaettava € 8]]+Ohj.lask.[[#This Row],[Harkinnanvarainen korotus yhteensä, €]]</f>
        <v>68378983</v>
      </c>
      <c r="AP15" s="170">
        <v>0</v>
      </c>
      <c r="AQ15" s="103">
        <f>Ohj.lask.[[#This Row],[Perus-, suoritus- ja vaikuttavuusrahoitus yhteensä, €]]+Ohj.lask.[[#This Row],[Alv-korvaus, €]]</f>
        <v>68378983</v>
      </c>
    </row>
    <row r="16" spans="1:43" ht="12.75" x14ac:dyDescent="0.2">
      <c r="A16" s="4" t="s">
        <v>313</v>
      </c>
      <c r="B16" s="8" t="s">
        <v>22</v>
      </c>
      <c r="C16" s="97" t="s">
        <v>312</v>
      </c>
      <c r="D16" s="97" t="s">
        <v>325</v>
      </c>
      <c r="E16" s="97" t="s">
        <v>375</v>
      </c>
      <c r="F16" s="105">
        <v>2885</v>
      </c>
      <c r="G16" s="33">
        <v>2692</v>
      </c>
      <c r="H16" s="9">
        <f>IFERROR(VLOOKUP(Ohj.lask.[[#This Row],[Y-tunnus]],'2.1 Toteut. op.vuodet'!$A:$T,COLUMN('2.1 Toteut. op.vuodet'!S:S),FALSE),0)</f>
        <v>1.1119589039919928</v>
      </c>
      <c r="I16" s="74">
        <f t="shared" si="0"/>
        <v>2993.4</v>
      </c>
      <c r="J16" s="10">
        <f>IFERROR(Ohj.lask.[[#This Row],[Painotetut opiskelija-vuodet]]/Ohj.lask.[[#Totals],[Painotetut opiskelija-vuodet]],0)</f>
        <v>1.4536289735147577E-2</v>
      </c>
      <c r="K16" s="11">
        <f>ROUND(IFERROR('1.1 Jakotaulu'!L$12*Ohj.lask.[[#This Row],[%-osuus 1]],0),0)</f>
        <v>20666200</v>
      </c>
      <c r="L16" s="139">
        <f>IFERROR(ROUND(VLOOKUP(Ohj.lask.[[#This Row],[Y-tunnus]],'2.2 Tutk. ja osien pain. pist.'!$A:$Q,COLUMN('2.2 Tutk. ja osien pain. pist.'!O:O),FALSE),1),0)</f>
        <v>264438.40000000002</v>
      </c>
      <c r="M16" s="10">
        <f>IFERROR(Ohj.lask.[[#This Row],[Painotetut pisteet 2]]/Ohj.lask.[[#Totals],[Painotetut pisteet 2]],0)</f>
        <v>1.6789932207095654E-2</v>
      </c>
      <c r="N16" s="17">
        <f>ROUND(IFERROR('1.1 Jakotaulu'!K$13*Ohj.lask.[[#This Row],[%-osuus 2]],0),0)</f>
        <v>6930128</v>
      </c>
      <c r="O16" s="140">
        <f>IFERROR(ROUND(VLOOKUP(Ohj.lask.[[#This Row],[Y-tunnus]],'2.3 Työll. ja jatko-opisk.'!$A:$Y,COLUMN('2.3 Työll. ja jatko-opisk.'!L:L),FALSE),1),0)</f>
        <v>5506.6</v>
      </c>
      <c r="P16" s="14">
        <f>IFERROR(Ohj.lask.[[#This Row],[Painotetut pisteet 3]]/Ohj.lask.[[#Totals],[Painotetut pisteet 3]],0)</f>
        <v>1.6314619191735144E-2</v>
      </c>
      <c r="Q16" s="11">
        <f>ROUND(IFERROR('1.1 Jakotaulu'!L$15*Ohj.lask.[[#This Row],[%-osuus 3]],0),0)</f>
        <v>2356874</v>
      </c>
      <c r="R16" s="139">
        <f>IFERROR(ROUND(VLOOKUP(Ohj.lask.[[#This Row],[Y-tunnus]],'2.4 Aloittaneet palaute'!$A:$I,COLUMN('2.4 Aloittaneet palaute'!H:H),FALSE),1),0)</f>
        <v>23100.5</v>
      </c>
      <c r="S16" s="14">
        <f>IFERROR(Ohj.lask.[[#This Row],[Painotetut pisteet 4]]/Ohj.lask.[[#Totals],[Painotetut pisteet 4]],0)</f>
        <v>1.3286460176538152E-2</v>
      </c>
      <c r="T16" s="17">
        <f>ROUND(IFERROR('1.1 Jakotaulu'!M$17*Ohj.lask.[[#This Row],[%-osuus 4]],0),0)</f>
        <v>102826</v>
      </c>
      <c r="U16" s="139">
        <f>IFERROR(ROUND(VLOOKUP(Ohj.lask.[[#This Row],[Y-tunnus]],'2.5 Päättäneet palaute'!$A:$Y,COLUMN('2.5 Päättäneet palaute'!X:X),FALSE),1),0)</f>
        <v>207822.7</v>
      </c>
      <c r="V16" s="14">
        <f>IFERROR(Ohj.lask.[[#This Row],[Painotetut pisteet 5]]/Ohj.lask.[[#Totals],[Painotetut pisteet 5]],0)</f>
        <v>1.8728343775182045E-2</v>
      </c>
      <c r="W16" s="17">
        <f>ROUND(IFERROR('1.1 Jakotaulu'!M$18*Ohj.lask.[[#This Row],[%-osuus 5]],0),0)</f>
        <v>434824</v>
      </c>
      <c r="X16" s="139">
        <f>IFERROR(ROUND(VLOOKUP(Ohj.lask.[[#This Row],[Y-tunnus]],'2.6 Työpaikkaohjaajakysely'!A:I,COLUMN('2.6 Työpaikkaohjaajakysely'!H:H),FALSE),1),0)</f>
        <v>3250708.2</v>
      </c>
      <c r="Y16" s="10">
        <f>IFERROR(Ohj.lask.[[#This Row],[Painotetut pisteet 6]]/Ohj.lask.[[#Totals],[Painotetut pisteet 6]],0)</f>
        <v>9.4726762312280412E-3</v>
      </c>
      <c r="Z16" s="17">
        <f>ROUND(IFERROR('1.1 Jakotaulu'!M$20*Ohj.lask.[[#This Row],[%-osuus 6]],0),0)</f>
        <v>219931</v>
      </c>
      <c r="AA16" s="139">
        <f>IFERROR(ROUND(VLOOKUP(Ohj.lask.[[#This Row],[Y-tunnus]],'2.7 Työpaikkakysely'!A:G,COLUMN('2.7 Työpaikkakysely'!F:F),FALSE),1),0)</f>
        <v>2237169.5</v>
      </c>
      <c r="AB16" s="10">
        <f>IFERROR(Ohj.lask.[[#This Row],[Pisteet 7]]/Ohj.lask.[[#Totals],[Pisteet 7]],0)</f>
        <v>1.0931754862314616E-2</v>
      </c>
      <c r="AC16" s="17">
        <f>ROUND(IFERROR('1.1 Jakotaulu'!M$21*Ohj.lask.[[#This Row],[%-osuus 7]],0),0)</f>
        <v>84602</v>
      </c>
      <c r="AD16" s="13">
        <f>IFERROR(Ohj.lask.[[#This Row],[Jaettava € 8]]/Ohj.lask.[[#Totals],[Jaettava € 8]],"")</f>
        <v>1.5089644921123262E-2</v>
      </c>
      <c r="AE1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30795385</v>
      </c>
      <c r="AF16" s="103">
        <v>0</v>
      </c>
      <c r="AG16" s="103">
        <v>0</v>
      </c>
      <c r="AH16" s="107">
        <v>0</v>
      </c>
      <c r="AI16" s="33">
        <v>41000</v>
      </c>
      <c r="AJ16" s="107">
        <v>0</v>
      </c>
      <c r="AK1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41000</v>
      </c>
      <c r="AL16" s="11">
        <f>Ohj.lask.[[#This Row],[Jaettava € 1]]+Ohj.lask.[[#This Row],[Harkinnanvarainen korotus yhteensä, €]]</f>
        <v>20707200</v>
      </c>
      <c r="AM16" s="103">
        <f>Ohj.lask.[[#This Row],[Jaettava € 2]]</f>
        <v>6930128</v>
      </c>
      <c r="AN16" s="11">
        <f>Ohj.lask.[[#This Row],[Jaettava € 3]]+Ohj.lask.[[#This Row],[Jaettava € 4]]+Ohj.lask.[[#This Row],[Jaettava € 5]]+Ohj.lask.[[#This Row],[Jaettava € 6]]+Ohj.lask.[[#This Row],[Jaettava € 7]]</f>
        <v>3199057</v>
      </c>
      <c r="AO16" s="34">
        <f>Ohj.lask.[[#This Row],[Jaettava € 8]]+Ohj.lask.[[#This Row],[Harkinnanvarainen korotus yhteensä, €]]</f>
        <v>30836385</v>
      </c>
      <c r="AP16" s="12">
        <v>0</v>
      </c>
      <c r="AQ16" s="34">
        <f>Ohj.lask.[[#This Row],[Perus-, suoritus- ja vaikuttavuusrahoitus yhteensä, €]]+Ohj.lask.[[#This Row],[Alv-korvaus, €]]</f>
        <v>30836385</v>
      </c>
    </row>
    <row r="17" spans="1:43" ht="12.75" x14ac:dyDescent="0.2">
      <c r="A17" s="4" t="s">
        <v>311</v>
      </c>
      <c r="B17" s="8" t="s">
        <v>23</v>
      </c>
      <c r="C17" s="8" t="s">
        <v>201</v>
      </c>
      <c r="D17" s="8" t="s">
        <v>326</v>
      </c>
      <c r="E17" s="8" t="s">
        <v>375</v>
      </c>
      <c r="F17" s="106">
        <v>2485</v>
      </c>
      <c r="G17" s="33">
        <v>2394</v>
      </c>
      <c r="H17" s="9">
        <f>IFERROR(VLOOKUP(Ohj.lask.[[#This Row],[Y-tunnus]],'2.1 Toteut. op.vuodet'!$A:$T,COLUMN('2.1 Toteut. op.vuodet'!S:S),FALSE),0)</f>
        <v>1.1893916182396616</v>
      </c>
      <c r="I17" s="74">
        <f t="shared" si="0"/>
        <v>2847.4</v>
      </c>
      <c r="J17" s="10">
        <f>IFERROR(Ohj.lask.[[#This Row],[Painotetut opiskelija-vuodet]]/Ohj.lask.[[#Totals],[Painotetut opiskelija-vuodet]],0)</f>
        <v>1.3827297184425474E-2</v>
      </c>
      <c r="K17" s="11">
        <f>ROUND(IFERROR('1.1 Jakotaulu'!L$12*Ohj.lask.[[#This Row],[%-osuus 1]],0),0)</f>
        <v>19658227</v>
      </c>
      <c r="L17" s="139">
        <f>IFERROR(ROUND(VLOOKUP(Ohj.lask.[[#This Row],[Y-tunnus]],'2.2 Tutk. ja osien pain. pist.'!$A:$Q,COLUMN('2.2 Tutk. ja osien pain. pist.'!O:O),FALSE),1),0)</f>
        <v>230956.79999999999</v>
      </c>
      <c r="M17" s="10">
        <f>IFERROR(Ohj.lask.[[#This Row],[Painotetut pisteet 2]]/Ohj.lask.[[#Totals],[Painotetut pisteet 2]],0)</f>
        <v>1.4664091957778253E-2</v>
      </c>
      <c r="N17" s="17">
        <f>ROUND(IFERROR('1.1 Jakotaulu'!K$13*Ohj.lask.[[#This Row],[%-osuus 2]],0),0)</f>
        <v>6052677</v>
      </c>
      <c r="O17" s="140">
        <f>IFERROR(ROUND(VLOOKUP(Ohj.lask.[[#This Row],[Y-tunnus]],'2.3 Työll. ja jatko-opisk.'!$A:$Y,COLUMN('2.3 Työll. ja jatko-opisk.'!L:L),FALSE),1),0)</f>
        <v>4556</v>
      </c>
      <c r="P17" s="10">
        <f>IFERROR(Ohj.lask.[[#This Row],[Painotetut pisteet 3]]/Ohj.lask.[[#Totals],[Painotetut pisteet 3]],0)</f>
        <v>1.3498239392282953E-2</v>
      </c>
      <c r="Q17" s="11">
        <f>ROUND(IFERROR('1.1 Jakotaulu'!L$15*Ohj.lask.[[#This Row],[%-osuus 3]],0),0)</f>
        <v>1950008</v>
      </c>
      <c r="R17" s="139">
        <f>IFERROR(ROUND(VLOOKUP(Ohj.lask.[[#This Row],[Y-tunnus]],'2.4 Aloittaneet palaute'!$A:$I,COLUMN('2.4 Aloittaneet palaute'!H:H),FALSE),1),0)</f>
        <v>28441.1</v>
      </c>
      <c r="S17" s="14">
        <f>IFERROR(Ohj.lask.[[#This Row],[Painotetut pisteet 4]]/Ohj.lask.[[#Totals],[Painotetut pisteet 4]],0)</f>
        <v>1.6358154261896463E-2</v>
      </c>
      <c r="T17" s="17">
        <f>ROUND(IFERROR('1.1 Jakotaulu'!M$17*Ohj.lask.[[#This Row],[%-osuus 4]],0),0)</f>
        <v>126598</v>
      </c>
      <c r="U17" s="139">
        <f>IFERROR(ROUND(VLOOKUP(Ohj.lask.[[#This Row],[Y-tunnus]],'2.5 Päättäneet palaute'!$A:$Y,COLUMN('2.5 Päättäneet palaute'!X:X),FALSE),1),0)</f>
        <v>155201.1</v>
      </c>
      <c r="V17" s="14">
        <f>IFERROR(Ohj.lask.[[#This Row],[Painotetut pisteet 5]]/Ohj.lask.[[#Totals],[Painotetut pisteet 5]],0)</f>
        <v>1.3986246714562009E-2</v>
      </c>
      <c r="W17" s="17">
        <f>ROUND(IFERROR('1.1 Jakotaulu'!M$18*Ohj.lask.[[#This Row],[%-osuus 5]],0),0)</f>
        <v>324724</v>
      </c>
      <c r="X17" s="139">
        <f>IFERROR(ROUND(VLOOKUP(Ohj.lask.[[#This Row],[Y-tunnus]],'2.6 Työpaikkaohjaajakysely'!A:I,COLUMN('2.6 Työpaikkaohjaajakysely'!H:H),FALSE),1),0)</f>
        <v>5193618.0999999996</v>
      </c>
      <c r="Y17" s="10">
        <f>IFERROR(Ohj.lask.[[#This Row],[Painotetut pisteet 6]]/Ohj.lask.[[#Totals],[Painotetut pisteet 6]],0)</f>
        <v>1.5134382941522015E-2</v>
      </c>
      <c r="Z17" s="17">
        <f>ROUND(IFERROR('1.1 Jakotaulu'!M$20*Ohj.lask.[[#This Row],[%-osuus 6]],0),0)</f>
        <v>351381</v>
      </c>
      <c r="AA17" s="139">
        <f>IFERROR(ROUND(VLOOKUP(Ohj.lask.[[#This Row],[Y-tunnus]],'2.7 Työpaikkakysely'!A:G,COLUMN('2.7 Työpaikkakysely'!F:F),FALSE),1),0)</f>
        <v>3026689.6</v>
      </c>
      <c r="AB17" s="10">
        <f>IFERROR(Ohj.lask.[[#This Row],[Pisteet 7]]/Ohj.lask.[[#Totals],[Pisteet 7]],0)</f>
        <v>1.4789683460067322E-2</v>
      </c>
      <c r="AC17" s="17">
        <f>ROUND(IFERROR('1.1 Jakotaulu'!M$21*Ohj.lask.[[#This Row],[%-osuus 7]],0),0)</f>
        <v>114459</v>
      </c>
      <c r="AD17" s="13">
        <f>IFERROR(Ohj.lask.[[#This Row],[Jaettava € 8]]/Ohj.lask.[[#Totals],[Jaettava € 8]],"")</f>
        <v>1.4003169279734114E-2</v>
      </c>
      <c r="AE1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28578074</v>
      </c>
      <c r="AF17" s="103">
        <v>0</v>
      </c>
      <c r="AG17" s="103">
        <v>0</v>
      </c>
      <c r="AH17" s="107">
        <v>0</v>
      </c>
      <c r="AI17" s="33">
        <v>36000</v>
      </c>
      <c r="AJ17" s="107">
        <v>0</v>
      </c>
      <c r="AK1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36000</v>
      </c>
      <c r="AL17" s="11">
        <f>Ohj.lask.[[#This Row],[Jaettava € 1]]+Ohj.lask.[[#This Row],[Harkinnanvarainen korotus yhteensä, €]]</f>
        <v>19694227</v>
      </c>
      <c r="AM17" s="103">
        <f>Ohj.lask.[[#This Row],[Jaettava € 2]]</f>
        <v>6052677</v>
      </c>
      <c r="AN17" s="11">
        <f>Ohj.lask.[[#This Row],[Jaettava € 3]]+Ohj.lask.[[#This Row],[Jaettava € 4]]+Ohj.lask.[[#This Row],[Jaettava € 5]]+Ohj.lask.[[#This Row],[Jaettava € 6]]+Ohj.lask.[[#This Row],[Jaettava € 7]]</f>
        <v>2867170</v>
      </c>
      <c r="AO17" s="34">
        <f>Ohj.lask.[[#This Row],[Jaettava € 8]]+Ohj.lask.[[#This Row],[Harkinnanvarainen korotus yhteensä, €]]</f>
        <v>28614074</v>
      </c>
      <c r="AP17" s="12">
        <v>1970430</v>
      </c>
      <c r="AQ17" s="34">
        <f>Ohj.lask.[[#This Row],[Perus-, suoritus- ja vaikuttavuusrahoitus yhteensä, €]]+Ohj.lask.[[#This Row],[Alv-korvaus, €]]</f>
        <v>30584504</v>
      </c>
    </row>
    <row r="18" spans="1:43" ht="12.75" x14ac:dyDescent="0.2">
      <c r="A18" s="4" t="s">
        <v>310</v>
      </c>
      <c r="B18" s="8" t="s">
        <v>24</v>
      </c>
      <c r="C18" s="8" t="s">
        <v>215</v>
      </c>
      <c r="D18" s="8" t="s">
        <v>326</v>
      </c>
      <c r="E18" s="8" t="s">
        <v>375</v>
      </c>
      <c r="F18" s="106">
        <v>25</v>
      </c>
      <c r="G18" s="33">
        <v>22</v>
      </c>
      <c r="H18" s="9">
        <f>IFERROR(VLOOKUP(Ohj.lask.[[#This Row],[Y-tunnus]],'2.1 Toteut. op.vuodet'!$A:$T,COLUMN('2.1 Toteut. op.vuodet'!S:S),FALSE),0)</f>
        <v>0.74234752755015232</v>
      </c>
      <c r="I18" s="74">
        <f t="shared" si="0"/>
        <v>16.3</v>
      </c>
      <c r="J18" s="10">
        <f>IFERROR(Ohj.lask.[[#This Row],[Painotetut opiskelija-vuodet]]/Ohj.lask.[[#Totals],[Painotetut opiskelija-vuodet]],0)</f>
        <v>7.9154647786097923E-5</v>
      </c>
      <c r="K18" s="11">
        <f>ROUND(IFERROR('1.1 Jakotaulu'!L$12*Ohj.lask.[[#This Row],[%-osuus 1]],0),0)</f>
        <v>112534</v>
      </c>
      <c r="L18" s="139">
        <f>IFERROR(ROUND(VLOOKUP(Ohj.lask.[[#This Row],[Y-tunnus]],'2.2 Tutk. ja osien pain. pist.'!$A:$Q,COLUMN('2.2 Tutk. ja osien pain. pist.'!O:O),FALSE),1),0)</f>
        <v>1238.0999999999999</v>
      </c>
      <c r="M18" s="10">
        <f>IFERROR(Ohj.lask.[[#This Row],[Painotetut pisteet 2]]/Ohj.lask.[[#Totals],[Painotetut pisteet 2]],0)</f>
        <v>7.8610425209066167E-5</v>
      </c>
      <c r="N18" s="17">
        <f>ROUND(IFERROR('1.1 Jakotaulu'!K$13*Ohj.lask.[[#This Row],[%-osuus 2]],0),0)</f>
        <v>32447</v>
      </c>
      <c r="O18" s="140">
        <f>IFERROR(ROUND(VLOOKUP(Ohj.lask.[[#This Row],[Y-tunnus]],'2.3 Työll. ja jatko-opisk.'!$A:$Y,COLUMN('2.3 Työll. ja jatko-opisk.'!L:L),FALSE),1),0)</f>
        <v>42.6</v>
      </c>
      <c r="P18" s="10">
        <f>IFERROR(Ohj.lask.[[#This Row],[Painotetut pisteet 3]]/Ohj.lask.[[#Totals],[Painotetut pisteet 3]],0)</f>
        <v>1.2621268615260181E-4</v>
      </c>
      <c r="Q18" s="11">
        <f>ROUND(IFERROR('1.1 Jakotaulu'!L$15*Ohj.lask.[[#This Row],[%-osuus 3]],0),0)</f>
        <v>18233</v>
      </c>
      <c r="R18" s="139">
        <f>IFERROR(ROUND(VLOOKUP(Ohj.lask.[[#This Row],[Y-tunnus]],'2.4 Aloittaneet palaute'!$A:$I,COLUMN('2.4 Aloittaneet palaute'!H:H),FALSE),1),0)</f>
        <v>235.2</v>
      </c>
      <c r="S18" s="14">
        <f>IFERROR(Ohj.lask.[[#This Row],[Painotetut pisteet 4]]/Ohj.lask.[[#Totals],[Painotetut pisteet 4]],0)</f>
        <v>1.3527739371536429E-4</v>
      </c>
      <c r="T18" s="17">
        <f>ROUND(IFERROR('1.1 Jakotaulu'!M$17*Ohj.lask.[[#This Row],[%-osuus 4]],0),0)</f>
        <v>1047</v>
      </c>
      <c r="U18" s="139">
        <f>IFERROR(ROUND(VLOOKUP(Ohj.lask.[[#This Row],[Y-tunnus]],'2.5 Päättäneet palaute'!$A:$Y,COLUMN('2.5 Päättäneet palaute'!X:X),FALSE),1),0)</f>
        <v>1210.3</v>
      </c>
      <c r="V18" s="14">
        <f>IFERROR(Ohj.lask.[[#This Row],[Painotetut pisteet 5]]/Ohj.lask.[[#Totals],[Painotetut pisteet 5]],0)</f>
        <v>1.0906852076843783E-4</v>
      </c>
      <c r="W18" s="17">
        <f>ROUND(IFERROR('1.1 Jakotaulu'!M$18*Ohj.lask.[[#This Row],[%-osuus 5]],0),0)</f>
        <v>2532</v>
      </c>
      <c r="X18" s="139">
        <f>IFERROR(ROUND(VLOOKUP(Ohj.lask.[[#This Row],[Y-tunnus]],'2.6 Työpaikkaohjaajakysely'!A:I,COLUMN('2.6 Työpaikkaohjaajakysely'!H:H),FALSE),1),0)</f>
        <v>16900.7</v>
      </c>
      <c r="Y18" s="10">
        <f>IFERROR(Ohj.lask.[[#This Row],[Painotetut pisteet 6]]/Ohj.lask.[[#Totals],[Painotetut pisteet 6]],0)</f>
        <v>4.9249224886169652E-5</v>
      </c>
      <c r="Z18" s="17">
        <f>ROUND(IFERROR('1.1 Jakotaulu'!M$20*Ohj.lask.[[#This Row],[%-osuus 6]],0),0)</f>
        <v>1143</v>
      </c>
      <c r="AA18" s="139">
        <f>IFERROR(ROUND(VLOOKUP(Ohj.lask.[[#This Row],[Y-tunnus]],'2.7 Työpaikkakysely'!A:G,COLUMN('2.7 Työpaikkakysely'!F:F),FALSE),1),0)</f>
        <v>10099</v>
      </c>
      <c r="AB18" s="10">
        <f>IFERROR(Ohj.lask.[[#This Row],[Pisteet 7]]/Ohj.lask.[[#Totals],[Pisteet 7]],0)</f>
        <v>4.9347978485544035E-5</v>
      </c>
      <c r="AC18" s="17">
        <f>ROUND(IFERROR('1.1 Jakotaulu'!M$21*Ohj.lask.[[#This Row],[%-osuus 7]],0),0)</f>
        <v>382</v>
      </c>
      <c r="AD18" s="13">
        <f>IFERROR(Ohj.lask.[[#This Row],[Jaettava € 8]]/Ohj.lask.[[#Totals],[Jaettava € 8]],"")</f>
        <v>8.247530770710044E-5</v>
      </c>
      <c r="AE1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168318</v>
      </c>
      <c r="AF18" s="103">
        <v>0</v>
      </c>
      <c r="AG18" s="103">
        <v>0</v>
      </c>
      <c r="AH18" s="107">
        <v>0</v>
      </c>
      <c r="AI18" s="33">
        <v>0</v>
      </c>
      <c r="AJ18" s="107">
        <v>0</v>
      </c>
      <c r="AK1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8" s="11">
        <f>Ohj.lask.[[#This Row],[Jaettava € 1]]+Ohj.lask.[[#This Row],[Harkinnanvarainen korotus yhteensä, €]]</f>
        <v>112534</v>
      </c>
      <c r="AM18" s="103">
        <f>Ohj.lask.[[#This Row],[Jaettava € 2]]</f>
        <v>32447</v>
      </c>
      <c r="AN18" s="11">
        <f>Ohj.lask.[[#This Row],[Jaettava € 3]]+Ohj.lask.[[#This Row],[Jaettava € 4]]+Ohj.lask.[[#This Row],[Jaettava € 5]]+Ohj.lask.[[#This Row],[Jaettava € 6]]+Ohj.lask.[[#This Row],[Jaettava € 7]]</f>
        <v>23337</v>
      </c>
      <c r="AO18" s="34">
        <f>Ohj.lask.[[#This Row],[Jaettava € 8]]+Ohj.lask.[[#This Row],[Harkinnanvarainen korotus yhteensä, €]]</f>
        <v>168318</v>
      </c>
      <c r="AP18" s="12">
        <v>0</v>
      </c>
      <c r="AQ18" s="34">
        <f>Ohj.lask.[[#This Row],[Perus-, suoritus- ja vaikuttavuusrahoitus yhteensä, €]]+Ohj.lask.[[#This Row],[Alv-korvaus, €]]</f>
        <v>168318</v>
      </c>
    </row>
    <row r="19" spans="1:43" ht="12.75" x14ac:dyDescent="0.2">
      <c r="A19" s="4" t="s">
        <v>318</v>
      </c>
      <c r="B19" s="8" t="s">
        <v>470</v>
      </c>
      <c r="C19" s="97" t="s">
        <v>174</v>
      </c>
      <c r="D19" s="97" t="s">
        <v>326</v>
      </c>
      <c r="E19" s="97" t="s">
        <v>375</v>
      </c>
      <c r="F19" s="105">
        <v>20</v>
      </c>
      <c r="G19" s="33">
        <v>18</v>
      </c>
      <c r="H19" s="9">
        <f>IFERROR(VLOOKUP(Ohj.lask.[[#This Row],[Y-tunnus]],'2.1 Toteut. op.vuodet'!$A:$T,COLUMN('2.1 Toteut. op.vuodet'!S:S),FALSE),0)</f>
        <v>0.95000000000000007</v>
      </c>
      <c r="I19" s="74">
        <f t="shared" si="0"/>
        <v>17.100000000000001</v>
      </c>
      <c r="J19" s="10">
        <f>IFERROR(Ohj.lask.[[#This Row],[Painotetut opiskelija-vuodet]]/Ohj.lask.[[#Totals],[Painotetut opiskelija-vuodet]],0)</f>
        <v>8.303953847498616E-5</v>
      </c>
      <c r="K19" s="11">
        <f>ROUND(IFERROR('1.1 Jakotaulu'!L$12*Ohj.lask.[[#This Row],[%-osuus 1]],0),0)</f>
        <v>118057</v>
      </c>
      <c r="L19" s="139">
        <f>IFERROR(ROUND(VLOOKUP(Ohj.lask.[[#This Row],[Y-tunnus]],'2.2 Tutk. ja osien pain. pist.'!$A:$Q,COLUMN('2.2 Tutk. ja osien pain. pist.'!O:O),FALSE),1),0)</f>
        <v>0</v>
      </c>
      <c r="M19" s="10">
        <f>IFERROR(Ohj.lask.[[#This Row],[Painotetut pisteet 2]]/Ohj.lask.[[#Totals],[Painotetut pisteet 2]],0)</f>
        <v>0</v>
      </c>
      <c r="N19" s="17">
        <f>ROUND(IFERROR('1.1 Jakotaulu'!K$13*Ohj.lask.[[#This Row],[%-osuus 2]],0),0)</f>
        <v>0</v>
      </c>
      <c r="O19" s="140">
        <f>IFERROR(ROUND(VLOOKUP(Ohj.lask.[[#This Row],[Y-tunnus]],'2.3 Työll. ja jatko-opisk.'!$A:$Y,COLUMN('2.3 Työll. ja jatko-opisk.'!L:L),FALSE),1),0)</f>
        <v>0</v>
      </c>
      <c r="P19" s="14">
        <f>IFERROR(Ohj.lask.[[#This Row],[Painotetut pisteet 3]]/Ohj.lask.[[#Totals],[Painotetut pisteet 3]],0)</f>
        <v>0</v>
      </c>
      <c r="Q19" s="11">
        <f>ROUND(IFERROR('1.1 Jakotaulu'!L$15*Ohj.lask.[[#This Row],[%-osuus 3]],0),0)</f>
        <v>0</v>
      </c>
      <c r="R19" s="139">
        <f>IFERROR(ROUND(VLOOKUP(Ohj.lask.[[#This Row],[Y-tunnus]],'2.4 Aloittaneet palaute'!$A:$I,COLUMN('2.4 Aloittaneet palaute'!H:H),FALSE),1),0)</f>
        <v>0</v>
      </c>
      <c r="S19" s="14">
        <f>IFERROR(Ohj.lask.[[#This Row],[Painotetut pisteet 4]]/Ohj.lask.[[#Totals],[Painotetut pisteet 4]],0)</f>
        <v>0</v>
      </c>
      <c r="T19" s="17">
        <f>ROUND(IFERROR('1.1 Jakotaulu'!M$17*Ohj.lask.[[#This Row],[%-osuus 4]],0),0)</f>
        <v>0</v>
      </c>
      <c r="U19" s="139">
        <f>IFERROR(ROUND(VLOOKUP(Ohj.lask.[[#This Row],[Y-tunnus]],'2.5 Päättäneet palaute'!$A:$Y,COLUMN('2.5 Päättäneet palaute'!X:X),FALSE),1),0)</f>
        <v>0</v>
      </c>
      <c r="V19" s="14">
        <f>IFERROR(Ohj.lask.[[#This Row],[Painotetut pisteet 5]]/Ohj.lask.[[#Totals],[Painotetut pisteet 5]],0)</f>
        <v>0</v>
      </c>
      <c r="W19" s="17">
        <f>ROUND(IFERROR('1.1 Jakotaulu'!M$18*Ohj.lask.[[#This Row],[%-osuus 5]],0),0)</f>
        <v>0</v>
      </c>
      <c r="X19" s="139">
        <f>IFERROR(ROUND(VLOOKUP(Ohj.lask.[[#This Row],[Y-tunnus]],'2.6 Työpaikkaohjaajakysely'!A:I,COLUMN('2.6 Työpaikkaohjaajakysely'!H:H),FALSE),1),0)</f>
        <v>0</v>
      </c>
      <c r="Y19" s="10">
        <f>IFERROR(Ohj.lask.[[#This Row],[Painotetut pisteet 6]]/Ohj.lask.[[#Totals],[Painotetut pisteet 6]],0)</f>
        <v>0</v>
      </c>
      <c r="Z19" s="17">
        <f>ROUND(IFERROR('1.1 Jakotaulu'!M$20*Ohj.lask.[[#This Row],[%-osuus 6]],0),0)</f>
        <v>0</v>
      </c>
      <c r="AA19" s="139">
        <f>IFERROR(ROUND(VLOOKUP(Ohj.lask.[[#This Row],[Y-tunnus]],'2.7 Työpaikkakysely'!A:G,COLUMN('2.7 Työpaikkakysely'!F:F),FALSE),1),0)</f>
        <v>0</v>
      </c>
      <c r="AB19" s="10">
        <f>IFERROR(Ohj.lask.[[#This Row],[Pisteet 7]]/Ohj.lask.[[#Totals],[Pisteet 7]],0)</f>
        <v>0</v>
      </c>
      <c r="AC19" s="17">
        <f>ROUND(IFERROR('1.1 Jakotaulu'!M$21*Ohj.lask.[[#This Row],[%-osuus 7]],0),0)</f>
        <v>0</v>
      </c>
      <c r="AD19" s="13">
        <f>IFERROR(Ohj.lask.[[#This Row],[Jaettava € 8]]/Ohj.lask.[[#Totals],[Jaettava € 8]],"")</f>
        <v>5.7847570681550136E-5</v>
      </c>
      <c r="AE1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118057</v>
      </c>
      <c r="AF19" s="103">
        <v>1350000</v>
      </c>
      <c r="AG19" s="103">
        <v>0</v>
      </c>
      <c r="AH19" s="107">
        <v>0</v>
      </c>
      <c r="AI19" s="33">
        <v>0</v>
      </c>
      <c r="AJ19" s="107">
        <v>0</v>
      </c>
      <c r="AK1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1350000</v>
      </c>
      <c r="AL19" s="11">
        <f>Ohj.lask.[[#This Row],[Jaettava € 1]]+Ohj.lask.[[#This Row],[Harkinnanvarainen korotus yhteensä, €]]</f>
        <v>1468057</v>
      </c>
      <c r="AM19" s="103">
        <f>Ohj.lask.[[#This Row],[Jaettava € 2]]</f>
        <v>0</v>
      </c>
      <c r="AN19" s="11">
        <f>Ohj.lask.[[#This Row],[Jaettava € 3]]+Ohj.lask.[[#This Row],[Jaettava € 4]]+Ohj.lask.[[#This Row],[Jaettava € 5]]+Ohj.lask.[[#This Row],[Jaettava € 6]]+Ohj.lask.[[#This Row],[Jaettava € 7]]</f>
        <v>0</v>
      </c>
      <c r="AO19" s="34">
        <f>Ohj.lask.[[#This Row],[Jaettava € 8]]+Ohj.lask.[[#This Row],[Harkinnanvarainen korotus yhteensä, €]]</f>
        <v>1468057</v>
      </c>
      <c r="AP19" s="12">
        <v>46465</v>
      </c>
      <c r="AQ19" s="34">
        <f>Ohj.lask.[[#This Row],[Perus-, suoritus- ja vaikuttavuusrahoitus yhteensä, €]]+Ohj.lask.[[#This Row],[Alv-korvaus, €]]</f>
        <v>1514522</v>
      </c>
    </row>
    <row r="20" spans="1:43" ht="12.75" x14ac:dyDescent="0.2">
      <c r="A20" s="4" t="s">
        <v>309</v>
      </c>
      <c r="B20" s="8" t="s">
        <v>25</v>
      </c>
      <c r="C20" s="8" t="s">
        <v>174</v>
      </c>
      <c r="D20" s="8" t="s">
        <v>326</v>
      </c>
      <c r="E20" s="8" t="s">
        <v>376</v>
      </c>
      <c r="F20" s="106">
        <v>106</v>
      </c>
      <c r="G20" s="33">
        <v>102</v>
      </c>
      <c r="H20" s="9">
        <f>IFERROR(VLOOKUP(Ohj.lask.[[#This Row],[Y-tunnus]],'2.1 Toteut. op.vuodet'!$A:$T,COLUMN('2.1 Toteut. op.vuodet'!S:S),FALSE),0)</f>
        <v>1.6955070531147531</v>
      </c>
      <c r="I20" s="74">
        <f t="shared" si="0"/>
        <v>172.9</v>
      </c>
      <c r="J20" s="10">
        <f>IFERROR(Ohj.lask.[[#This Row],[Painotetut opiskelija-vuodet]]/Ohj.lask.[[#Totals],[Painotetut opiskelija-vuodet]],0)</f>
        <v>8.3962200013597125E-4</v>
      </c>
      <c r="K20" s="11">
        <f>ROUND(IFERROR('1.1 Jakotaulu'!L$12*Ohj.lask.[[#This Row],[%-osuus 1]],0),0)</f>
        <v>1193688</v>
      </c>
      <c r="L20" s="139">
        <f>IFERROR(ROUND(VLOOKUP(Ohj.lask.[[#This Row],[Y-tunnus]],'2.2 Tutk. ja osien pain. pist.'!$A:$Q,COLUMN('2.2 Tutk. ja osien pain. pist.'!O:O),FALSE),1),0)</f>
        <v>13770.6</v>
      </c>
      <c r="M20" s="10">
        <f>IFERROR(Ohj.lask.[[#This Row],[Painotetut pisteet 2]]/Ohj.lask.[[#Totals],[Painotetut pisteet 2]],0)</f>
        <v>8.7433383521845303E-4</v>
      </c>
      <c r="N20" s="17">
        <f>ROUND(IFERROR('1.1 Jakotaulu'!K$13*Ohj.lask.[[#This Row],[%-osuus 2]],0),0)</f>
        <v>360886</v>
      </c>
      <c r="O20" s="140">
        <f>IFERROR(ROUND(VLOOKUP(Ohj.lask.[[#This Row],[Y-tunnus]],'2.3 Työll. ja jatko-opisk.'!$A:$Y,COLUMN('2.3 Työll. ja jatko-opisk.'!L:L),FALSE),1),0)</f>
        <v>298.89999999999998</v>
      </c>
      <c r="P20" s="10">
        <f>IFERROR(Ohj.lask.[[#This Row],[Painotetut pisteet 3]]/Ohj.lask.[[#Totals],[Painotetut pisteet 3]],0)</f>
        <v>8.85562720446307E-4</v>
      </c>
      <c r="Q20" s="11">
        <f>ROUND(IFERROR('1.1 Jakotaulu'!L$15*Ohj.lask.[[#This Row],[%-osuus 3]],0),0)</f>
        <v>127932</v>
      </c>
      <c r="R20" s="139">
        <f>IFERROR(ROUND(VLOOKUP(Ohj.lask.[[#This Row],[Y-tunnus]],'2.4 Aloittaneet palaute'!$A:$I,COLUMN('2.4 Aloittaneet palaute'!H:H),FALSE),1),0)</f>
        <v>619.70000000000005</v>
      </c>
      <c r="S20" s="14">
        <f>IFERROR(Ohj.lask.[[#This Row],[Painotetut pisteet 4]]/Ohj.lask.[[#Totals],[Painotetut pisteet 4]],0)</f>
        <v>3.5642602417266693E-4</v>
      </c>
      <c r="T20" s="17">
        <f>ROUND(IFERROR('1.1 Jakotaulu'!M$17*Ohj.lask.[[#This Row],[%-osuus 4]],0),0)</f>
        <v>2758</v>
      </c>
      <c r="U20" s="139">
        <f>IFERROR(ROUND(VLOOKUP(Ohj.lask.[[#This Row],[Y-tunnus]],'2.5 Päättäneet palaute'!$A:$Y,COLUMN('2.5 Päättäneet palaute'!X:X),FALSE),1),0)</f>
        <v>6330.5</v>
      </c>
      <c r="V20" s="14">
        <f>IFERROR(Ohj.lask.[[#This Row],[Painotetut pisteet 5]]/Ohj.lask.[[#Totals],[Painotetut pisteet 5]],0)</f>
        <v>5.7048522740196295E-4</v>
      </c>
      <c r="W20" s="17">
        <f>ROUND(IFERROR('1.1 Jakotaulu'!M$18*Ohj.lask.[[#This Row],[%-osuus 5]],0),0)</f>
        <v>13245</v>
      </c>
      <c r="X20" s="139">
        <f>IFERROR(ROUND(VLOOKUP(Ohj.lask.[[#This Row],[Y-tunnus]],'2.6 Työpaikkaohjaajakysely'!A:I,COLUMN('2.6 Työpaikkaohjaajakysely'!H:H),FALSE),1),0)</f>
        <v>72208.7</v>
      </c>
      <c r="Y20" s="10">
        <f>IFERROR(Ohj.lask.[[#This Row],[Painotetut pisteet 6]]/Ohj.lask.[[#Totals],[Painotetut pisteet 6]],0)</f>
        <v>2.1041865159655861E-4</v>
      </c>
      <c r="Z20" s="17">
        <f>ROUND(IFERROR('1.1 Jakotaulu'!M$20*Ohj.lask.[[#This Row],[%-osuus 6]],0),0)</f>
        <v>4885</v>
      </c>
      <c r="AA20" s="139">
        <f>IFERROR(ROUND(VLOOKUP(Ohj.lask.[[#This Row],[Y-tunnus]],'2.7 Työpaikkakysely'!A:G,COLUMN('2.7 Työpaikkakysely'!F:F),FALSE),1),0)</f>
        <v>4398</v>
      </c>
      <c r="AB20" s="10">
        <f>IFERROR(Ohj.lask.[[#This Row],[Pisteet 7]]/Ohj.lask.[[#Totals],[Pisteet 7]],0)</f>
        <v>2.1490485135104729E-5</v>
      </c>
      <c r="AC20" s="17">
        <f>ROUND(IFERROR('1.1 Jakotaulu'!M$21*Ohj.lask.[[#This Row],[%-osuus 7]],0),0)</f>
        <v>166</v>
      </c>
      <c r="AD20" s="13">
        <f>IFERROR(Ohj.lask.[[#This Row],[Jaettava € 8]]/Ohj.lask.[[#Totals],[Jaettava € 8]],"")</f>
        <v>8.3473921504240796E-4</v>
      </c>
      <c r="AE2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1703560</v>
      </c>
      <c r="AF20" s="103">
        <v>0</v>
      </c>
      <c r="AG20" s="103">
        <v>0</v>
      </c>
      <c r="AH20" s="107">
        <v>0</v>
      </c>
      <c r="AI20" s="33">
        <v>0</v>
      </c>
      <c r="AJ20" s="107">
        <v>0</v>
      </c>
      <c r="AK2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20" s="11">
        <f>Ohj.lask.[[#This Row],[Jaettava € 1]]+Ohj.lask.[[#This Row],[Harkinnanvarainen korotus yhteensä, €]]</f>
        <v>1193688</v>
      </c>
      <c r="AM20" s="103">
        <f>Ohj.lask.[[#This Row],[Jaettava € 2]]</f>
        <v>360886</v>
      </c>
      <c r="AN20" s="11">
        <f>Ohj.lask.[[#This Row],[Jaettava € 3]]+Ohj.lask.[[#This Row],[Jaettava € 4]]+Ohj.lask.[[#This Row],[Jaettava € 5]]+Ohj.lask.[[#This Row],[Jaettava € 6]]+Ohj.lask.[[#This Row],[Jaettava € 7]]</f>
        <v>148986</v>
      </c>
      <c r="AO20" s="34">
        <f>Ohj.lask.[[#This Row],[Jaettava € 8]]+Ohj.lask.[[#This Row],[Harkinnanvarainen korotus yhteensä, €]]</f>
        <v>1703560</v>
      </c>
      <c r="AP20" s="12">
        <v>166106</v>
      </c>
      <c r="AQ20" s="34">
        <f>Ohj.lask.[[#This Row],[Perus-, suoritus- ja vaikuttavuusrahoitus yhteensä, €]]+Ohj.lask.[[#This Row],[Alv-korvaus, €]]</f>
        <v>1869666</v>
      </c>
    </row>
    <row r="21" spans="1:43" ht="12.75" x14ac:dyDescent="0.2">
      <c r="A21" s="4" t="s">
        <v>308</v>
      </c>
      <c r="B21" s="8" t="s">
        <v>383</v>
      </c>
      <c r="C21" s="8" t="s">
        <v>180</v>
      </c>
      <c r="D21" s="8" t="s">
        <v>326</v>
      </c>
      <c r="E21" s="8" t="s">
        <v>376</v>
      </c>
      <c r="F21" s="106">
        <v>19</v>
      </c>
      <c r="G21" s="33">
        <v>20</v>
      </c>
      <c r="H21" s="9">
        <f>IFERROR(VLOOKUP(Ohj.lask.[[#This Row],[Y-tunnus]],'2.1 Toteut. op.vuodet'!$A:$T,COLUMN('2.1 Toteut. op.vuodet'!S:S),FALSE),0)</f>
        <v>1.7415386452910109</v>
      </c>
      <c r="I21" s="74">
        <f t="shared" si="0"/>
        <v>34.799999999999997</v>
      </c>
      <c r="J21" s="10">
        <f>IFERROR(Ohj.lask.[[#This Row],[Painotetut opiskelija-vuodet]]/Ohj.lask.[[#Totals],[Painotetut opiskelija-vuodet]],0)</f>
        <v>1.6899274496663848E-4</v>
      </c>
      <c r="K21" s="11">
        <f>ROUND(IFERROR('1.1 Jakotaulu'!L$12*Ohj.lask.[[#This Row],[%-osuus 1]],0),0)</f>
        <v>240256</v>
      </c>
      <c r="L21" s="139">
        <f>IFERROR(ROUND(VLOOKUP(Ohj.lask.[[#This Row],[Y-tunnus]],'2.2 Tutk. ja osien pain. pist.'!$A:$Q,COLUMN('2.2 Tutk. ja osien pain. pist.'!O:O),FALSE),1),0)</f>
        <v>2402.1</v>
      </c>
      <c r="M21" s="10">
        <f>IFERROR(Ohj.lask.[[#This Row],[Painotetut pisteet 2]]/Ohj.lask.[[#Totals],[Painotetut pisteet 2]],0)</f>
        <v>1.5251603456481534E-4</v>
      </c>
      <c r="N21" s="17">
        <f>ROUND(IFERROR('1.1 Jakotaulu'!K$13*Ohj.lask.[[#This Row],[%-osuus 2]],0),0)</f>
        <v>62952</v>
      </c>
      <c r="O21" s="140">
        <f>IFERROR(ROUND(VLOOKUP(Ohj.lask.[[#This Row],[Y-tunnus]],'2.3 Työll. ja jatko-opisk.'!$A:$Y,COLUMN('2.3 Työll. ja jatko-opisk.'!L:L),FALSE),1),0)</f>
        <v>15.4</v>
      </c>
      <c r="P21" s="10">
        <f>IFERROR(Ohj.lask.[[#This Row],[Painotetut pisteet 3]]/Ohj.lask.[[#Totals],[Painotetut pisteet 3]],0)</f>
        <v>4.5626182318076712E-5</v>
      </c>
      <c r="Q21" s="11">
        <f>ROUND(IFERROR('1.1 Jakotaulu'!L$15*Ohj.lask.[[#This Row],[%-osuus 3]],0),0)</f>
        <v>6591</v>
      </c>
      <c r="R21" s="139">
        <f>IFERROR(ROUND(VLOOKUP(Ohj.lask.[[#This Row],[Y-tunnus]],'2.4 Aloittaneet palaute'!$A:$I,COLUMN('2.4 Aloittaneet palaute'!H:H),FALSE),1),0)</f>
        <v>98.7</v>
      </c>
      <c r="S21" s="14">
        <f>IFERROR(Ohj.lask.[[#This Row],[Painotetut pisteet 4]]/Ohj.lask.[[#Totals],[Painotetut pisteet 4]],0)</f>
        <v>5.6768192005554667E-5</v>
      </c>
      <c r="T21" s="17">
        <f>ROUND(IFERROR('1.1 Jakotaulu'!M$17*Ohj.lask.[[#This Row],[%-osuus 4]],0),0)</f>
        <v>439</v>
      </c>
      <c r="U21" s="139">
        <f>IFERROR(ROUND(VLOOKUP(Ohj.lask.[[#This Row],[Y-tunnus]],'2.5 Päättäneet palaute'!$A:$Y,COLUMN('2.5 Päättäneet palaute'!X:X),FALSE),1),0)</f>
        <v>551</v>
      </c>
      <c r="V21" s="14">
        <f>IFERROR(Ohj.lask.[[#This Row],[Painotetut pisteet 5]]/Ohj.lask.[[#Totals],[Painotetut pisteet 5]],0)</f>
        <v>4.9654428607295091E-5</v>
      </c>
      <c r="W21" s="17">
        <f>ROUND(IFERROR('1.1 Jakotaulu'!M$18*Ohj.lask.[[#This Row],[%-osuus 5]],0),0)</f>
        <v>1153</v>
      </c>
      <c r="X21" s="139">
        <f>IFERROR(ROUND(VLOOKUP(Ohj.lask.[[#This Row],[Y-tunnus]],'2.6 Työpaikkaohjaajakysely'!A:I,COLUMN('2.6 Työpaikkaohjaajakysely'!H:H),FALSE),1),0)</f>
        <v>0</v>
      </c>
      <c r="Y21" s="10">
        <f>IFERROR(Ohj.lask.[[#This Row],[Painotetut pisteet 6]]/Ohj.lask.[[#Totals],[Painotetut pisteet 6]],0)</f>
        <v>0</v>
      </c>
      <c r="Z21" s="17">
        <f>ROUND(IFERROR('1.1 Jakotaulu'!M$20*Ohj.lask.[[#This Row],[%-osuus 6]],0),0)</f>
        <v>0</v>
      </c>
      <c r="AA21" s="139">
        <f>IFERROR(ROUND(VLOOKUP(Ohj.lask.[[#This Row],[Y-tunnus]],'2.7 Työpaikkakysely'!A:G,COLUMN('2.7 Työpaikkakysely'!F:F),FALSE),1),0)</f>
        <v>0</v>
      </c>
      <c r="AB21" s="10">
        <f>IFERROR(Ohj.lask.[[#This Row],[Pisteet 7]]/Ohj.lask.[[#Totals],[Pisteet 7]],0)</f>
        <v>0</v>
      </c>
      <c r="AC21" s="17">
        <f>ROUND(IFERROR('1.1 Jakotaulu'!M$21*Ohj.lask.[[#This Row],[%-osuus 7]],0),0)</f>
        <v>0</v>
      </c>
      <c r="AD21" s="13">
        <f>IFERROR(Ohj.lask.[[#This Row],[Jaettava € 8]]/Ohj.lask.[[#Totals],[Jaettava € 8]],"")</f>
        <v>1.5258064224991808E-4</v>
      </c>
      <c r="AE2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311391</v>
      </c>
      <c r="AF21" s="103">
        <v>0</v>
      </c>
      <c r="AG21" s="103">
        <v>0</v>
      </c>
      <c r="AH21" s="107">
        <v>0</v>
      </c>
      <c r="AI21" s="33">
        <v>0</v>
      </c>
      <c r="AJ21" s="107">
        <v>0</v>
      </c>
      <c r="AK2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21" s="11">
        <f>Ohj.lask.[[#This Row],[Jaettava € 1]]+Ohj.lask.[[#This Row],[Harkinnanvarainen korotus yhteensä, €]]</f>
        <v>240256</v>
      </c>
      <c r="AM21" s="103">
        <f>Ohj.lask.[[#This Row],[Jaettava € 2]]</f>
        <v>62952</v>
      </c>
      <c r="AN21" s="11">
        <f>Ohj.lask.[[#This Row],[Jaettava € 3]]+Ohj.lask.[[#This Row],[Jaettava € 4]]+Ohj.lask.[[#This Row],[Jaettava € 5]]+Ohj.lask.[[#This Row],[Jaettava € 6]]+Ohj.lask.[[#This Row],[Jaettava € 7]]</f>
        <v>8183</v>
      </c>
      <c r="AO21" s="34">
        <f>Ohj.lask.[[#This Row],[Jaettava € 8]]+Ohj.lask.[[#This Row],[Harkinnanvarainen korotus yhteensä, €]]</f>
        <v>311391</v>
      </c>
      <c r="AP21" s="12">
        <v>0</v>
      </c>
      <c r="AQ21" s="34">
        <f>Ohj.lask.[[#This Row],[Perus-, suoritus- ja vaikuttavuusrahoitus yhteensä, €]]+Ohj.lask.[[#This Row],[Alv-korvaus, €]]</f>
        <v>311391</v>
      </c>
    </row>
    <row r="22" spans="1:43" ht="12.75" x14ac:dyDescent="0.2">
      <c r="A22" s="4" t="s">
        <v>307</v>
      </c>
      <c r="B22" s="8" t="s">
        <v>128</v>
      </c>
      <c r="C22" s="8" t="s">
        <v>183</v>
      </c>
      <c r="D22" s="8" t="s">
        <v>326</v>
      </c>
      <c r="E22" s="8" t="s">
        <v>375</v>
      </c>
      <c r="F22" s="106">
        <v>29</v>
      </c>
      <c r="G22" s="33">
        <v>26</v>
      </c>
      <c r="H22" s="9">
        <f>IFERROR(VLOOKUP(Ohj.lask.[[#This Row],[Y-tunnus]],'2.1 Toteut. op.vuodet'!$A:$T,COLUMN('2.1 Toteut. op.vuodet'!S:S),FALSE),0)</f>
        <v>0.73093982267662216</v>
      </c>
      <c r="I22" s="74">
        <f t="shared" si="0"/>
        <v>19</v>
      </c>
      <c r="J22" s="10">
        <f>IFERROR(Ohj.lask.[[#This Row],[Painotetut opiskelija-vuodet]]/Ohj.lask.[[#Totals],[Painotetut opiskelija-vuodet]],0)</f>
        <v>9.226615386109574E-5</v>
      </c>
      <c r="K22" s="11">
        <f>ROUND(IFERROR('1.1 Jakotaulu'!L$12*Ohj.lask.[[#This Row],[%-osuus 1]],0),0)</f>
        <v>131175</v>
      </c>
      <c r="L22" s="139">
        <f>IFERROR(ROUND(VLOOKUP(Ohj.lask.[[#This Row],[Y-tunnus]],'2.2 Tutk. ja osien pain. pist.'!$A:$Q,COLUMN('2.2 Tutk. ja osien pain. pist.'!O:O),FALSE),1),0)</f>
        <v>3288.4</v>
      </c>
      <c r="M22" s="10">
        <f>IFERROR(Ohj.lask.[[#This Row],[Painotetut pisteet 2]]/Ohj.lask.[[#Totals],[Painotetut pisteet 2]],0)</f>
        <v>2.0878969570914564E-4</v>
      </c>
      <c r="N22" s="17">
        <f>ROUND(IFERROR('1.1 Jakotaulu'!K$13*Ohj.lask.[[#This Row],[%-osuus 2]],0),0)</f>
        <v>86179</v>
      </c>
      <c r="O22" s="140">
        <f>IFERROR(ROUND(VLOOKUP(Ohj.lask.[[#This Row],[Y-tunnus]],'2.3 Työll. ja jatko-opisk.'!$A:$Y,COLUMN('2.3 Työll. ja jatko-opisk.'!L:L),FALSE),1),0)</f>
        <v>450.8</v>
      </c>
      <c r="P22" s="10">
        <f>IFERROR(Ohj.lask.[[#This Row],[Painotetut pisteet 3]]/Ohj.lask.[[#Totals],[Painotetut pisteet 3]],0)</f>
        <v>1.335602791492791E-3</v>
      </c>
      <c r="Q22" s="11">
        <f>ROUND(IFERROR('1.1 Jakotaulu'!L$15*Ohj.lask.[[#This Row],[%-osuus 3]],0),0)</f>
        <v>192946</v>
      </c>
      <c r="R22" s="139">
        <f>IFERROR(ROUND(VLOOKUP(Ohj.lask.[[#This Row],[Y-tunnus]],'2.4 Aloittaneet palaute'!$A:$I,COLUMN('2.4 Aloittaneet palaute'!H:H),FALSE),1),0)</f>
        <v>1082.8</v>
      </c>
      <c r="S22" s="14">
        <f>IFERROR(Ohj.lask.[[#This Row],[Painotetut pisteet 4]]/Ohj.lask.[[#Totals],[Painotetut pisteet 4]],0)</f>
        <v>6.2278215099913464E-4</v>
      </c>
      <c r="T22" s="17">
        <f>ROUND(IFERROR('1.1 Jakotaulu'!M$17*Ohj.lask.[[#This Row],[%-osuus 4]],0),0)</f>
        <v>4820</v>
      </c>
      <c r="U22" s="139">
        <f>IFERROR(ROUND(VLOOKUP(Ohj.lask.[[#This Row],[Y-tunnus]],'2.5 Päättäneet palaute'!$A:$Y,COLUMN('2.5 Päättäneet palaute'!X:X),FALSE),1),0)</f>
        <v>6678</v>
      </c>
      <c r="V22" s="14">
        <f>IFERROR(Ohj.lask.[[#This Row],[Painotetut pisteet 5]]/Ohj.lask.[[#Totals],[Painotetut pisteet 5]],0)</f>
        <v>6.0180086068877794E-4</v>
      </c>
      <c r="W22" s="17">
        <f>ROUND(IFERROR('1.1 Jakotaulu'!M$18*Ohj.lask.[[#This Row],[%-osuus 5]],0),0)</f>
        <v>13972</v>
      </c>
      <c r="X22" s="139">
        <f>IFERROR(ROUND(VLOOKUP(Ohj.lask.[[#This Row],[Y-tunnus]],'2.6 Työpaikkaohjaajakysely'!A:I,COLUMN('2.6 Työpaikkaohjaajakysely'!H:H),FALSE),1),0)</f>
        <v>0</v>
      </c>
      <c r="Y22" s="10">
        <f>IFERROR(Ohj.lask.[[#This Row],[Painotetut pisteet 6]]/Ohj.lask.[[#Totals],[Painotetut pisteet 6]],0)</f>
        <v>0</v>
      </c>
      <c r="Z22" s="17">
        <f>ROUND(IFERROR('1.1 Jakotaulu'!M$20*Ohj.lask.[[#This Row],[%-osuus 6]],0),0)</f>
        <v>0</v>
      </c>
      <c r="AA22" s="139">
        <f>IFERROR(ROUND(VLOOKUP(Ohj.lask.[[#This Row],[Y-tunnus]],'2.7 Työpaikkakysely'!A:G,COLUMN('2.7 Työpaikkakysely'!F:F),FALSE),1),0)</f>
        <v>0</v>
      </c>
      <c r="AB22" s="10">
        <f>IFERROR(Ohj.lask.[[#This Row],[Pisteet 7]]/Ohj.lask.[[#Totals],[Pisteet 7]],0)</f>
        <v>0</v>
      </c>
      <c r="AC22" s="17">
        <f>ROUND(IFERROR('1.1 Jakotaulu'!M$21*Ohj.lask.[[#This Row],[%-osuus 7]],0),0)</f>
        <v>0</v>
      </c>
      <c r="AD22" s="13">
        <f>IFERROR(Ohj.lask.[[#This Row],[Jaettava € 8]]/Ohj.lask.[[#Totals],[Jaettava € 8]],"")</f>
        <v>2.1025377401499032E-4</v>
      </c>
      <c r="AE2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429092</v>
      </c>
      <c r="AF22" s="103">
        <v>0</v>
      </c>
      <c r="AG22" s="103">
        <v>0</v>
      </c>
      <c r="AH22" s="107">
        <v>0</v>
      </c>
      <c r="AI22" s="33">
        <v>0</v>
      </c>
      <c r="AJ22" s="107">
        <v>0</v>
      </c>
      <c r="AK2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22" s="11">
        <f>Ohj.lask.[[#This Row],[Jaettava € 1]]+Ohj.lask.[[#This Row],[Harkinnanvarainen korotus yhteensä, €]]</f>
        <v>131175</v>
      </c>
      <c r="AM22" s="103">
        <f>Ohj.lask.[[#This Row],[Jaettava € 2]]</f>
        <v>86179</v>
      </c>
      <c r="AN22" s="11">
        <f>Ohj.lask.[[#This Row],[Jaettava € 3]]+Ohj.lask.[[#This Row],[Jaettava € 4]]+Ohj.lask.[[#This Row],[Jaettava € 5]]+Ohj.lask.[[#This Row],[Jaettava € 6]]+Ohj.lask.[[#This Row],[Jaettava € 7]]</f>
        <v>211738</v>
      </c>
      <c r="AO22" s="34">
        <f>Ohj.lask.[[#This Row],[Jaettava € 8]]+Ohj.lask.[[#This Row],[Harkinnanvarainen korotus yhteensä, €]]</f>
        <v>429092</v>
      </c>
      <c r="AP22" s="12">
        <v>12917</v>
      </c>
      <c r="AQ22" s="34">
        <f>Ohj.lask.[[#This Row],[Perus-, suoritus- ja vaikuttavuusrahoitus yhteensä, €]]+Ohj.lask.[[#This Row],[Alv-korvaus, €]]</f>
        <v>442009</v>
      </c>
    </row>
    <row r="23" spans="1:43" ht="12.75" x14ac:dyDescent="0.2">
      <c r="A23" s="4" t="s">
        <v>306</v>
      </c>
      <c r="B23" s="8" t="s">
        <v>494</v>
      </c>
      <c r="C23" s="8" t="s">
        <v>181</v>
      </c>
      <c r="D23" s="8" t="s">
        <v>326</v>
      </c>
      <c r="E23" s="8" t="s">
        <v>375</v>
      </c>
      <c r="F23" s="106">
        <v>120</v>
      </c>
      <c r="G23" s="33">
        <v>124</v>
      </c>
      <c r="H23" s="9">
        <f>IFERROR(VLOOKUP(Ohj.lask.[[#This Row],[Y-tunnus]],'2.1 Toteut. op.vuodet'!$A:$T,COLUMN('2.1 Toteut. op.vuodet'!S:S),FALSE),0)</f>
        <v>0.99407937327594464</v>
      </c>
      <c r="I23" s="74">
        <f t="shared" si="0"/>
        <v>123.3</v>
      </c>
      <c r="J23" s="10">
        <f>IFERROR(Ohj.lask.[[#This Row],[Painotetut opiskelija-vuodet]]/Ohj.lask.[[#Totals],[Painotetut opiskelija-vuodet]],0)</f>
        <v>5.9875877742490019E-4</v>
      </c>
      <c r="K23" s="11">
        <f>ROUND(IFERROR('1.1 Jakotaulu'!L$12*Ohj.lask.[[#This Row],[%-osuus 1]],0),0)</f>
        <v>851254</v>
      </c>
      <c r="L23" s="139">
        <f>IFERROR(ROUND(VLOOKUP(Ohj.lask.[[#This Row],[Y-tunnus]],'2.2 Tutk. ja osien pain. pist.'!$A:$Q,COLUMN('2.2 Tutk. ja osien pain. pist.'!O:O),FALSE),1),0)</f>
        <v>12970</v>
      </c>
      <c r="M23" s="10">
        <f>IFERROR(Ohj.lask.[[#This Row],[Painotetut pisteet 2]]/Ohj.lask.[[#Totals],[Painotetut pisteet 2]],0)</f>
        <v>8.2350150630933552E-4</v>
      </c>
      <c r="N23" s="17">
        <f>ROUND(IFERROR('1.1 Jakotaulu'!K$13*Ohj.lask.[[#This Row],[%-osuus 2]],0),0)</f>
        <v>339904</v>
      </c>
      <c r="O23" s="140">
        <f>IFERROR(ROUND(VLOOKUP(Ohj.lask.[[#This Row],[Y-tunnus]],'2.3 Työll. ja jatko-opisk.'!$A:$Y,COLUMN('2.3 Työll. ja jatko-opisk.'!L:L),FALSE),1),0)</f>
        <v>239.9</v>
      </c>
      <c r="P23" s="10">
        <f>IFERROR(Ohj.lask.[[#This Row],[Painotetut pisteet 3]]/Ohj.lask.[[#Totals],[Painotetut pisteet 3]],0)</f>
        <v>7.1076111286406507E-4</v>
      </c>
      <c r="Q23" s="11">
        <f>ROUND(IFERROR('1.1 Jakotaulu'!L$15*Ohj.lask.[[#This Row],[%-osuus 3]],0),0)</f>
        <v>102679</v>
      </c>
      <c r="R23" s="139">
        <f>IFERROR(ROUND(VLOOKUP(Ohj.lask.[[#This Row],[Y-tunnus]],'2.4 Aloittaneet palaute'!$A:$I,COLUMN('2.4 Aloittaneet palaute'!H:H),FALSE),1),0)</f>
        <v>1184.0999999999999</v>
      </c>
      <c r="S23" s="14">
        <f>IFERROR(Ohj.lask.[[#This Row],[Painotetut pisteet 4]]/Ohj.lask.[[#Totals],[Painotetut pisteet 4]],0)</f>
        <v>6.8104575637059042E-4</v>
      </c>
      <c r="T23" s="17">
        <f>ROUND(IFERROR('1.1 Jakotaulu'!M$17*Ohj.lask.[[#This Row],[%-osuus 4]],0),0)</f>
        <v>5271</v>
      </c>
      <c r="U23" s="139">
        <f>IFERROR(ROUND(VLOOKUP(Ohj.lask.[[#This Row],[Y-tunnus]],'2.5 Päättäneet palaute'!$A:$Y,COLUMN('2.5 Päättäneet palaute'!X:X),FALSE),1),0)</f>
        <v>9766.7000000000007</v>
      </c>
      <c r="V23" s="14">
        <f>IFERROR(Ohj.lask.[[#This Row],[Painotetut pisteet 5]]/Ohj.lask.[[#Totals],[Painotetut pisteet 5]],0)</f>
        <v>8.8014502337362794E-4</v>
      </c>
      <c r="W23" s="17">
        <f>ROUND(IFERROR('1.1 Jakotaulu'!M$18*Ohj.lask.[[#This Row],[%-osuus 5]],0),0)</f>
        <v>20435</v>
      </c>
      <c r="X23" s="139">
        <f>IFERROR(ROUND(VLOOKUP(Ohj.lask.[[#This Row],[Y-tunnus]],'2.6 Työpaikkaohjaajakysely'!A:I,COLUMN('2.6 Työpaikkaohjaajakysely'!H:H),FALSE),1),0)</f>
        <v>556744.80000000005</v>
      </c>
      <c r="Y23" s="10">
        <f>IFERROR(Ohj.lask.[[#This Row],[Painotetut pisteet 6]]/Ohj.lask.[[#Totals],[Painotetut pisteet 6]],0)</f>
        <v>1.6223736211757823E-3</v>
      </c>
      <c r="Z23" s="17">
        <f>ROUND(IFERROR('1.1 Jakotaulu'!M$20*Ohj.lask.[[#This Row],[%-osuus 6]],0),0)</f>
        <v>37667</v>
      </c>
      <c r="AA23" s="139">
        <f>IFERROR(ROUND(VLOOKUP(Ohj.lask.[[#This Row],[Y-tunnus]],'2.7 Työpaikkakysely'!A:G,COLUMN('2.7 Työpaikkakysely'!F:F),FALSE),1),0)</f>
        <v>279080</v>
      </c>
      <c r="AB23" s="10">
        <f>IFERROR(Ohj.lask.[[#This Row],[Pisteet 7]]/Ohj.lask.[[#Totals],[Pisteet 7]],0)</f>
        <v>1.3637027265814071E-3</v>
      </c>
      <c r="AC23" s="17">
        <f>ROUND(IFERROR('1.1 Jakotaulu'!M$21*Ohj.lask.[[#This Row],[%-osuus 7]],0),0)</f>
        <v>10554</v>
      </c>
      <c r="AD23" s="13">
        <f>IFERROR(Ohj.lask.[[#This Row],[Jaettava € 8]]/Ohj.lask.[[#Totals],[Jaettava € 8]],"")</f>
        <v>6.7020019707158185E-4</v>
      </c>
      <c r="AE2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1367764</v>
      </c>
      <c r="AF23" s="103">
        <v>0</v>
      </c>
      <c r="AG23" s="103">
        <v>0</v>
      </c>
      <c r="AH23" s="107">
        <v>0</v>
      </c>
      <c r="AI23" s="33">
        <v>1000</v>
      </c>
      <c r="AJ23" s="107">
        <v>0</v>
      </c>
      <c r="AK2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23" s="11">
        <f>Ohj.lask.[[#This Row],[Jaettava € 1]]+Ohj.lask.[[#This Row],[Harkinnanvarainen korotus yhteensä, €]]</f>
        <v>852254</v>
      </c>
      <c r="AM23" s="103">
        <f>Ohj.lask.[[#This Row],[Jaettava € 2]]</f>
        <v>339904</v>
      </c>
      <c r="AN23" s="11">
        <f>Ohj.lask.[[#This Row],[Jaettava € 3]]+Ohj.lask.[[#This Row],[Jaettava € 4]]+Ohj.lask.[[#This Row],[Jaettava € 5]]+Ohj.lask.[[#This Row],[Jaettava € 6]]+Ohj.lask.[[#This Row],[Jaettava € 7]]</f>
        <v>176606</v>
      </c>
      <c r="AO23" s="34">
        <f>Ohj.lask.[[#This Row],[Jaettava € 8]]+Ohj.lask.[[#This Row],[Harkinnanvarainen korotus yhteensä, €]]</f>
        <v>1368764</v>
      </c>
      <c r="AP23" s="12">
        <v>69900</v>
      </c>
      <c r="AQ23" s="34">
        <f>Ohj.lask.[[#This Row],[Perus-, suoritus- ja vaikuttavuusrahoitus yhteensä, €]]+Ohj.lask.[[#This Row],[Alv-korvaus, €]]</f>
        <v>1438664</v>
      </c>
    </row>
    <row r="24" spans="1:43" ht="12.75" x14ac:dyDescent="0.2">
      <c r="A24" s="4" t="s">
        <v>305</v>
      </c>
      <c r="B24" s="8" t="s">
        <v>27</v>
      </c>
      <c r="C24" s="97" t="s">
        <v>188</v>
      </c>
      <c r="D24" s="97" t="s">
        <v>326</v>
      </c>
      <c r="E24" s="97" t="s">
        <v>375</v>
      </c>
      <c r="F24" s="105">
        <v>183</v>
      </c>
      <c r="G24" s="33">
        <v>185</v>
      </c>
      <c r="H24" s="9">
        <f>IFERROR(VLOOKUP(Ohj.lask.[[#This Row],[Y-tunnus]],'2.1 Toteut. op.vuodet'!$A:$T,COLUMN('2.1 Toteut. op.vuodet'!S:S),FALSE),0)</f>
        <v>1.616556184982705</v>
      </c>
      <c r="I24" s="74">
        <f t="shared" si="0"/>
        <v>299.10000000000002</v>
      </c>
      <c r="J24" s="10">
        <f>IFERROR(Ohj.lask.[[#This Row],[Painotetut opiskelija-vuodet]]/Ohj.lask.[[#Totals],[Painotetut opiskelija-vuodet]],0)</f>
        <v>1.4524635063080913E-3</v>
      </c>
      <c r="K24" s="11">
        <f>ROUND(IFERROR('1.1 Jakotaulu'!L$12*Ohj.lask.[[#This Row],[%-osuus 1]],0),0)</f>
        <v>2064963</v>
      </c>
      <c r="L24" s="139">
        <f>IFERROR(ROUND(VLOOKUP(Ohj.lask.[[#This Row],[Y-tunnus]],'2.2 Tutk. ja osien pain. pist.'!$A:$Q,COLUMN('2.2 Tutk. ja osien pain. pist.'!O:O),FALSE),1),0)</f>
        <v>26701</v>
      </c>
      <c r="M24" s="10">
        <f>IFERROR(Ohj.lask.[[#This Row],[Painotetut pisteet 2]]/Ohj.lask.[[#Totals],[Painotetut pisteet 2]],0)</f>
        <v>1.6953210269826961E-3</v>
      </c>
      <c r="N24" s="17">
        <f>ROUND(IFERROR('1.1 Jakotaulu'!K$13*Ohj.lask.[[#This Row],[%-osuus 2]],0),0)</f>
        <v>699752</v>
      </c>
      <c r="O24" s="140">
        <f>IFERROR(ROUND(VLOOKUP(Ohj.lask.[[#This Row],[Y-tunnus]],'2.3 Työll. ja jatko-opisk.'!$A:$Y,COLUMN('2.3 Työll. ja jatko-opisk.'!L:L),FALSE),1),0)</f>
        <v>409.1</v>
      </c>
      <c r="P24" s="14">
        <f>IFERROR(Ohj.lask.[[#This Row],[Painotetut pisteet 3]]/Ohj.lask.[[#Totals],[Painotetut pisteet 3]],0)</f>
        <v>1.2120565705405963E-3</v>
      </c>
      <c r="Q24" s="11">
        <f>ROUND(IFERROR('1.1 Jakotaulu'!L$15*Ohj.lask.[[#This Row],[%-osuus 3]],0),0)</f>
        <v>175098</v>
      </c>
      <c r="R24" s="139">
        <f>IFERROR(ROUND(VLOOKUP(Ohj.lask.[[#This Row],[Y-tunnus]],'2.4 Aloittaneet palaute'!$A:$I,COLUMN('2.4 Aloittaneet palaute'!H:H),FALSE),1),0)</f>
        <v>1843</v>
      </c>
      <c r="S24" s="14">
        <f>IFERROR(Ohj.lask.[[#This Row],[Painotetut pisteet 4]]/Ohj.lask.[[#Totals],[Painotetut pisteet 4]],0)</f>
        <v>1.0600180128291514E-3</v>
      </c>
      <c r="T24" s="17">
        <f>ROUND(IFERROR('1.1 Jakotaulu'!M$17*Ohj.lask.[[#This Row],[%-osuus 4]],0),0)</f>
        <v>8204</v>
      </c>
      <c r="U24" s="139">
        <f>IFERROR(ROUND(VLOOKUP(Ohj.lask.[[#This Row],[Y-tunnus]],'2.5 Päättäneet palaute'!$A:$Y,COLUMN('2.5 Päättäneet palaute'!X:X),FALSE),1),0)</f>
        <v>6062</v>
      </c>
      <c r="V24" s="14">
        <f>IFERROR(Ohj.lask.[[#This Row],[Painotetut pisteet 5]]/Ohj.lask.[[#Totals],[Painotetut pisteet 5]],0)</f>
        <v>5.4628883161056776E-4</v>
      </c>
      <c r="W24" s="17">
        <f>ROUND(IFERROR('1.1 Jakotaulu'!M$18*Ohj.lask.[[#This Row],[%-osuus 5]],0),0)</f>
        <v>12683</v>
      </c>
      <c r="X24" s="139">
        <f>IFERROR(ROUND(VLOOKUP(Ohj.lask.[[#This Row],[Y-tunnus]],'2.6 Työpaikkaohjaajakysely'!A:I,COLUMN('2.6 Työpaikkaohjaajakysely'!H:H),FALSE),1),0)</f>
        <v>593976.9</v>
      </c>
      <c r="Y24" s="10">
        <f>IFERROR(Ohj.lask.[[#This Row],[Painotetut pisteet 6]]/Ohj.lask.[[#Totals],[Painotetut pisteet 6]],0)</f>
        <v>1.7308692495156947E-3</v>
      </c>
      <c r="Z24" s="17">
        <f>ROUND(IFERROR('1.1 Jakotaulu'!M$20*Ohj.lask.[[#This Row],[%-osuus 6]],0),0)</f>
        <v>40186</v>
      </c>
      <c r="AA24" s="139">
        <f>IFERROR(ROUND(VLOOKUP(Ohj.lask.[[#This Row],[Y-tunnus]],'2.7 Työpaikkakysely'!A:G,COLUMN('2.7 Työpaikkakysely'!F:F),FALSE),1),0)</f>
        <v>405330</v>
      </c>
      <c r="AB24" s="10">
        <f>IFERROR(Ohj.lask.[[#This Row],[Pisteet 7]]/Ohj.lask.[[#Totals],[Pisteet 7]],0)</f>
        <v>1.9806135379290585E-3</v>
      </c>
      <c r="AC24" s="17">
        <f>ROUND(IFERROR('1.1 Jakotaulu'!M$21*Ohj.lask.[[#This Row],[%-osuus 7]],0),0)</f>
        <v>15328</v>
      </c>
      <c r="AD24" s="13">
        <f>IFERROR(Ohj.lask.[[#This Row],[Jaettava € 8]]/Ohj.lask.[[#Totals],[Jaettava € 8]],"")</f>
        <v>1.4779356798468627E-3</v>
      </c>
      <c r="AE2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3016214</v>
      </c>
      <c r="AF24" s="103">
        <v>0</v>
      </c>
      <c r="AG24" s="103">
        <v>0</v>
      </c>
      <c r="AH24" s="107">
        <v>0</v>
      </c>
      <c r="AI24" s="33">
        <v>4000</v>
      </c>
      <c r="AJ24" s="107">
        <v>0</v>
      </c>
      <c r="AK2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24" s="11">
        <f>Ohj.lask.[[#This Row],[Jaettava € 1]]+Ohj.lask.[[#This Row],[Harkinnanvarainen korotus yhteensä, €]]</f>
        <v>2068963</v>
      </c>
      <c r="AM24" s="103">
        <f>Ohj.lask.[[#This Row],[Jaettava € 2]]</f>
        <v>699752</v>
      </c>
      <c r="AN24" s="11">
        <f>Ohj.lask.[[#This Row],[Jaettava € 3]]+Ohj.lask.[[#This Row],[Jaettava € 4]]+Ohj.lask.[[#This Row],[Jaettava € 5]]+Ohj.lask.[[#This Row],[Jaettava € 6]]+Ohj.lask.[[#This Row],[Jaettava € 7]]</f>
        <v>251499</v>
      </c>
      <c r="AO24" s="34">
        <f>Ohj.lask.[[#This Row],[Jaettava € 8]]+Ohj.lask.[[#This Row],[Harkinnanvarainen korotus yhteensä, €]]</f>
        <v>3020214</v>
      </c>
      <c r="AP24" s="12">
        <v>281353</v>
      </c>
      <c r="AQ24" s="34">
        <f>Ohj.lask.[[#This Row],[Perus-, suoritus- ja vaikuttavuusrahoitus yhteensä, €]]+Ohj.lask.[[#This Row],[Alv-korvaus, €]]</f>
        <v>3301567</v>
      </c>
    </row>
    <row r="25" spans="1:43" ht="12.75" x14ac:dyDescent="0.2">
      <c r="A25" s="4" t="s">
        <v>304</v>
      </c>
      <c r="B25" s="8" t="s">
        <v>143</v>
      </c>
      <c r="C25" s="8" t="s">
        <v>174</v>
      </c>
      <c r="D25" s="8" t="s">
        <v>326</v>
      </c>
      <c r="E25" s="8" t="s">
        <v>375</v>
      </c>
      <c r="F25" s="106">
        <v>11</v>
      </c>
      <c r="G25" s="33">
        <v>26</v>
      </c>
      <c r="H25" s="9">
        <f>IFERROR(VLOOKUP(Ohj.lask.[[#This Row],[Y-tunnus]],'2.1 Toteut. op.vuodet'!$A:$T,COLUMN('2.1 Toteut. op.vuodet'!S:S),FALSE),0)</f>
        <v>0.72540000000000193</v>
      </c>
      <c r="I25" s="74">
        <f t="shared" si="0"/>
        <v>18.899999999999999</v>
      </c>
      <c r="J25" s="10">
        <f>IFERROR(Ohj.lask.[[#This Row],[Painotetut opiskelija-vuodet]]/Ohj.lask.[[#Totals],[Painotetut opiskelija-vuodet]],0)</f>
        <v>9.17805425249847E-5</v>
      </c>
      <c r="K25" s="11">
        <f>ROUND(IFERROR('1.1 Jakotaulu'!L$12*Ohj.lask.[[#This Row],[%-osuus 1]],0),0)</f>
        <v>130484</v>
      </c>
      <c r="L25" s="139">
        <f>IFERROR(ROUND(VLOOKUP(Ohj.lask.[[#This Row],[Y-tunnus]],'2.2 Tutk. ja osien pain. pist.'!$A:$Q,COLUMN('2.2 Tutk. ja osien pain. pist.'!O:O),FALSE),1),0)</f>
        <v>1913.4</v>
      </c>
      <c r="M25" s="10">
        <f>IFERROR(Ohj.lask.[[#This Row],[Painotetut pisteet 2]]/Ohj.lask.[[#Totals],[Painotetut pisteet 2]],0)</f>
        <v>1.2148710733787838E-4</v>
      </c>
      <c r="N25" s="17">
        <f>ROUND(IFERROR('1.1 Jakotaulu'!K$13*Ohj.lask.[[#This Row],[%-osuus 2]],0),0)</f>
        <v>50144</v>
      </c>
      <c r="O25" s="140">
        <f>IFERROR(ROUND(VLOOKUP(Ohj.lask.[[#This Row],[Y-tunnus]],'2.3 Työll. ja jatko-opisk.'!$A:$Y,COLUMN('2.3 Työll. ja jatko-opisk.'!L:L),FALSE),1),0)</f>
        <v>45.7</v>
      </c>
      <c r="P25" s="10">
        <f>IFERROR(Ohj.lask.[[#This Row],[Painotetut pisteet 3]]/Ohj.lask.[[#Totals],[Painotetut pisteet 3]],0)</f>
        <v>1.3539717739844843E-4</v>
      </c>
      <c r="Q25" s="11">
        <f>ROUND(IFERROR('1.1 Jakotaulu'!L$15*Ohj.lask.[[#This Row],[%-osuus 3]],0),0)</f>
        <v>19560</v>
      </c>
      <c r="R25" s="139">
        <f>IFERROR(ROUND(VLOOKUP(Ohj.lask.[[#This Row],[Y-tunnus]],'2.4 Aloittaneet palaute'!$A:$I,COLUMN('2.4 Aloittaneet palaute'!H:H),FALSE),1),0)</f>
        <v>385.2</v>
      </c>
      <c r="S25" s="14">
        <f>IFERROR(Ohj.lask.[[#This Row],[Painotetut pisteet 4]]/Ohj.lask.[[#Totals],[Painotetut pisteet 4]],0)</f>
        <v>2.2155124174812215E-4</v>
      </c>
      <c r="T25" s="17">
        <f>ROUND(IFERROR('1.1 Jakotaulu'!M$17*Ohj.lask.[[#This Row],[%-osuus 4]],0),0)</f>
        <v>1715</v>
      </c>
      <c r="U25" s="139">
        <f>IFERROR(ROUND(VLOOKUP(Ohj.lask.[[#This Row],[Y-tunnus]],'2.5 Päättäneet palaute'!$A:$Y,COLUMN('2.5 Päättäneet palaute'!X:X),FALSE),1),0)</f>
        <v>4618.6000000000004</v>
      </c>
      <c r="V25" s="14">
        <f>IFERROR(Ohj.lask.[[#This Row],[Painotetut pisteet 5]]/Ohj.lask.[[#Totals],[Painotetut pisteet 5]],0)</f>
        <v>4.162140543841255E-4</v>
      </c>
      <c r="W25" s="17">
        <f>ROUND(IFERROR('1.1 Jakotaulu'!M$18*Ohj.lask.[[#This Row],[%-osuus 5]],0),0)</f>
        <v>9663</v>
      </c>
      <c r="X25" s="139">
        <f>IFERROR(ROUND(VLOOKUP(Ohj.lask.[[#This Row],[Y-tunnus]],'2.6 Työpaikkaohjaajakysely'!A:I,COLUMN('2.6 Työpaikkaohjaajakysely'!H:H),FALSE),1),0)</f>
        <v>121578.9</v>
      </c>
      <c r="Y25" s="10">
        <f>IFERROR(Ohj.lask.[[#This Row],[Painotetut pisteet 6]]/Ohj.lask.[[#Totals],[Painotetut pisteet 6]],0)</f>
        <v>3.5428512354595556E-4</v>
      </c>
      <c r="Z25" s="17">
        <f>ROUND(IFERROR('1.1 Jakotaulu'!M$20*Ohj.lask.[[#This Row],[%-osuus 6]],0),0)</f>
        <v>8226</v>
      </c>
      <c r="AA25" s="139">
        <f>IFERROR(ROUND(VLOOKUP(Ohj.lask.[[#This Row],[Y-tunnus]],'2.7 Työpaikkakysely'!A:G,COLUMN('2.7 Työpaikkakysely'!F:F),FALSE),1),0)</f>
        <v>22005</v>
      </c>
      <c r="AB25" s="10">
        <f>IFERROR(Ohj.lask.[[#This Row],[Pisteet 7]]/Ohj.lask.[[#Totals],[Pisteet 7]],0)</f>
        <v>1.0752572200954515E-4</v>
      </c>
      <c r="AC25" s="17">
        <f>ROUND(IFERROR('1.1 Jakotaulu'!M$21*Ohj.lask.[[#This Row],[%-osuus 7]],0),0)</f>
        <v>832</v>
      </c>
      <c r="AD25" s="13">
        <f>IFERROR(Ohj.lask.[[#This Row],[Jaettava € 8]]/Ohj.lask.[[#Totals],[Jaettava € 8]],"")</f>
        <v>1.0810508850848588E-4</v>
      </c>
      <c r="AE2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220624</v>
      </c>
      <c r="AF25" s="103">
        <v>0</v>
      </c>
      <c r="AG25" s="103">
        <v>0</v>
      </c>
      <c r="AH25" s="107">
        <v>0</v>
      </c>
      <c r="AI25" s="33">
        <v>0</v>
      </c>
      <c r="AJ25" s="107">
        <v>0</v>
      </c>
      <c r="AK2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25" s="11">
        <f>Ohj.lask.[[#This Row],[Jaettava € 1]]+Ohj.lask.[[#This Row],[Harkinnanvarainen korotus yhteensä, €]]</f>
        <v>130484</v>
      </c>
      <c r="AM25" s="103">
        <f>Ohj.lask.[[#This Row],[Jaettava € 2]]</f>
        <v>50144</v>
      </c>
      <c r="AN25" s="11">
        <f>Ohj.lask.[[#This Row],[Jaettava € 3]]+Ohj.lask.[[#This Row],[Jaettava € 4]]+Ohj.lask.[[#This Row],[Jaettava € 5]]+Ohj.lask.[[#This Row],[Jaettava € 6]]+Ohj.lask.[[#This Row],[Jaettava € 7]]</f>
        <v>39996</v>
      </c>
      <c r="AO25" s="34">
        <f>Ohj.lask.[[#This Row],[Jaettava € 8]]+Ohj.lask.[[#This Row],[Harkinnanvarainen korotus yhteensä, €]]</f>
        <v>220624</v>
      </c>
      <c r="AP25" s="12">
        <v>18137</v>
      </c>
      <c r="AQ25" s="34">
        <f>Ohj.lask.[[#This Row],[Perus-, suoritus- ja vaikuttavuusrahoitus yhteensä, €]]+Ohj.lask.[[#This Row],[Alv-korvaus, €]]</f>
        <v>238761</v>
      </c>
    </row>
    <row r="26" spans="1:43" ht="12.75" x14ac:dyDescent="0.2">
      <c r="A26" s="4" t="s">
        <v>303</v>
      </c>
      <c r="B26" s="8" t="s">
        <v>28</v>
      </c>
      <c r="C26" s="8" t="s">
        <v>174</v>
      </c>
      <c r="D26" s="8" t="s">
        <v>327</v>
      </c>
      <c r="E26" s="8" t="s">
        <v>375</v>
      </c>
      <c r="F26" s="106">
        <v>8947</v>
      </c>
      <c r="G26" s="33">
        <v>9208</v>
      </c>
      <c r="H26" s="9">
        <f>IFERROR(VLOOKUP(Ohj.lask.[[#This Row],[Y-tunnus]],'2.1 Toteut. op.vuodet'!$A:$T,COLUMN('2.1 Toteut. op.vuodet'!S:S),FALSE),0)</f>
        <v>1.1804803345329775</v>
      </c>
      <c r="I26" s="74">
        <f t="shared" si="0"/>
        <v>10869.9</v>
      </c>
      <c r="J26" s="10">
        <f>IFERROR(Ohj.lask.[[#This Row],[Painotetut opiskelija-vuodet]]/Ohj.lask.[[#Totals],[Painotetut opiskelija-vuodet]],0)</f>
        <v>5.2785466623932867E-2</v>
      </c>
      <c r="K26" s="11">
        <f>ROUND(IFERROR('1.1 Jakotaulu'!L$12*Ohj.lask.[[#This Row],[%-osuus 1]],0),0)</f>
        <v>75044940</v>
      </c>
      <c r="L26" s="139">
        <f>IFERROR(ROUND(VLOOKUP(Ohj.lask.[[#This Row],[Y-tunnus]],'2.2 Tutk. ja osien pain. pist.'!$A:$Q,COLUMN('2.2 Tutk. ja osien pain. pist.'!O:O),FALSE),1),0)</f>
        <v>691148.6</v>
      </c>
      <c r="M26" s="10">
        <f>IFERROR(Ohj.lask.[[#This Row],[Painotetut pisteet 2]]/Ohj.lask.[[#Totals],[Painotetut pisteet 2]],0)</f>
        <v>4.388295398485647E-2</v>
      </c>
      <c r="N26" s="17">
        <f>ROUND(IFERROR('1.1 Jakotaulu'!K$13*Ohj.lask.[[#This Row],[%-osuus 2]],0),0)</f>
        <v>18112909</v>
      </c>
      <c r="O26" s="140">
        <f>IFERROR(ROUND(VLOOKUP(Ohj.lask.[[#This Row],[Y-tunnus]],'2.3 Työll. ja jatko-opisk.'!$A:$Y,COLUMN('2.3 Työll. ja jatko-opisk.'!L:L),FALSE),1),0)</f>
        <v>16046.3</v>
      </c>
      <c r="P26" s="10">
        <f>IFERROR(Ohj.lask.[[#This Row],[Painotetut pisteet 3]]/Ohj.lask.[[#Totals],[Painotetut pisteet 3]],0)</f>
        <v>4.7541000605880145E-2</v>
      </c>
      <c r="Q26" s="11">
        <f>ROUND(IFERROR('1.1 Jakotaulu'!L$15*Ohj.lask.[[#This Row],[%-osuus 3]],0),0)</f>
        <v>6867958</v>
      </c>
      <c r="R26" s="139">
        <f>IFERROR(ROUND(VLOOKUP(Ohj.lask.[[#This Row],[Y-tunnus]],'2.4 Aloittaneet palaute'!$A:$I,COLUMN('2.4 Aloittaneet palaute'!H:H),FALSE),1),0)</f>
        <v>67862.899999999994</v>
      </c>
      <c r="S26" s="14">
        <f>IFERROR(Ohj.lask.[[#This Row],[Painotetut pisteet 4]]/Ohj.lask.[[#Totals],[Painotetut pisteet 4]],0)</f>
        <v>3.9031956811081611E-2</v>
      </c>
      <c r="T26" s="17">
        <f>ROUND(IFERROR('1.1 Jakotaulu'!M$17*Ohj.lask.[[#This Row],[%-osuus 4]],0),0)</f>
        <v>302074</v>
      </c>
      <c r="U26" s="139">
        <f>IFERROR(ROUND(VLOOKUP(Ohj.lask.[[#This Row],[Y-tunnus]],'2.5 Päättäneet palaute'!$A:$Y,COLUMN('2.5 Päättäneet palaute'!X:X),FALSE),1),0)</f>
        <v>334491.90000000002</v>
      </c>
      <c r="V26" s="14">
        <f>IFERROR(Ohj.lask.[[#This Row],[Painotetut pisteet 5]]/Ohj.lask.[[#Totals],[Painotetut pisteet 5]],0)</f>
        <v>3.0143383245496352E-2</v>
      </c>
      <c r="W26" s="17">
        <f>ROUND(IFERROR('1.1 Jakotaulu'!M$18*Ohj.lask.[[#This Row],[%-osuus 5]],0),0)</f>
        <v>699851</v>
      </c>
      <c r="X26" s="139">
        <f>IFERROR(ROUND(VLOOKUP(Ohj.lask.[[#This Row],[Y-tunnus]],'2.6 Työpaikkaohjaajakysely'!A:I,COLUMN('2.6 Työpaikkaohjaajakysely'!H:H),FALSE),1),0)</f>
        <v>12476755.800000001</v>
      </c>
      <c r="Y26" s="10">
        <f>IFERROR(Ohj.lask.[[#This Row],[Painotetut pisteet 6]]/Ohj.lask.[[#Totals],[Painotetut pisteet 6]],0)</f>
        <v>3.6357698334626466E-2</v>
      </c>
      <c r="Z26" s="17">
        <f>ROUND(IFERROR('1.1 Jakotaulu'!M$20*Ohj.lask.[[#This Row],[%-osuus 6]],0),0)</f>
        <v>844132</v>
      </c>
      <c r="AA26" s="139">
        <f>IFERROR(ROUND(VLOOKUP(Ohj.lask.[[#This Row],[Y-tunnus]],'2.7 Työpaikkakysely'!A:G,COLUMN('2.7 Työpaikkakysely'!F:F),FALSE),1),0)</f>
        <v>4214525.4000000004</v>
      </c>
      <c r="AB26" s="10">
        <f>IFERROR(Ohj.lask.[[#This Row],[Pisteet 7]]/Ohj.lask.[[#Totals],[Pisteet 7]],0)</f>
        <v>2.0593950764033954E-2</v>
      </c>
      <c r="AC26" s="17">
        <f>ROUND(IFERROR('1.1 Jakotaulu'!M$21*Ohj.lask.[[#This Row],[%-osuus 7]],0),0)</f>
        <v>159379</v>
      </c>
      <c r="AD26" s="13">
        <f>IFERROR(Ohj.lask.[[#This Row],[Jaettava € 8]]/Ohj.lask.[[#Totals],[Jaettava € 8]],"")</f>
        <v>4.9994998527566496E-2</v>
      </c>
      <c r="AE2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102031243</v>
      </c>
      <c r="AF26" s="103">
        <v>0</v>
      </c>
      <c r="AG26" s="103">
        <v>0</v>
      </c>
      <c r="AH26" s="107">
        <v>0</v>
      </c>
      <c r="AI26" s="33">
        <v>103000</v>
      </c>
      <c r="AJ26" s="107">
        <v>18000</v>
      </c>
      <c r="AK2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121000</v>
      </c>
      <c r="AL26" s="11">
        <f>Ohj.lask.[[#This Row],[Jaettava € 1]]+Ohj.lask.[[#This Row],[Harkinnanvarainen korotus yhteensä, €]]</f>
        <v>75165940</v>
      </c>
      <c r="AM26" s="103">
        <f>Ohj.lask.[[#This Row],[Jaettava € 2]]</f>
        <v>18112909</v>
      </c>
      <c r="AN26" s="11">
        <f>Ohj.lask.[[#This Row],[Jaettava € 3]]+Ohj.lask.[[#This Row],[Jaettava € 4]]+Ohj.lask.[[#This Row],[Jaettava € 5]]+Ohj.lask.[[#This Row],[Jaettava € 6]]+Ohj.lask.[[#This Row],[Jaettava € 7]]</f>
        <v>8873394</v>
      </c>
      <c r="AO26" s="34">
        <f>Ohj.lask.[[#This Row],[Jaettava € 8]]+Ohj.lask.[[#This Row],[Harkinnanvarainen korotus yhteensä, €]]</f>
        <v>102152243</v>
      </c>
      <c r="AP26" s="12">
        <v>0</v>
      </c>
      <c r="AQ26" s="34">
        <f>Ohj.lask.[[#This Row],[Perus-, suoritus- ja vaikuttavuusrahoitus yhteensä, €]]+Ohj.lask.[[#This Row],[Alv-korvaus, €]]</f>
        <v>102152243</v>
      </c>
    </row>
    <row r="27" spans="1:43" ht="12.75" x14ac:dyDescent="0.2">
      <c r="A27" s="4" t="s">
        <v>300</v>
      </c>
      <c r="B27" s="8" t="s">
        <v>29</v>
      </c>
      <c r="C27" s="8" t="s">
        <v>174</v>
      </c>
      <c r="D27" s="8" t="s">
        <v>326</v>
      </c>
      <c r="E27" s="8" t="s">
        <v>375</v>
      </c>
      <c r="F27" s="106">
        <v>59</v>
      </c>
      <c r="G27" s="33">
        <v>58</v>
      </c>
      <c r="H27" s="9">
        <f>IFERROR(VLOOKUP(Ohj.lask.[[#This Row],[Y-tunnus]],'2.1 Toteut. op.vuodet'!$A:$T,COLUMN('2.1 Toteut. op.vuodet'!S:S),FALSE),0)</f>
        <v>1.4732646757275447</v>
      </c>
      <c r="I27" s="74">
        <f t="shared" si="0"/>
        <v>85.4</v>
      </c>
      <c r="J27" s="10">
        <f>IFERROR(Ohj.lask.[[#This Row],[Painotetut opiskelija-vuodet]]/Ohj.lask.[[#Totals],[Painotetut opiskelija-vuodet]],0)</f>
        <v>4.1471208103881978E-4</v>
      </c>
      <c r="K27" s="11">
        <f>ROUND(IFERROR('1.1 Jakotaulu'!L$12*Ohj.lask.[[#This Row],[%-osuus 1]],0),0)</f>
        <v>589595</v>
      </c>
      <c r="L27" s="139">
        <f>IFERROR(ROUND(VLOOKUP(Ohj.lask.[[#This Row],[Y-tunnus]],'2.2 Tutk. ja osien pain. pist.'!$A:$Q,COLUMN('2.2 Tutk. ja osien pain. pist.'!O:O),FALSE),1),0)</f>
        <v>8754.2999999999993</v>
      </c>
      <c r="M27" s="10">
        <f>IFERROR(Ohj.lask.[[#This Row],[Painotetut pisteet 2]]/Ohj.lask.[[#Totals],[Painotetut pisteet 2]],0)</f>
        <v>5.5583494500260715E-4</v>
      </c>
      <c r="N27" s="17">
        <f>ROUND(IFERROR('1.1 Jakotaulu'!K$13*Ohj.lask.[[#This Row],[%-osuus 2]],0),0)</f>
        <v>229424</v>
      </c>
      <c r="O27" s="140">
        <f>IFERROR(ROUND(VLOOKUP(Ohj.lask.[[#This Row],[Y-tunnus]],'2.3 Työll. ja jatko-opisk.'!$A:$Y,COLUMN('2.3 Työll. ja jatko-opisk.'!L:L),FALSE),1),0)</f>
        <v>199.8</v>
      </c>
      <c r="P27" s="10">
        <f>IFERROR(Ohj.lask.[[#This Row],[Painotetut pisteet 3]]/Ohj.lask.[[#Totals],[Painotetut pisteet 3]],0)</f>
        <v>5.9195527449037186E-4</v>
      </c>
      <c r="Q27" s="11">
        <f>ROUND(IFERROR('1.1 Jakotaulu'!L$15*Ohj.lask.[[#This Row],[%-osuus 3]],0),0)</f>
        <v>85516</v>
      </c>
      <c r="R27" s="139">
        <f>IFERROR(ROUND(VLOOKUP(Ohj.lask.[[#This Row],[Y-tunnus]],'2.4 Aloittaneet palaute'!$A:$I,COLUMN('2.4 Aloittaneet palaute'!H:H),FALSE),1),0)</f>
        <v>702.7</v>
      </c>
      <c r="S27" s="14">
        <f>IFERROR(Ohj.lask.[[#This Row],[Painotetut pisteet 4]]/Ohj.lask.[[#Totals],[Painotetut pisteet 4]],0)</f>
        <v>4.0416422008412631E-4</v>
      </c>
      <c r="T27" s="17">
        <f>ROUND(IFERROR('1.1 Jakotaulu'!M$17*Ohj.lask.[[#This Row],[%-osuus 4]],0),0)</f>
        <v>3128</v>
      </c>
      <c r="U27" s="139">
        <f>IFERROR(ROUND(VLOOKUP(Ohj.lask.[[#This Row],[Y-tunnus]],'2.5 Päättäneet palaute'!$A:$Y,COLUMN('2.5 Päättäneet palaute'!X:X),FALSE),1),0)</f>
        <v>4861.6000000000004</v>
      </c>
      <c r="V27" s="14">
        <f>IFERROR(Ohj.lask.[[#This Row],[Painotetut pisteet 5]]/Ohj.lask.[[#Totals],[Painotetut pisteet 5]],0)</f>
        <v>4.3811246845231551E-4</v>
      </c>
      <c r="W27" s="17">
        <f>ROUND(IFERROR('1.1 Jakotaulu'!M$18*Ohj.lask.[[#This Row],[%-osuus 5]],0),0)</f>
        <v>10172</v>
      </c>
      <c r="X27" s="139">
        <f>IFERROR(ROUND(VLOOKUP(Ohj.lask.[[#This Row],[Y-tunnus]],'2.6 Työpaikkaohjaajakysely'!A:I,COLUMN('2.6 Työpaikkaohjaajakysely'!H:H),FALSE),1),0)</f>
        <v>13104.3</v>
      </c>
      <c r="Y27" s="10">
        <f>IFERROR(Ohj.lask.[[#This Row],[Painotetut pisteet 6]]/Ohj.lask.[[#Totals],[Painotetut pisteet 6]],0)</f>
        <v>3.8186383858410176E-5</v>
      </c>
      <c r="Z27" s="17">
        <f>ROUND(IFERROR('1.1 Jakotaulu'!M$20*Ohj.lask.[[#This Row],[%-osuus 6]],0),0)</f>
        <v>887</v>
      </c>
      <c r="AA27" s="139">
        <f>IFERROR(ROUND(VLOOKUP(Ohj.lask.[[#This Row],[Y-tunnus]],'2.7 Työpaikkakysely'!A:G,COLUMN('2.7 Työpaikkakysely'!F:F),FALSE),1),0)</f>
        <v>10999</v>
      </c>
      <c r="AB27" s="10">
        <f>IFERROR(Ohj.lask.[[#This Row],[Pisteet 7]]/Ohj.lask.[[#Totals],[Pisteet 7]],0)</f>
        <v>5.3745758526834227E-5</v>
      </c>
      <c r="AC27" s="17">
        <f>ROUND(IFERROR('1.1 Jakotaulu'!M$21*Ohj.lask.[[#This Row],[%-osuus 7]],0),0)</f>
        <v>416</v>
      </c>
      <c r="AD27" s="13">
        <f>IFERROR(Ohj.lask.[[#This Row],[Jaettava € 8]]/Ohj.lask.[[#Totals],[Jaettava € 8]],"")</f>
        <v>4.5037482251030121E-4</v>
      </c>
      <c r="AE2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919138</v>
      </c>
      <c r="AF27" s="103">
        <v>0</v>
      </c>
      <c r="AG27" s="103">
        <v>0</v>
      </c>
      <c r="AH27" s="107">
        <v>0</v>
      </c>
      <c r="AI27" s="33">
        <v>0</v>
      </c>
      <c r="AJ27" s="107">
        <v>0</v>
      </c>
      <c r="AK2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27" s="11">
        <f>Ohj.lask.[[#This Row],[Jaettava € 1]]+Ohj.lask.[[#This Row],[Harkinnanvarainen korotus yhteensä, €]]</f>
        <v>589595</v>
      </c>
      <c r="AM27" s="103">
        <f>Ohj.lask.[[#This Row],[Jaettava € 2]]</f>
        <v>229424</v>
      </c>
      <c r="AN27" s="11">
        <f>Ohj.lask.[[#This Row],[Jaettava € 3]]+Ohj.lask.[[#This Row],[Jaettava € 4]]+Ohj.lask.[[#This Row],[Jaettava € 5]]+Ohj.lask.[[#This Row],[Jaettava € 6]]+Ohj.lask.[[#This Row],[Jaettava € 7]]</f>
        <v>100119</v>
      </c>
      <c r="AO27" s="34">
        <f>Ohj.lask.[[#This Row],[Jaettava € 8]]+Ohj.lask.[[#This Row],[Harkinnanvarainen korotus yhteensä, €]]</f>
        <v>919138</v>
      </c>
      <c r="AP27" s="12">
        <v>25890</v>
      </c>
      <c r="AQ27" s="34">
        <f>Ohj.lask.[[#This Row],[Perus-, suoritus- ja vaikuttavuusrahoitus yhteensä, €]]+Ohj.lask.[[#This Row],[Alv-korvaus, €]]</f>
        <v>945028</v>
      </c>
    </row>
    <row r="28" spans="1:43" ht="12.75" x14ac:dyDescent="0.2">
      <c r="A28" s="4" t="s">
        <v>302</v>
      </c>
      <c r="B28" s="8" t="s">
        <v>30</v>
      </c>
      <c r="C28" s="8" t="s">
        <v>174</v>
      </c>
      <c r="D28" s="8" t="s">
        <v>326</v>
      </c>
      <c r="E28" s="8" t="s">
        <v>375</v>
      </c>
      <c r="F28" s="106">
        <v>1890</v>
      </c>
      <c r="G28" s="33">
        <v>1998</v>
      </c>
      <c r="H28" s="9">
        <f>IFERROR(VLOOKUP(Ohj.lask.[[#This Row],[Y-tunnus]],'2.1 Toteut. op.vuodet'!$A:$T,COLUMN('2.1 Toteut. op.vuodet'!S:S),FALSE),0)</f>
        <v>0.91960897884845383</v>
      </c>
      <c r="I28" s="74">
        <f t="shared" si="0"/>
        <v>1837.4</v>
      </c>
      <c r="J28" s="10">
        <f>IFERROR(Ohj.lask.[[#This Row],[Painotetut opiskelija-vuodet]]/Ohj.lask.[[#Totals],[Painotetut opiskelija-vuodet]],0)</f>
        <v>8.9226226897040697E-3</v>
      </c>
      <c r="K28" s="11">
        <f>ROUND(IFERROR('1.1 Jakotaulu'!L$12*Ohj.lask.[[#This Row],[%-osuus 1]],0),0)</f>
        <v>12685266</v>
      </c>
      <c r="L28" s="139">
        <f>IFERROR(ROUND(VLOOKUP(Ohj.lask.[[#This Row],[Y-tunnus]],'2.2 Tutk. ja osien pain. pist.'!$A:$Q,COLUMN('2.2 Tutk. ja osien pain. pist.'!O:O),FALSE),1),0)</f>
        <v>147744.9</v>
      </c>
      <c r="M28" s="10">
        <f>IFERROR(Ohj.lask.[[#This Row],[Painotetut pisteet 2]]/Ohj.lask.[[#Totals],[Painotetut pisteet 2]],0)</f>
        <v>9.3807361372029406E-3</v>
      </c>
      <c r="N28" s="17">
        <f>ROUND(IFERROR('1.1 Jakotaulu'!K$13*Ohj.lask.[[#This Row],[%-osuus 2]],0),0)</f>
        <v>3871946</v>
      </c>
      <c r="O28" s="140">
        <f>IFERROR(ROUND(VLOOKUP(Ohj.lask.[[#This Row],[Y-tunnus]],'2.3 Työll. ja jatko-opisk.'!$A:$Y,COLUMN('2.3 Työll. ja jatko-opisk.'!L:L),FALSE),1),0)</f>
        <v>3563.3</v>
      </c>
      <c r="P28" s="10">
        <f>IFERROR(Ohj.lask.[[#This Row],[Painotetut pisteet 3]]/Ohj.lask.[[#Totals],[Painotetut pisteet 3]],0)</f>
        <v>1.0557128276233944E-2</v>
      </c>
      <c r="Q28" s="11">
        <f>ROUND(IFERROR('1.1 Jakotaulu'!L$15*Ohj.lask.[[#This Row],[%-osuus 3]],0),0)</f>
        <v>1525124</v>
      </c>
      <c r="R28" s="139">
        <f>IFERROR(ROUND(VLOOKUP(Ohj.lask.[[#This Row],[Y-tunnus]],'2.4 Aloittaneet palaute'!$A:$I,COLUMN('2.4 Aloittaneet palaute'!H:H),FALSE),1),0)</f>
        <v>16871.8</v>
      </c>
      <c r="S28" s="14">
        <f>IFERROR(Ohj.lask.[[#This Row],[Painotetut pisteet 4]]/Ohj.lask.[[#Totals],[Painotetut pisteet 4]],0)</f>
        <v>9.7039673949272254E-3</v>
      </c>
      <c r="T28" s="17">
        <f>ROUND(IFERROR('1.1 Jakotaulu'!M$17*Ohj.lask.[[#This Row],[%-osuus 4]],0),0)</f>
        <v>75100</v>
      </c>
      <c r="U28" s="139">
        <f>IFERROR(ROUND(VLOOKUP(Ohj.lask.[[#This Row],[Y-tunnus]],'2.5 Päättäneet palaute'!$A:$Y,COLUMN('2.5 Päättäneet palaute'!X:X),FALSE),1),0)</f>
        <v>111699.8</v>
      </c>
      <c r="V28" s="14">
        <f>IFERROR(Ohj.lask.[[#This Row],[Painotetut pisteet 5]]/Ohj.lask.[[#Totals],[Painotetut pisteet 5]],0)</f>
        <v>1.006604309355561E-2</v>
      </c>
      <c r="W28" s="17">
        <f>ROUND(IFERROR('1.1 Jakotaulu'!M$18*Ohj.lask.[[#This Row],[%-osuus 5]],0),0)</f>
        <v>233707</v>
      </c>
      <c r="X28" s="139">
        <f>IFERROR(ROUND(VLOOKUP(Ohj.lask.[[#This Row],[Y-tunnus]],'2.6 Työpaikkaohjaajakysely'!A:I,COLUMN('2.6 Työpaikkaohjaajakysely'!H:H),FALSE),1),0)</f>
        <v>3655050.3</v>
      </c>
      <c r="Y28" s="10">
        <f>IFERROR(Ohj.lask.[[#This Row],[Painotetut pisteet 6]]/Ohj.lask.[[#Totals],[Painotetut pisteet 6]],0)</f>
        <v>1.0650943108567209E-2</v>
      </c>
      <c r="Z28" s="17">
        <f>ROUND(IFERROR('1.1 Jakotaulu'!M$20*Ohj.lask.[[#This Row],[%-osuus 6]],0),0)</f>
        <v>247287</v>
      </c>
      <c r="AA28" s="139">
        <f>IFERROR(ROUND(VLOOKUP(Ohj.lask.[[#This Row],[Y-tunnus]],'2.7 Työpaikkakysely'!A:G,COLUMN('2.7 Työpaikkakysely'!F:F),FALSE),1),0)</f>
        <v>1471966.4</v>
      </c>
      <c r="AB28" s="10">
        <f>IFERROR(Ohj.lask.[[#This Row],[Pisteet 7]]/Ohj.lask.[[#Totals],[Pisteet 7]],0)</f>
        <v>7.1926493948553027E-3</v>
      </c>
      <c r="AC28" s="17">
        <f>ROUND(IFERROR('1.1 Jakotaulu'!M$21*Ohj.lask.[[#This Row],[%-osuus 7]],0),0)</f>
        <v>55665</v>
      </c>
      <c r="AD28" s="13">
        <f>IFERROR(Ohj.lask.[[#This Row],[Jaettava € 8]]/Ohj.lask.[[#Totals],[Jaettava € 8]],"")</f>
        <v>9.1600496526263835E-3</v>
      </c>
      <c r="AE2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18694095</v>
      </c>
      <c r="AF28" s="103">
        <v>0</v>
      </c>
      <c r="AG28" s="103">
        <v>0</v>
      </c>
      <c r="AH28" s="107">
        <v>0</v>
      </c>
      <c r="AI28" s="33">
        <v>26000</v>
      </c>
      <c r="AJ28" s="107">
        <v>0</v>
      </c>
      <c r="AK2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26000</v>
      </c>
      <c r="AL28" s="11">
        <f>Ohj.lask.[[#This Row],[Jaettava € 1]]+Ohj.lask.[[#This Row],[Harkinnanvarainen korotus yhteensä, €]]</f>
        <v>12711266</v>
      </c>
      <c r="AM28" s="103">
        <f>Ohj.lask.[[#This Row],[Jaettava € 2]]</f>
        <v>3871946</v>
      </c>
      <c r="AN28" s="11">
        <f>Ohj.lask.[[#This Row],[Jaettava € 3]]+Ohj.lask.[[#This Row],[Jaettava € 4]]+Ohj.lask.[[#This Row],[Jaettava € 5]]+Ohj.lask.[[#This Row],[Jaettava € 6]]+Ohj.lask.[[#This Row],[Jaettava € 7]]</f>
        <v>2136883</v>
      </c>
      <c r="AO28" s="34">
        <f>Ohj.lask.[[#This Row],[Jaettava € 8]]+Ohj.lask.[[#This Row],[Harkinnanvarainen korotus yhteensä, €]]</f>
        <v>18720095</v>
      </c>
      <c r="AP28" s="12">
        <v>1402121</v>
      </c>
      <c r="AQ28" s="34">
        <f>Ohj.lask.[[#This Row],[Perus-, suoritus- ja vaikuttavuusrahoitus yhteensä, €]]+Ohj.lask.[[#This Row],[Alv-korvaus, €]]</f>
        <v>20122216</v>
      </c>
    </row>
    <row r="29" spans="1:43" ht="12.75" x14ac:dyDescent="0.2">
      <c r="A29" s="4" t="s">
        <v>301</v>
      </c>
      <c r="B29" s="8" t="s">
        <v>31</v>
      </c>
      <c r="C29" s="8" t="s">
        <v>256</v>
      </c>
      <c r="D29" s="8" t="s">
        <v>326</v>
      </c>
      <c r="E29" s="8" t="s">
        <v>375</v>
      </c>
      <c r="F29" s="106">
        <v>310</v>
      </c>
      <c r="G29" s="33">
        <v>284</v>
      </c>
      <c r="H29" s="9">
        <f>IFERROR(VLOOKUP(Ohj.lask.[[#This Row],[Y-tunnus]],'2.1 Toteut. op.vuodet'!$A:$T,COLUMN('2.1 Toteut. op.vuodet'!S:S),FALSE),0)</f>
        <v>1.467392421047361</v>
      </c>
      <c r="I29" s="74">
        <f t="shared" si="0"/>
        <v>416.7</v>
      </c>
      <c r="J29" s="10">
        <f>IFERROR(Ohj.lask.[[#This Row],[Painotetut opiskelija-vuodet]]/Ohj.lask.[[#Totals],[Painotetut opiskelija-vuodet]],0)</f>
        <v>2.0235424375746628E-3</v>
      </c>
      <c r="K29" s="11">
        <f>ROUND(IFERROR('1.1 Jakotaulu'!L$12*Ohj.lask.[[#This Row],[%-osuus 1]],0),0)</f>
        <v>2876864</v>
      </c>
      <c r="L29" s="139">
        <f>IFERROR(ROUND(VLOOKUP(Ohj.lask.[[#This Row],[Y-tunnus]],'2.2 Tutk. ja osien pain. pist.'!$A:$Q,COLUMN('2.2 Tutk. ja osien pain. pist.'!O:O),FALSE),1),0)</f>
        <v>25165.7</v>
      </c>
      <c r="M29" s="10">
        <f>IFERROR(Ohj.lask.[[#This Row],[Painotetut pisteet 2]]/Ohj.lask.[[#Totals],[Painotetut pisteet 2]],0)</f>
        <v>1.5978405441271276E-3</v>
      </c>
      <c r="N29" s="17">
        <f>ROUND(IFERROR('1.1 Jakotaulu'!K$13*Ohj.lask.[[#This Row],[%-osuus 2]],0),0)</f>
        <v>659517</v>
      </c>
      <c r="O29" s="140">
        <f>IFERROR(ROUND(VLOOKUP(Ohj.lask.[[#This Row],[Y-tunnus]],'2.3 Työll. ja jatko-opisk.'!$A:$Y,COLUMN('2.3 Työll. ja jatko-opisk.'!L:L),FALSE),1),0)</f>
        <v>705</v>
      </c>
      <c r="P29" s="10">
        <f>IFERROR(Ohj.lask.[[#This Row],[Painotetut pisteet 3]]/Ohj.lask.[[#Totals],[Painotetut pisteet 3]],0)</f>
        <v>2.0887310736522132E-3</v>
      </c>
      <c r="Q29" s="11">
        <f>ROUND(IFERROR('1.1 Jakotaulu'!L$15*Ohj.lask.[[#This Row],[%-osuus 3]],0),0)</f>
        <v>301746</v>
      </c>
      <c r="R29" s="139">
        <f>IFERROR(ROUND(VLOOKUP(Ohj.lask.[[#This Row],[Y-tunnus]],'2.4 Aloittaneet palaute'!$A:$I,COLUMN('2.4 Aloittaneet palaute'!H:H),FALSE),1),0)</f>
        <v>1808.3</v>
      </c>
      <c r="S29" s="14">
        <f>IFERROR(Ohj.lask.[[#This Row],[Painotetut pisteet 4]]/Ohj.lask.[[#Totals],[Painotetut pisteet 4]],0)</f>
        <v>1.04005999598424E-3</v>
      </c>
      <c r="T29" s="17">
        <f>ROUND(IFERROR('1.1 Jakotaulu'!M$17*Ohj.lask.[[#This Row],[%-osuus 4]],0),0)</f>
        <v>8049</v>
      </c>
      <c r="U29" s="139">
        <f>IFERROR(ROUND(VLOOKUP(Ohj.lask.[[#This Row],[Y-tunnus]],'2.5 Päättäneet palaute'!$A:$Y,COLUMN('2.5 Päättäneet palaute'!X:X),FALSE),1),0)</f>
        <v>11892.5</v>
      </c>
      <c r="V29" s="14">
        <f>IFERROR(Ohj.lask.[[#This Row],[Painotetut pisteet 5]]/Ohj.lask.[[#Totals],[Painotetut pisteet 5]],0)</f>
        <v>1.0717155938516458E-3</v>
      </c>
      <c r="W29" s="17">
        <f>ROUND(IFERROR('1.1 Jakotaulu'!M$18*Ohj.lask.[[#This Row],[%-osuus 5]],0),0)</f>
        <v>24882</v>
      </c>
      <c r="X29" s="139">
        <f>IFERROR(ROUND(VLOOKUP(Ohj.lask.[[#This Row],[Y-tunnus]],'2.6 Työpaikkaohjaajakysely'!A:I,COLUMN('2.6 Työpaikkaohjaajakysely'!H:H),FALSE),1),0)</f>
        <v>763805.8</v>
      </c>
      <c r="Y29" s="10">
        <f>IFERROR(Ohj.lask.[[#This Row],[Painotetut pisteet 6]]/Ohj.lask.[[#Totals],[Painotetut pisteet 6]],0)</f>
        <v>2.225756543430788E-3</v>
      </c>
      <c r="Z29" s="17">
        <f>ROUND(IFERROR('1.1 Jakotaulu'!M$20*Ohj.lask.[[#This Row],[%-osuus 6]],0),0)</f>
        <v>51676</v>
      </c>
      <c r="AA29" s="139">
        <f>IFERROR(ROUND(VLOOKUP(Ohj.lask.[[#This Row],[Y-tunnus]],'2.7 Työpaikkakysely'!A:G,COLUMN('2.7 Työpaikkakysely'!F:F),FALSE),1),0)</f>
        <v>562716.1</v>
      </c>
      <c r="AB29" s="10">
        <f>IFERROR(Ohj.lask.[[#This Row],[Pisteet 7]]/Ohj.lask.[[#Totals],[Pisteet 7]],0)</f>
        <v>2.7496684816585054E-3</v>
      </c>
      <c r="AC29" s="17">
        <f>ROUND(IFERROR('1.1 Jakotaulu'!M$21*Ohj.lask.[[#This Row],[%-osuus 7]],0),0)</f>
        <v>21280</v>
      </c>
      <c r="AD29" s="13">
        <f>IFERROR(Ohj.lask.[[#This Row],[Jaettava € 8]]/Ohj.lask.[[#Totals],[Jaettava € 8]],"")</f>
        <v>1.9325548559934887E-3</v>
      </c>
      <c r="AE2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3944014</v>
      </c>
      <c r="AF29" s="103">
        <v>0</v>
      </c>
      <c r="AG29" s="103">
        <v>0</v>
      </c>
      <c r="AH29" s="107">
        <v>0</v>
      </c>
      <c r="AI29" s="33">
        <v>5000</v>
      </c>
      <c r="AJ29" s="107">
        <v>0</v>
      </c>
      <c r="AK2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5000</v>
      </c>
      <c r="AL29" s="11">
        <f>Ohj.lask.[[#This Row],[Jaettava € 1]]+Ohj.lask.[[#This Row],[Harkinnanvarainen korotus yhteensä, €]]</f>
        <v>2881864</v>
      </c>
      <c r="AM29" s="103">
        <f>Ohj.lask.[[#This Row],[Jaettava € 2]]</f>
        <v>659517</v>
      </c>
      <c r="AN29" s="11">
        <f>Ohj.lask.[[#This Row],[Jaettava € 3]]+Ohj.lask.[[#This Row],[Jaettava € 4]]+Ohj.lask.[[#This Row],[Jaettava € 5]]+Ohj.lask.[[#This Row],[Jaettava € 6]]+Ohj.lask.[[#This Row],[Jaettava € 7]]</f>
        <v>407633</v>
      </c>
      <c r="AO29" s="34">
        <f>Ohj.lask.[[#This Row],[Jaettava € 8]]+Ohj.lask.[[#This Row],[Harkinnanvarainen korotus yhteensä, €]]</f>
        <v>3949014</v>
      </c>
      <c r="AP29" s="12">
        <v>363366</v>
      </c>
      <c r="AQ29" s="34">
        <f>Ohj.lask.[[#This Row],[Perus-, suoritus- ja vaikuttavuusrahoitus yhteensä, €]]+Ohj.lask.[[#This Row],[Alv-korvaus, €]]</f>
        <v>4312380</v>
      </c>
    </row>
    <row r="30" spans="1:43" ht="12.75" x14ac:dyDescent="0.2">
      <c r="A30" s="4" t="s">
        <v>298</v>
      </c>
      <c r="B30" s="8" t="s">
        <v>32</v>
      </c>
      <c r="C30" s="8" t="s">
        <v>174</v>
      </c>
      <c r="D30" s="8" t="s">
        <v>326</v>
      </c>
      <c r="E30" s="8" t="s">
        <v>375</v>
      </c>
      <c r="F30" s="106">
        <v>3141</v>
      </c>
      <c r="G30" s="33">
        <v>3364</v>
      </c>
      <c r="H30" s="9">
        <f>IFERROR(VLOOKUP(Ohj.lask.[[#This Row],[Y-tunnus]],'2.1 Toteut. op.vuodet'!$A:$T,COLUMN('2.1 Toteut. op.vuodet'!S:S),FALSE),0)</f>
        <v>1.1020360135890306</v>
      </c>
      <c r="I30" s="74">
        <f t="shared" si="0"/>
        <v>3707.2</v>
      </c>
      <c r="J30" s="10">
        <f>IFERROR(Ohj.lask.[[#This Row],[Painotetut opiskelija-vuodet]]/Ohj.lask.[[#Totals],[Painotetut opiskelija-vuodet]],0)</f>
        <v>1.800258345230811E-2</v>
      </c>
      <c r="K30" s="11">
        <f>ROUND(IFERROR('1.1 Jakotaulu'!L$12*Ohj.lask.[[#This Row],[%-osuus 1]],0),0)</f>
        <v>25594219</v>
      </c>
      <c r="L30" s="139">
        <f>IFERROR(ROUND(VLOOKUP(Ohj.lask.[[#This Row],[Y-tunnus]],'2.2 Tutk. ja osien pain. pist.'!$A:$Q,COLUMN('2.2 Tutk. ja osien pain. pist.'!O:O),FALSE),1),0)</f>
        <v>290778</v>
      </c>
      <c r="M30" s="10">
        <f>IFERROR(Ohj.lask.[[#This Row],[Painotetut pisteet 2]]/Ohj.lask.[[#Totals],[Painotetut pisteet 2]],0)</f>
        <v>1.8462306939214801E-2</v>
      </c>
      <c r="N30" s="17">
        <f>ROUND(IFERROR('1.1 Jakotaulu'!K$13*Ohj.lask.[[#This Row],[%-osuus 2]],0),0)</f>
        <v>7620410</v>
      </c>
      <c r="O30" s="140">
        <f>IFERROR(ROUND(VLOOKUP(Ohj.lask.[[#This Row],[Y-tunnus]],'2.3 Työll. ja jatko-opisk.'!$A:$Y,COLUMN('2.3 Työll. ja jatko-opisk.'!L:L),FALSE),1),0)</f>
        <v>6796.9</v>
      </c>
      <c r="P30" s="10">
        <f>IFERROR(Ohj.lask.[[#This Row],[Painotetut pisteet 3]]/Ohj.lask.[[#Totals],[Painotetut pisteet 3]],0)</f>
        <v>2.0137441467385424E-2</v>
      </c>
      <c r="Q30" s="11">
        <f>ROUND(IFERROR('1.1 Jakotaulu'!L$15*Ohj.lask.[[#This Row],[%-osuus 3]],0),0)</f>
        <v>2909133</v>
      </c>
      <c r="R30" s="139">
        <f>IFERROR(ROUND(VLOOKUP(Ohj.lask.[[#This Row],[Y-tunnus]],'2.4 Aloittaneet palaute'!$A:$I,COLUMN('2.4 Aloittaneet palaute'!H:H),FALSE),1),0)</f>
        <v>29629.7</v>
      </c>
      <c r="S30" s="14">
        <f>IFERROR(Ohj.lask.[[#This Row],[Painotetut pisteet 4]]/Ohj.lask.[[#Totals],[Painotetut pisteet 4]],0)</f>
        <v>1.7041788233708034E-2</v>
      </c>
      <c r="T30" s="17">
        <f>ROUND(IFERROR('1.1 Jakotaulu'!M$17*Ohj.lask.[[#This Row],[%-osuus 4]],0),0)</f>
        <v>131889</v>
      </c>
      <c r="U30" s="139">
        <f>IFERROR(ROUND(VLOOKUP(Ohj.lask.[[#This Row],[Y-tunnus]],'2.5 Päättäneet palaute'!$A:$Y,COLUMN('2.5 Päättäneet palaute'!X:X),FALSE),1),0)</f>
        <v>191371.2</v>
      </c>
      <c r="V30" s="14">
        <f>IFERROR(Ohj.lask.[[#This Row],[Painotetut pisteet 5]]/Ohj.lask.[[#Totals],[Painotetut pisteet 5]],0)</f>
        <v>1.7245785095993449E-2</v>
      </c>
      <c r="W30" s="17">
        <f>ROUND(IFERROR('1.1 Jakotaulu'!M$18*Ohj.lask.[[#This Row],[%-osuus 5]],0),0)</f>
        <v>400403</v>
      </c>
      <c r="X30" s="139">
        <f>IFERROR(ROUND(VLOOKUP(Ohj.lask.[[#This Row],[Y-tunnus]],'2.6 Työpaikkaohjaajakysely'!A:I,COLUMN('2.6 Työpaikkaohjaajakysely'!H:H),FALSE),1),0)</f>
        <v>3792097.9</v>
      </c>
      <c r="Y30" s="10">
        <f>IFERROR(Ohj.lask.[[#This Row],[Painotetut pisteet 6]]/Ohj.lask.[[#Totals],[Painotetut pisteet 6]],0)</f>
        <v>1.1050304559424856E-2</v>
      </c>
      <c r="Z30" s="17">
        <f>ROUND(IFERROR('1.1 Jakotaulu'!M$20*Ohj.lask.[[#This Row],[%-osuus 6]],0),0)</f>
        <v>256559</v>
      </c>
      <c r="AA30" s="139">
        <f>IFERROR(ROUND(VLOOKUP(Ohj.lask.[[#This Row],[Y-tunnus]],'2.7 Työpaikkakysely'!A:G,COLUMN('2.7 Työpaikkakysely'!F:F),FALSE),1),0)</f>
        <v>1228998.3999999999</v>
      </c>
      <c r="AB30" s="10">
        <f>IFERROR(Ohj.lask.[[#This Row],[Pisteet 7]]/Ohj.lask.[[#Totals],[Pisteet 7]],0)</f>
        <v>6.0054051492195301E-3</v>
      </c>
      <c r="AC30" s="17">
        <f>ROUND(IFERROR('1.1 Jakotaulu'!M$21*Ohj.lask.[[#This Row],[%-osuus 7]],0),0)</f>
        <v>46477</v>
      </c>
      <c r="AD30" s="13">
        <f>IFERROR(Ohj.lask.[[#This Row],[Jaettava € 8]]/Ohj.lask.[[#Totals],[Jaettava € 8]],"")</f>
        <v>1.8109841611262126E-2</v>
      </c>
      <c r="AE3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36959090</v>
      </c>
      <c r="AF30" s="103">
        <v>0</v>
      </c>
      <c r="AG30" s="103">
        <v>0</v>
      </c>
      <c r="AH30" s="107">
        <v>0</v>
      </c>
      <c r="AI30" s="33">
        <v>45000</v>
      </c>
      <c r="AJ30" s="107">
        <v>0</v>
      </c>
      <c r="AK3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45000</v>
      </c>
      <c r="AL30" s="11">
        <f>Ohj.lask.[[#This Row],[Jaettava € 1]]+Ohj.lask.[[#This Row],[Harkinnanvarainen korotus yhteensä, €]]</f>
        <v>25639219</v>
      </c>
      <c r="AM30" s="103">
        <f>Ohj.lask.[[#This Row],[Jaettava € 2]]</f>
        <v>7620410</v>
      </c>
      <c r="AN30" s="11">
        <f>Ohj.lask.[[#This Row],[Jaettava € 3]]+Ohj.lask.[[#This Row],[Jaettava € 4]]+Ohj.lask.[[#This Row],[Jaettava € 5]]+Ohj.lask.[[#This Row],[Jaettava € 6]]+Ohj.lask.[[#This Row],[Jaettava € 7]]</f>
        <v>3744461</v>
      </c>
      <c r="AO30" s="34">
        <f>Ohj.lask.[[#This Row],[Jaettava € 8]]+Ohj.lask.[[#This Row],[Harkinnanvarainen korotus yhteensä, €]]</f>
        <v>37004090</v>
      </c>
      <c r="AP30" s="12">
        <v>2448983</v>
      </c>
      <c r="AQ30" s="34">
        <f>Ohj.lask.[[#This Row],[Perus-, suoritus- ja vaikuttavuusrahoitus yhteensä, €]]+Ohj.lask.[[#This Row],[Alv-korvaus, €]]</f>
        <v>39453073</v>
      </c>
    </row>
    <row r="31" spans="1:43" ht="12.75" x14ac:dyDescent="0.2">
      <c r="A31" s="4" t="s">
        <v>297</v>
      </c>
      <c r="B31" s="8" t="s">
        <v>33</v>
      </c>
      <c r="C31" s="8" t="s">
        <v>256</v>
      </c>
      <c r="D31" s="8" t="s">
        <v>326</v>
      </c>
      <c r="E31" s="8" t="s">
        <v>375</v>
      </c>
      <c r="F31" s="106">
        <v>456</v>
      </c>
      <c r="G31" s="33">
        <v>451</v>
      </c>
      <c r="H31" s="9">
        <f>IFERROR(VLOOKUP(Ohj.lask.[[#This Row],[Y-tunnus]],'2.1 Toteut. op.vuodet'!$A:$T,COLUMN('2.1 Toteut. op.vuodet'!S:S),FALSE),0)</f>
        <v>1.2537070835235142</v>
      </c>
      <c r="I31" s="74">
        <f t="shared" si="0"/>
        <v>565.4</v>
      </c>
      <c r="J31" s="10">
        <f>IFERROR(Ohj.lask.[[#This Row],[Painotetut opiskelija-vuodet]]/Ohj.lask.[[#Totals],[Painotetut opiskelija-vuodet]],0)</f>
        <v>2.7456464943717645E-3</v>
      </c>
      <c r="K31" s="11">
        <f>ROUND(IFERROR('1.1 Jakotaulu'!L$12*Ohj.lask.[[#This Row],[%-osuus 1]],0),0)</f>
        <v>3903477</v>
      </c>
      <c r="L31" s="139">
        <f>IFERROR(ROUND(VLOOKUP(Ohj.lask.[[#This Row],[Y-tunnus]],'2.2 Tutk. ja osien pain. pist.'!$A:$Q,COLUMN('2.2 Tutk. ja osien pain. pist.'!O:O),FALSE),1),0)</f>
        <v>38802.300000000003</v>
      </c>
      <c r="M31" s="10">
        <f>IFERROR(Ohj.lask.[[#This Row],[Painotetut pisteet 2]]/Ohj.lask.[[#Totals],[Painotetut pisteet 2]],0)</f>
        <v>2.4636663452788539E-3</v>
      </c>
      <c r="N31" s="17">
        <f>ROUND(IFERROR('1.1 Jakotaulu'!K$13*Ohj.lask.[[#This Row],[%-osuus 2]],0),0)</f>
        <v>1016891</v>
      </c>
      <c r="O31" s="140">
        <f>IFERROR(ROUND(VLOOKUP(Ohj.lask.[[#This Row],[Y-tunnus]],'2.3 Työll. ja jatko-opisk.'!$A:$Y,COLUMN('2.3 Työll. ja jatko-opisk.'!L:L),FALSE),1),0)</f>
        <v>872.5</v>
      </c>
      <c r="P31" s="10">
        <f>IFERROR(Ohj.lask.[[#This Row],[Painotetut pisteet 3]]/Ohj.lask.[[#Totals],[Painotetut pisteet 3]],0)</f>
        <v>2.5849898748390864E-3</v>
      </c>
      <c r="Q31" s="11">
        <f>ROUND(IFERROR('1.1 Jakotaulu'!L$15*Ohj.lask.[[#This Row],[%-osuus 3]],0),0)</f>
        <v>373438</v>
      </c>
      <c r="R31" s="139">
        <f>IFERROR(ROUND(VLOOKUP(Ohj.lask.[[#This Row],[Y-tunnus]],'2.4 Aloittaneet palaute'!$A:$I,COLUMN('2.4 Aloittaneet palaute'!H:H),FALSE),1),0)</f>
        <v>4570.8999999999996</v>
      </c>
      <c r="S31" s="14">
        <f>IFERROR(Ohj.lask.[[#This Row],[Painotetut pisteet 4]]/Ohj.lask.[[#Totals],[Painotetut pisteet 4]],0)</f>
        <v>2.6289942131528855E-3</v>
      </c>
      <c r="T31" s="17">
        <f>ROUND(IFERROR('1.1 Jakotaulu'!M$17*Ohj.lask.[[#This Row],[%-osuus 4]],0),0)</f>
        <v>20346</v>
      </c>
      <c r="U31" s="139">
        <f>IFERROR(ROUND(VLOOKUP(Ohj.lask.[[#This Row],[Y-tunnus]],'2.5 Päättäneet palaute'!$A:$Y,COLUMN('2.5 Päättäneet palaute'!X:X),FALSE),1),0)</f>
        <v>28691.3</v>
      </c>
      <c r="V31" s="14">
        <f>IFERROR(Ohj.lask.[[#This Row],[Painotetut pisteet 5]]/Ohj.lask.[[#Totals],[Painotetut pisteet 5]],0)</f>
        <v>2.5855718829409903E-3</v>
      </c>
      <c r="W31" s="17">
        <f>ROUND(IFERROR('1.1 Jakotaulu'!M$18*Ohj.lask.[[#This Row],[%-osuus 5]],0),0)</f>
        <v>60030</v>
      </c>
      <c r="X31" s="139">
        <f>IFERROR(ROUND(VLOOKUP(Ohj.lask.[[#This Row],[Y-tunnus]],'2.6 Työpaikkaohjaajakysely'!A:I,COLUMN('2.6 Työpaikkaohjaajakysely'!H:H),FALSE),1),0)</f>
        <v>1299081.6000000001</v>
      </c>
      <c r="Y31" s="10">
        <f>IFERROR(Ohj.lask.[[#This Row],[Painotetut pisteet 6]]/Ohj.lask.[[#Totals],[Painotetut pisteet 6]],0)</f>
        <v>3.785568755370197E-3</v>
      </c>
      <c r="Z31" s="17">
        <f>ROUND(IFERROR('1.1 Jakotaulu'!M$20*Ohj.lask.[[#This Row],[%-osuus 6]],0),0)</f>
        <v>87891</v>
      </c>
      <c r="AA31" s="139">
        <f>IFERROR(ROUND(VLOOKUP(Ohj.lask.[[#This Row],[Y-tunnus]],'2.7 Työpaikkakysely'!A:G,COLUMN('2.7 Työpaikkakysely'!F:F),FALSE),1),0)</f>
        <v>724391.8</v>
      </c>
      <c r="AB31" s="10">
        <f>IFERROR(Ohj.lask.[[#This Row],[Pisteet 7]]/Ohj.lask.[[#Totals],[Pisteet 7]],0)</f>
        <v>3.539684222349195E-3</v>
      </c>
      <c r="AC31" s="17">
        <f>ROUND(IFERROR('1.1 Jakotaulu'!M$21*Ohj.lask.[[#This Row],[%-osuus 7]],0),0)</f>
        <v>27394</v>
      </c>
      <c r="AD31" s="13">
        <f>IFERROR(Ohj.lask.[[#This Row],[Jaettava € 8]]/Ohj.lask.[[#Totals],[Jaettava € 8]],"")</f>
        <v>2.6898221222505822E-3</v>
      </c>
      <c r="AE3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5489467</v>
      </c>
      <c r="AF31" s="103">
        <v>0</v>
      </c>
      <c r="AG31" s="103">
        <v>0</v>
      </c>
      <c r="AH31" s="107">
        <v>0</v>
      </c>
      <c r="AI31" s="33">
        <v>7000</v>
      </c>
      <c r="AJ31" s="107">
        <v>0</v>
      </c>
      <c r="AK3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7000</v>
      </c>
      <c r="AL31" s="11">
        <f>Ohj.lask.[[#This Row],[Jaettava € 1]]+Ohj.lask.[[#This Row],[Harkinnanvarainen korotus yhteensä, €]]</f>
        <v>3910477</v>
      </c>
      <c r="AM31" s="103">
        <f>Ohj.lask.[[#This Row],[Jaettava € 2]]</f>
        <v>1016891</v>
      </c>
      <c r="AN31" s="11">
        <f>Ohj.lask.[[#This Row],[Jaettava € 3]]+Ohj.lask.[[#This Row],[Jaettava € 4]]+Ohj.lask.[[#This Row],[Jaettava € 5]]+Ohj.lask.[[#This Row],[Jaettava € 6]]+Ohj.lask.[[#This Row],[Jaettava € 7]]</f>
        <v>569099</v>
      </c>
      <c r="AO31" s="34">
        <f>Ohj.lask.[[#This Row],[Jaettava € 8]]+Ohj.lask.[[#This Row],[Harkinnanvarainen korotus yhteensä, €]]</f>
        <v>5496467</v>
      </c>
      <c r="AP31" s="12">
        <v>570823</v>
      </c>
      <c r="AQ31" s="34">
        <f>Ohj.lask.[[#This Row],[Perus-, suoritus- ja vaikuttavuusrahoitus yhteensä, €]]+Ohj.lask.[[#This Row],[Alv-korvaus, €]]</f>
        <v>6067290</v>
      </c>
    </row>
    <row r="32" spans="1:43" ht="12.75" x14ac:dyDescent="0.2">
      <c r="A32" s="4" t="s">
        <v>295</v>
      </c>
      <c r="B32" s="8" t="s">
        <v>34</v>
      </c>
      <c r="C32" s="8" t="s">
        <v>201</v>
      </c>
      <c r="D32" s="8" t="s">
        <v>326</v>
      </c>
      <c r="E32" s="8" t="s">
        <v>375</v>
      </c>
      <c r="F32" s="106">
        <v>36</v>
      </c>
      <c r="G32" s="33">
        <v>38</v>
      </c>
      <c r="H32" s="9">
        <f>IFERROR(VLOOKUP(Ohj.lask.[[#This Row],[Y-tunnus]],'2.1 Toteut. op.vuodet'!$A:$T,COLUMN('2.1 Toteut. op.vuodet'!S:S),FALSE),0)</f>
        <v>1.3442789923986755</v>
      </c>
      <c r="I32" s="74">
        <f t="shared" si="0"/>
        <v>51.1</v>
      </c>
      <c r="J32" s="10">
        <f>IFERROR(Ohj.lask.[[#This Row],[Painotetut opiskelija-vuodet]]/Ohj.lask.[[#Totals],[Painotetut opiskelija-vuodet]],0)</f>
        <v>2.4814739275273641E-4</v>
      </c>
      <c r="K32" s="11">
        <f>ROUND(IFERROR('1.1 Jakotaulu'!L$12*Ohj.lask.[[#This Row],[%-osuus 1]],0),0)</f>
        <v>352790</v>
      </c>
      <c r="L32" s="139">
        <f>IFERROR(ROUND(VLOOKUP(Ohj.lask.[[#This Row],[Y-tunnus]],'2.2 Tutk. ja osien pain. pist.'!$A:$Q,COLUMN('2.2 Tutk. ja osien pain. pist.'!O:O),FALSE),1),0)</f>
        <v>3149</v>
      </c>
      <c r="M32" s="10">
        <f>IFERROR(Ohj.lask.[[#This Row],[Painotetut pisteet 2]]/Ohj.lask.[[#Totals],[Painotetut pisteet 2]],0)</f>
        <v>1.9993880056808772E-4</v>
      </c>
      <c r="N32" s="17">
        <f>ROUND(IFERROR('1.1 Jakotaulu'!K$13*Ohj.lask.[[#This Row],[%-osuus 2]],0),0)</f>
        <v>82526</v>
      </c>
      <c r="O32" s="140">
        <f>IFERROR(ROUND(VLOOKUP(Ohj.lask.[[#This Row],[Y-tunnus]],'2.3 Työll. ja jatko-opisk.'!$A:$Y,COLUMN('2.3 Työll. ja jatko-opisk.'!L:L),FALSE),1),0)</f>
        <v>72</v>
      </c>
      <c r="P32" s="10">
        <f>IFERROR(Ohj.lask.[[#This Row],[Painotetut pisteet 3]]/Ohj.lask.[[#Totals],[Painotetut pisteet 3]],0)</f>
        <v>2.1331721603256643E-4</v>
      </c>
      <c r="Q32" s="11">
        <f>ROUND(IFERROR('1.1 Jakotaulu'!L$15*Ohj.lask.[[#This Row],[%-osuus 3]],0),0)</f>
        <v>30817</v>
      </c>
      <c r="R32" s="139">
        <f>IFERROR(ROUND(VLOOKUP(Ohj.lask.[[#This Row],[Y-tunnus]],'2.4 Aloittaneet palaute'!$A:$I,COLUMN('2.4 Aloittaneet palaute'!H:H),FALSE),1),0)</f>
        <v>304.10000000000002</v>
      </c>
      <c r="S32" s="14">
        <f>IFERROR(Ohj.lask.[[#This Row],[Painotetut pisteet 4]]/Ohj.lask.[[#Totals],[Painotetut pisteet 4]],0)</f>
        <v>1.7490584791174442E-4</v>
      </c>
      <c r="T32" s="17">
        <f>ROUND(IFERROR('1.1 Jakotaulu'!M$17*Ohj.lask.[[#This Row],[%-osuus 4]],0),0)</f>
        <v>1354</v>
      </c>
      <c r="U32" s="139">
        <f>IFERROR(ROUND(VLOOKUP(Ohj.lask.[[#This Row],[Y-tunnus]],'2.5 Päättäneet palaute'!$A:$Y,COLUMN('2.5 Päättäneet palaute'!X:X),FALSE),1),0)</f>
        <v>683.2</v>
      </c>
      <c r="V32" s="14">
        <f>IFERROR(Ohj.lask.[[#This Row],[Painotetut pisteet 5]]/Ohj.lask.[[#Totals],[Painotetut pisteet 5]],0)</f>
        <v>6.1567886795833044E-5</v>
      </c>
      <c r="W32" s="17">
        <f>ROUND(IFERROR('1.1 Jakotaulu'!M$18*Ohj.lask.[[#This Row],[%-osuus 5]],0),0)</f>
        <v>1429</v>
      </c>
      <c r="X32" s="139">
        <f>IFERROR(ROUND(VLOOKUP(Ohj.lask.[[#This Row],[Y-tunnus]],'2.6 Työpaikkaohjaajakysely'!A:I,COLUMN('2.6 Työpaikkaohjaajakysely'!H:H),FALSE),1),0)</f>
        <v>18480.599999999999</v>
      </c>
      <c r="Y32" s="10">
        <f>IFERROR(Ohj.lask.[[#This Row],[Painotetut pisteet 6]]/Ohj.lask.[[#Totals],[Painotetut pisteet 6]],0)</f>
        <v>5.3853108180805928E-5</v>
      </c>
      <c r="Z32" s="17">
        <f>ROUND(IFERROR('1.1 Jakotaulu'!M$20*Ohj.lask.[[#This Row],[%-osuus 6]],0),0)</f>
        <v>1250</v>
      </c>
      <c r="AA32" s="139">
        <f>IFERROR(ROUND(VLOOKUP(Ohj.lask.[[#This Row],[Y-tunnus]],'2.7 Työpaikkakysely'!A:G,COLUMN('2.7 Työpaikkakysely'!F:F),FALSE),1),0)</f>
        <v>1769</v>
      </c>
      <c r="AB32" s="10">
        <f>IFERROR(Ohj.lask.[[#This Row],[Pisteet 7]]/Ohj.lask.[[#Totals],[Pisteet 7]],0)</f>
        <v>8.6440809922692731E-6</v>
      </c>
      <c r="AC32" s="17">
        <f>ROUND(IFERROR('1.1 Jakotaulu'!M$21*Ohj.lask.[[#This Row],[%-osuus 7]],0),0)</f>
        <v>67</v>
      </c>
      <c r="AD32" s="13">
        <f>IFERROR(Ohj.lask.[[#This Row],[Jaettava € 8]]/Ohj.lask.[[#Totals],[Jaettava € 8]],"")</f>
        <v>2.3041273879818532E-4</v>
      </c>
      <c r="AE3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470233</v>
      </c>
      <c r="AF32" s="103">
        <v>0</v>
      </c>
      <c r="AG32" s="103">
        <v>0</v>
      </c>
      <c r="AH32" s="107">
        <v>0</v>
      </c>
      <c r="AI32" s="33">
        <v>0</v>
      </c>
      <c r="AJ32" s="107">
        <v>0</v>
      </c>
      <c r="AK3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32" s="11">
        <f>Ohj.lask.[[#This Row],[Jaettava € 1]]+Ohj.lask.[[#This Row],[Harkinnanvarainen korotus yhteensä, €]]</f>
        <v>352790</v>
      </c>
      <c r="AM32" s="103">
        <f>Ohj.lask.[[#This Row],[Jaettava € 2]]</f>
        <v>82526</v>
      </c>
      <c r="AN32" s="11">
        <f>Ohj.lask.[[#This Row],[Jaettava € 3]]+Ohj.lask.[[#This Row],[Jaettava € 4]]+Ohj.lask.[[#This Row],[Jaettava € 5]]+Ohj.lask.[[#This Row],[Jaettava € 6]]+Ohj.lask.[[#This Row],[Jaettava € 7]]</f>
        <v>34917</v>
      </c>
      <c r="AO32" s="34">
        <f>Ohj.lask.[[#This Row],[Jaettava € 8]]+Ohj.lask.[[#This Row],[Harkinnanvarainen korotus yhteensä, €]]</f>
        <v>470233</v>
      </c>
      <c r="AP32" s="12">
        <v>54318</v>
      </c>
      <c r="AQ32" s="34">
        <f>Ohj.lask.[[#This Row],[Perus-, suoritus- ja vaikuttavuusrahoitus yhteensä, €]]+Ohj.lask.[[#This Row],[Alv-korvaus, €]]</f>
        <v>524551</v>
      </c>
    </row>
    <row r="33" spans="1:43" ht="12.75" x14ac:dyDescent="0.2">
      <c r="A33" s="4" t="s">
        <v>294</v>
      </c>
      <c r="B33" s="8" t="s">
        <v>35</v>
      </c>
      <c r="C33" s="97" t="s">
        <v>201</v>
      </c>
      <c r="D33" s="97" t="s">
        <v>325</v>
      </c>
      <c r="E33" s="97" t="s">
        <v>375</v>
      </c>
      <c r="F33" s="105">
        <v>1335</v>
      </c>
      <c r="G33" s="33">
        <v>1331</v>
      </c>
      <c r="H33" s="9">
        <f>IFERROR(VLOOKUP(Ohj.lask.[[#This Row],[Y-tunnus]],'2.1 Toteut. op.vuodet'!$A:$T,COLUMN('2.1 Toteut. op.vuodet'!S:S),FALSE),0)</f>
        <v>1.0490730484542199</v>
      </c>
      <c r="I33" s="74">
        <f t="shared" si="0"/>
        <v>1396.3</v>
      </c>
      <c r="J33" s="10">
        <f>IFERROR(Ohj.lask.[[#This Row],[Painotetut opiskelija-vuodet]]/Ohj.lask.[[#Totals],[Painotetut opiskelija-vuodet]],0)</f>
        <v>6.7805910861183137E-3</v>
      </c>
      <c r="K33" s="11">
        <f>ROUND(IFERROR('1.1 Jakotaulu'!L$12*Ohj.lask.[[#This Row],[%-osuus 1]],0),0)</f>
        <v>9639946</v>
      </c>
      <c r="L33" s="139">
        <f>IFERROR(ROUND(VLOOKUP(Ohj.lask.[[#This Row],[Y-tunnus]],'2.2 Tutk. ja osien pain. pist.'!$A:$Q,COLUMN('2.2 Tutk. ja osien pain. pist.'!O:O),FALSE),1),0)</f>
        <v>142993</v>
      </c>
      <c r="M33" s="10">
        <f>IFERROR(Ohj.lask.[[#This Row],[Painotetut pisteet 2]]/Ohj.lask.[[#Totals],[Painotetut pisteet 2]],0)</f>
        <v>9.079024741070996E-3</v>
      </c>
      <c r="N33" s="17">
        <f>ROUND(IFERROR('1.1 Jakotaulu'!K$13*Ohj.lask.[[#This Row],[%-osuus 2]],0),0)</f>
        <v>3747413</v>
      </c>
      <c r="O33" s="140">
        <f>IFERROR(ROUND(VLOOKUP(Ohj.lask.[[#This Row],[Y-tunnus]],'2.3 Työll. ja jatko-opisk.'!$A:$Y,COLUMN('2.3 Työll. ja jatko-opisk.'!L:L),FALSE),1),0)</f>
        <v>3755</v>
      </c>
      <c r="P33" s="14">
        <f>IFERROR(Ohj.lask.[[#This Row],[Painotetut pisteet 3]]/Ohj.lask.[[#Totals],[Painotetut pisteet 3]],0)</f>
        <v>1.1125085363920652E-2</v>
      </c>
      <c r="Q33" s="11">
        <f>ROUND(IFERROR('1.1 Jakotaulu'!L$15*Ohj.lask.[[#This Row],[%-osuus 3]],0),0)</f>
        <v>1607173</v>
      </c>
      <c r="R33" s="139">
        <f>IFERROR(ROUND(VLOOKUP(Ohj.lask.[[#This Row],[Y-tunnus]],'2.4 Aloittaneet palaute'!$A:$I,COLUMN('2.4 Aloittaneet palaute'!H:H),FALSE),1),0)</f>
        <v>19490.8</v>
      </c>
      <c r="S33" s="14">
        <f>IFERROR(Ohj.lask.[[#This Row],[Painotetut pisteet 4]]/Ohj.lask.[[#Totals],[Painotetut pisteet 4]],0)</f>
        <v>1.1210308781579177E-2</v>
      </c>
      <c r="T33" s="17">
        <f>ROUND(IFERROR('1.1 Jakotaulu'!M$17*Ohj.lask.[[#This Row],[%-osuus 4]],0),0)</f>
        <v>86758</v>
      </c>
      <c r="U33" s="139">
        <f>IFERROR(ROUND(VLOOKUP(Ohj.lask.[[#This Row],[Y-tunnus]],'2.5 Päättäneet palaute'!$A:$Y,COLUMN('2.5 Päättäneet palaute'!X:X),FALSE),1),0)</f>
        <v>102286.2</v>
      </c>
      <c r="V33" s="14">
        <f>IFERROR(Ohj.lask.[[#This Row],[Painotetut pisteet 5]]/Ohj.lask.[[#Totals],[Painotetut pisteet 5]],0)</f>
        <v>9.2177183582785975E-3</v>
      </c>
      <c r="W33" s="17">
        <f>ROUND(IFERROR('1.1 Jakotaulu'!M$18*Ohj.lask.[[#This Row],[%-osuus 5]],0),0)</f>
        <v>214012</v>
      </c>
      <c r="X33" s="139">
        <f>IFERROR(ROUND(VLOOKUP(Ohj.lask.[[#This Row],[Y-tunnus]],'2.6 Työpaikkaohjaajakysely'!A:I,COLUMN('2.6 Työpaikkaohjaajakysely'!H:H),FALSE),1),0)</f>
        <v>2467899</v>
      </c>
      <c r="Y33" s="10">
        <f>IFERROR(Ohj.lask.[[#This Row],[Painotetut pisteet 6]]/Ohj.lask.[[#Totals],[Painotetut pisteet 6]],0)</f>
        <v>7.1915431223176073E-3</v>
      </c>
      <c r="Z33" s="17">
        <f>ROUND(IFERROR('1.1 Jakotaulu'!M$20*Ohj.lask.[[#This Row],[%-osuus 6]],0),0)</f>
        <v>166969</v>
      </c>
      <c r="AA33" s="139">
        <f>IFERROR(ROUND(VLOOKUP(Ohj.lask.[[#This Row],[Y-tunnus]],'2.7 Työpaikkakysely'!A:G,COLUMN('2.7 Työpaikkakysely'!F:F),FALSE),1),0)</f>
        <v>2719921</v>
      </c>
      <c r="AB33" s="10">
        <f>IFERROR(Ohj.lask.[[#This Row],[Pisteet 7]]/Ohj.lask.[[#Totals],[Pisteet 7]],0)</f>
        <v>1.3290682541873395E-2</v>
      </c>
      <c r="AC33" s="17">
        <f>ROUND(IFERROR('1.1 Jakotaulu'!M$21*Ohj.lask.[[#This Row],[%-osuus 7]],0),0)</f>
        <v>102858</v>
      </c>
      <c r="AD33" s="13">
        <f>IFERROR(Ohj.lask.[[#This Row],[Jaettava € 8]]/Ohj.lask.[[#Totals],[Jaettava € 8]],"")</f>
        <v>7.6268658359516656E-3</v>
      </c>
      <c r="AE3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15565129</v>
      </c>
      <c r="AF33" s="103">
        <v>0</v>
      </c>
      <c r="AG33" s="103">
        <v>0</v>
      </c>
      <c r="AH33" s="107">
        <v>0</v>
      </c>
      <c r="AI33" s="33">
        <v>19000</v>
      </c>
      <c r="AJ33" s="107">
        <v>0</v>
      </c>
      <c r="AK3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19000</v>
      </c>
      <c r="AL33" s="11">
        <f>Ohj.lask.[[#This Row],[Jaettava € 1]]+Ohj.lask.[[#This Row],[Harkinnanvarainen korotus yhteensä, €]]</f>
        <v>9658946</v>
      </c>
      <c r="AM33" s="103">
        <f>Ohj.lask.[[#This Row],[Jaettava € 2]]</f>
        <v>3747413</v>
      </c>
      <c r="AN33" s="11">
        <f>Ohj.lask.[[#This Row],[Jaettava € 3]]+Ohj.lask.[[#This Row],[Jaettava € 4]]+Ohj.lask.[[#This Row],[Jaettava € 5]]+Ohj.lask.[[#This Row],[Jaettava € 6]]+Ohj.lask.[[#This Row],[Jaettava € 7]]</f>
        <v>2177770</v>
      </c>
      <c r="AO33" s="34">
        <f>Ohj.lask.[[#This Row],[Jaettava € 8]]+Ohj.lask.[[#This Row],[Harkinnanvarainen korotus yhteensä, €]]</f>
        <v>15584129</v>
      </c>
      <c r="AP33" s="12">
        <v>0</v>
      </c>
      <c r="AQ33" s="34">
        <f>Ohj.lask.[[#This Row],[Perus-, suoritus- ja vaikuttavuusrahoitus yhteensä, €]]+Ohj.lask.[[#This Row],[Alv-korvaus, €]]</f>
        <v>15584129</v>
      </c>
    </row>
    <row r="34" spans="1:43" ht="12.75" x14ac:dyDescent="0.2">
      <c r="A34" s="4" t="s">
        <v>293</v>
      </c>
      <c r="B34" s="8" t="s">
        <v>36</v>
      </c>
      <c r="C34" s="8" t="s">
        <v>242</v>
      </c>
      <c r="D34" s="8" t="s">
        <v>326</v>
      </c>
      <c r="E34" s="8" t="s">
        <v>375</v>
      </c>
      <c r="F34" s="106">
        <v>64</v>
      </c>
      <c r="G34" s="33">
        <v>74</v>
      </c>
      <c r="H34" s="9">
        <f>IFERROR(VLOOKUP(Ohj.lask.[[#This Row],[Y-tunnus]],'2.1 Toteut. op.vuodet'!$A:$T,COLUMN('2.1 Toteut. op.vuodet'!S:S),FALSE),0)</f>
        <v>0.75864481914404824</v>
      </c>
      <c r="I34" s="74">
        <f t="shared" si="0"/>
        <v>56.1</v>
      </c>
      <c r="J34" s="10">
        <f>IFERROR(Ohj.lask.[[#This Row],[Painotetut opiskelija-vuodet]]/Ohj.lask.[[#Totals],[Painotetut opiskelija-vuodet]],0)</f>
        <v>2.7242795955828792E-4</v>
      </c>
      <c r="K34" s="11">
        <f>ROUND(IFERROR('1.1 Jakotaulu'!L$12*Ohj.lask.[[#This Row],[%-osuus 1]],0),0)</f>
        <v>387310</v>
      </c>
      <c r="L34" s="139">
        <f>IFERROR(ROUND(VLOOKUP(Ohj.lask.[[#This Row],[Y-tunnus]],'2.2 Tutk. ja osien pain. pist.'!$A:$Q,COLUMN('2.2 Tutk. ja osien pain. pist.'!O:O),FALSE),1),0)</f>
        <v>5594.7</v>
      </c>
      <c r="M34" s="10">
        <f>IFERROR(Ohj.lask.[[#This Row],[Painotetut pisteet 2]]/Ohj.lask.[[#Totals],[Painotetut pisteet 2]],0)</f>
        <v>3.5522312084416648E-4</v>
      </c>
      <c r="N34" s="17">
        <f>ROUND(IFERROR('1.1 Jakotaulu'!K$13*Ohj.lask.[[#This Row],[%-osuus 2]],0),0)</f>
        <v>146620</v>
      </c>
      <c r="O34" s="140">
        <f>IFERROR(ROUND(VLOOKUP(Ohj.lask.[[#This Row],[Y-tunnus]],'2.3 Työll. ja jatko-opisk.'!$A:$Y,COLUMN('2.3 Työll. ja jatko-opisk.'!L:L),FALSE),1),0)</f>
        <v>244.5</v>
      </c>
      <c r="P34" s="10">
        <f>IFERROR(Ohj.lask.[[#This Row],[Painotetut pisteet 3]]/Ohj.lask.[[#Totals],[Painotetut pisteet 3]],0)</f>
        <v>7.2438971277725679E-4</v>
      </c>
      <c r="Q34" s="11">
        <f>ROUND(IFERROR('1.1 Jakotaulu'!L$15*Ohj.lask.[[#This Row],[%-osuus 3]],0),0)</f>
        <v>104648</v>
      </c>
      <c r="R34" s="139">
        <f>IFERROR(ROUND(VLOOKUP(Ohj.lask.[[#This Row],[Y-tunnus]],'2.4 Aloittaneet palaute'!$A:$I,COLUMN('2.4 Aloittaneet palaute'!H:H),FALSE),1),0)</f>
        <v>1744.3</v>
      </c>
      <c r="S34" s="14">
        <f>IFERROR(Ohj.lask.[[#This Row],[Painotetut pisteet 4]]/Ohj.lask.[[#Totals],[Painotetut pisteet 4]],0)</f>
        <v>1.0032498208235967E-3</v>
      </c>
      <c r="T34" s="17">
        <f>ROUND(IFERROR('1.1 Jakotaulu'!M$17*Ohj.lask.[[#This Row],[%-osuus 4]],0),0)</f>
        <v>7764</v>
      </c>
      <c r="U34" s="139">
        <f>IFERROR(ROUND(VLOOKUP(Ohj.lask.[[#This Row],[Y-tunnus]],'2.5 Päättäneet palaute'!$A:$Y,COLUMN('2.5 Päättäneet palaute'!X:X),FALSE),1),0)</f>
        <v>8390.2000000000007</v>
      </c>
      <c r="V34" s="14">
        <f>IFERROR(Ohj.lask.[[#This Row],[Painotetut pisteet 5]]/Ohj.lask.[[#Totals],[Painotetut pisteet 5]],0)</f>
        <v>7.5609906878571203E-4</v>
      </c>
      <c r="W34" s="17">
        <f>ROUND(IFERROR('1.1 Jakotaulu'!M$18*Ohj.lask.[[#This Row],[%-osuus 5]],0),0)</f>
        <v>17555</v>
      </c>
      <c r="X34" s="139">
        <f>IFERROR(ROUND(VLOOKUP(Ohj.lask.[[#This Row],[Y-tunnus]],'2.6 Työpaikkaohjaajakysely'!A:I,COLUMN('2.6 Työpaikkaohjaajakysely'!H:H),FALSE),1),0)</f>
        <v>43773.2</v>
      </c>
      <c r="Y34" s="10">
        <f>IFERROR(Ohj.lask.[[#This Row],[Painotetut pisteet 6]]/Ohj.lask.[[#Totals],[Painotetut pisteet 6]],0)</f>
        <v>1.2755662018657695E-4</v>
      </c>
      <c r="Z34" s="17">
        <f>ROUND(IFERROR('1.1 Jakotaulu'!M$20*Ohj.lask.[[#This Row],[%-osuus 6]],0),0)</f>
        <v>2962</v>
      </c>
      <c r="AA34" s="139">
        <f>IFERROR(ROUND(VLOOKUP(Ohj.lask.[[#This Row],[Y-tunnus]],'2.7 Työpaikkakysely'!A:G,COLUMN('2.7 Työpaikkakysely'!F:F),FALSE),1),0)</f>
        <v>55668</v>
      </c>
      <c r="AB34" s="10">
        <f>IFERROR(Ohj.lask.[[#This Row],[Pisteet 7]]/Ohj.lask.[[#Totals],[Pisteet 7]],0)</f>
        <v>2.7201735482060258E-4</v>
      </c>
      <c r="AC34" s="17">
        <f>ROUND(IFERROR('1.1 Jakotaulu'!M$21*Ohj.lask.[[#This Row],[%-osuus 7]],0),0)</f>
        <v>2105</v>
      </c>
      <c r="AD34" s="13">
        <f>IFERROR(Ohj.lask.[[#This Row],[Jaettava € 8]]/Ohj.lask.[[#Totals],[Jaettava € 8]],"")</f>
        <v>3.2779032394023656E-4</v>
      </c>
      <c r="AE3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668964</v>
      </c>
      <c r="AF34" s="103">
        <v>0</v>
      </c>
      <c r="AG34" s="103">
        <v>0</v>
      </c>
      <c r="AH34" s="107">
        <v>0</v>
      </c>
      <c r="AI34" s="33">
        <v>0</v>
      </c>
      <c r="AJ34" s="107">
        <v>0</v>
      </c>
      <c r="AK3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34" s="11">
        <f>Ohj.lask.[[#This Row],[Jaettava € 1]]+Ohj.lask.[[#This Row],[Harkinnanvarainen korotus yhteensä, €]]</f>
        <v>387310</v>
      </c>
      <c r="AM34" s="103">
        <f>Ohj.lask.[[#This Row],[Jaettava € 2]]</f>
        <v>146620</v>
      </c>
      <c r="AN34" s="11">
        <f>Ohj.lask.[[#This Row],[Jaettava € 3]]+Ohj.lask.[[#This Row],[Jaettava € 4]]+Ohj.lask.[[#This Row],[Jaettava € 5]]+Ohj.lask.[[#This Row],[Jaettava € 6]]+Ohj.lask.[[#This Row],[Jaettava € 7]]</f>
        <v>135034</v>
      </c>
      <c r="AO34" s="34">
        <f>Ohj.lask.[[#This Row],[Jaettava € 8]]+Ohj.lask.[[#This Row],[Harkinnanvarainen korotus yhteensä, €]]</f>
        <v>668964</v>
      </c>
      <c r="AP34" s="12">
        <v>35858</v>
      </c>
      <c r="AQ34" s="34">
        <f>Ohj.lask.[[#This Row],[Perus-, suoritus- ja vaikuttavuusrahoitus yhteensä, €]]+Ohj.lask.[[#This Row],[Alv-korvaus, €]]</f>
        <v>704822</v>
      </c>
    </row>
    <row r="35" spans="1:43" ht="12.75" x14ac:dyDescent="0.2">
      <c r="A35" s="4" t="s">
        <v>290</v>
      </c>
      <c r="B35" s="8" t="s">
        <v>37</v>
      </c>
      <c r="C35" s="8" t="s">
        <v>242</v>
      </c>
      <c r="D35" s="8" t="s">
        <v>327</v>
      </c>
      <c r="E35" s="8" t="s">
        <v>375</v>
      </c>
      <c r="F35" s="106">
        <v>50</v>
      </c>
      <c r="G35" s="33">
        <v>48</v>
      </c>
      <c r="H35" s="9">
        <f>IFERROR(VLOOKUP(Ohj.lask.[[#This Row],[Y-tunnus]],'2.1 Toteut. op.vuodet'!$A:$T,COLUMN('2.1 Toteut. op.vuodet'!S:S),FALSE),0)</f>
        <v>1.4593224286110342</v>
      </c>
      <c r="I35" s="74">
        <f t="shared" si="0"/>
        <v>70</v>
      </c>
      <c r="J35" s="10">
        <f>IFERROR(Ohj.lask.[[#This Row],[Painotetut opiskelija-vuodet]]/Ohj.lask.[[#Totals],[Painotetut opiskelija-vuodet]],0)</f>
        <v>3.3992793527772111E-4</v>
      </c>
      <c r="K35" s="11">
        <f>ROUND(IFERROR('1.1 Jakotaulu'!L$12*Ohj.lask.[[#This Row],[%-osuus 1]],0),0)</f>
        <v>483275</v>
      </c>
      <c r="L35" s="139">
        <f>IFERROR(ROUND(VLOOKUP(Ohj.lask.[[#This Row],[Y-tunnus]],'2.2 Tutk. ja osien pain. pist.'!$A:$Q,COLUMN('2.2 Tutk. ja osien pain. pist.'!O:O),FALSE),1),0)</f>
        <v>6320.8</v>
      </c>
      <c r="M35" s="10">
        <f>IFERROR(Ohj.lask.[[#This Row],[Painotetut pisteet 2]]/Ohj.lask.[[#Totals],[Painotetut pisteet 2]],0)</f>
        <v>4.0132523678334988E-4</v>
      </c>
      <c r="N35" s="17">
        <f>ROUND(IFERROR('1.1 Jakotaulu'!K$13*Ohj.lask.[[#This Row],[%-osuus 2]],0),0)</f>
        <v>165649</v>
      </c>
      <c r="O35" s="140">
        <f>IFERROR(ROUND(VLOOKUP(Ohj.lask.[[#This Row],[Y-tunnus]],'2.3 Työll. ja jatko-opisk.'!$A:$Y,COLUMN('2.3 Työll. ja jatko-opisk.'!L:L),FALSE),1),0)</f>
        <v>114.3</v>
      </c>
      <c r="P35" s="10">
        <f>IFERROR(Ohj.lask.[[#This Row],[Painotetut pisteet 3]]/Ohj.lask.[[#Totals],[Painotetut pisteet 3]],0)</f>
        <v>3.3864108045169922E-4</v>
      </c>
      <c r="Q35" s="11">
        <f>ROUND(IFERROR('1.1 Jakotaulu'!L$15*Ohj.lask.[[#This Row],[%-osuus 3]],0),0)</f>
        <v>48921</v>
      </c>
      <c r="R35" s="139">
        <f>IFERROR(ROUND(VLOOKUP(Ohj.lask.[[#This Row],[Y-tunnus]],'2.4 Aloittaneet palaute'!$A:$I,COLUMN('2.4 Aloittaneet palaute'!H:H),FALSE),1),0)</f>
        <v>551.70000000000005</v>
      </c>
      <c r="S35" s="10">
        <f>IFERROR(Ohj.lask.[[#This Row],[Painotetut pisteet 4]]/Ohj.lask.[[#Totals],[Painotetut pisteet 4]],0)</f>
        <v>3.1731521306448341E-4</v>
      </c>
      <c r="T35" s="17">
        <f>ROUND(IFERROR('1.1 Jakotaulu'!M$17*Ohj.lask.[[#This Row],[%-osuus 4]],0),0)</f>
        <v>2456</v>
      </c>
      <c r="U35" s="139">
        <f>IFERROR(ROUND(VLOOKUP(Ohj.lask.[[#This Row],[Y-tunnus]],'2.5 Päättäneet palaute'!$A:$Y,COLUMN('2.5 Päättäneet palaute'!X:X),FALSE),1),0)</f>
        <v>2323.8000000000002</v>
      </c>
      <c r="V35" s="10">
        <f>IFERROR(Ohj.lask.[[#This Row],[Painotetut pisteet 5]]/Ohj.lask.[[#Totals],[Painotetut pisteet 5]],0)</f>
        <v>2.0941372268172841E-4</v>
      </c>
      <c r="W35" s="17">
        <f>ROUND(IFERROR('1.1 Jakotaulu'!M$18*Ohj.lask.[[#This Row],[%-osuus 5]],0),0)</f>
        <v>4862</v>
      </c>
      <c r="X35" s="139">
        <f>IFERROR(ROUND(VLOOKUP(Ohj.lask.[[#This Row],[Y-tunnus]],'2.6 Työpaikkaohjaajakysely'!A:I,COLUMN('2.6 Työpaikkaohjaajakysely'!H:H),FALSE),1),0)</f>
        <v>26282</v>
      </c>
      <c r="Y35" s="10">
        <f>IFERROR(Ohj.lask.[[#This Row],[Painotetut pisteet 6]]/Ohj.lask.[[#Totals],[Painotetut pisteet 6]],0)</f>
        <v>7.658665785785859E-5</v>
      </c>
      <c r="Z35" s="17">
        <f>ROUND(IFERROR('1.1 Jakotaulu'!M$20*Ohj.lask.[[#This Row],[%-osuus 6]],0),0)</f>
        <v>1778</v>
      </c>
      <c r="AA35" s="139">
        <f>IFERROR(ROUND(VLOOKUP(Ohj.lask.[[#This Row],[Y-tunnus]],'2.7 Työpaikkakysely'!A:G,COLUMN('2.7 Työpaikkakysely'!F:F),FALSE),1),0)</f>
        <v>27628</v>
      </c>
      <c r="AB35" s="10">
        <f>IFERROR(Ohj.lask.[[#This Row],[Pisteet 7]]/Ohj.lask.[[#Totals],[Pisteet 7]],0)</f>
        <v>1.3500207442307264E-4</v>
      </c>
      <c r="AC35" s="17">
        <f>ROUND(IFERROR('1.1 Jakotaulu'!M$21*Ohj.lask.[[#This Row],[%-osuus 7]],0),0)</f>
        <v>1045</v>
      </c>
      <c r="AD35" s="13">
        <f>IFERROR(Ohj.lask.[[#This Row],[Jaettava € 8]]/Ohj.lask.[[#Totals],[Jaettava € 8]],"")</f>
        <v>3.469109851728229E-4</v>
      </c>
      <c r="AE3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707986</v>
      </c>
      <c r="AF35" s="103">
        <v>0</v>
      </c>
      <c r="AG35" s="103">
        <v>0</v>
      </c>
      <c r="AH35" s="107">
        <v>0</v>
      </c>
      <c r="AI35" s="33">
        <v>0</v>
      </c>
      <c r="AJ35" s="107">
        <v>0</v>
      </c>
      <c r="AK3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35" s="11">
        <f>Ohj.lask.[[#This Row],[Jaettava € 1]]+Ohj.lask.[[#This Row],[Harkinnanvarainen korotus yhteensä, €]]</f>
        <v>483275</v>
      </c>
      <c r="AM35" s="103">
        <f>Ohj.lask.[[#This Row],[Jaettava € 2]]</f>
        <v>165649</v>
      </c>
      <c r="AN35" s="11">
        <f>Ohj.lask.[[#This Row],[Jaettava € 3]]+Ohj.lask.[[#This Row],[Jaettava € 4]]+Ohj.lask.[[#This Row],[Jaettava € 5]]+Ohj.lask.[[#This Row],[Jaettava € 6]]+Ohj.lask.[[#This Row],[Jaettava € 7]]</f>
        <v>59062</v>
      </c>
      <c r="AO35" s="34">
        <f>Ohj.lask.[[#This Row],[Jaettava € 8]]+Ohj.lask.[[#This Row],[Harkinnanvarainen korotus yhteensä, €]]</f>
        <v>707986</v>
      </c>
      <c r="AP35" s="12">
        <v>0</v>
      </c>
      <c r="AQ35" s="34">
        <f>Ohj.lask.[[#This Row],[Perus-, suoritus- ja vaikuttavuusrahoitus yhteensä, €]]+Ohj.lask.[[#This Row],[Alv-korvaus, €]]</f>
        <v>707986</v>
      </c>
    </row>
    <row r="36" spans="1:43" ht="12.75" x14ac:dyDescent="0.2">
      <c r="A36" s="4" t="s">
        <v>289</v>
      </c>
      <c r="B36" s="8" t="s">
        <v>38</v>
      </c>
      <c r="C36" s="8" t="s">
        <v>181</v>
      </c>
      <c r="D36" s="8" t="s">
        <v>325</v>
      </c>
      <c r="E36" s="8" t="s">
        <v>375</v>
      </c>
      <c r="F36" s="106">
        <v>2698</v>
      </c>
      <c r="G36" s="33">
        <v>2598</v>
      </c>
      <c r="H36" s="9">
        <f>IFERROR(VLOOKUP(Ohj.lask.[[#This Row],[Y-tunnus]],'2.1 Toteut. op.vuodet'!$A:$T,COLUMN('2.1 Toteut. op.vuodet'!S:S),FALSE),0)</f>
        <v>1.2188796354350822</v>
      </c>
      <c r="I36" s="74">
        <f t="shared" si="0"/>
        <v>3166.6</v>
      </c>
      <c r="J36" s="10">
        <f>IFERROR(Ohj.lask.[[#This Row],[Painotetut opiskelija-vuodet]]/Ohj.lask.[[#Totals],[Painotetut opiskelija-vuodet]],0)</f>
        <v>1.5377368569291882E-2</v>
      </c>
      <c r="K36" s="11">
        <f>ROUND(IFERROR('1.1 Jakotaulu'!L$12*Ohj.lask.[[#This Row],[%-osuus 1]],0),0)</f>
        <v>21861959</v>
      </c>
      <c r="L36" s="139">
        <f>IFERROR(ROUND(VLOOKUP(Ohj.lask.[[#This Row],[Y-tunnus]],'2.2 Tutk. ja osien pain. pist.'!$A:$Q,COLUMN('2.2 Tutk. ja osien pain. pist.'!O:O),FALSE),1),0)</f>
        <v>222981.1</v>
      </c>
      <c r="M36" s="10">
        <f>IFERROR(Ohj.lask.[[#This Row],[Painotetut pisteet 2]]/Ohj.lask.[[#Totals],[Painotetut pisteet 2]],0)</f>
        <v>1.4157692500270824E-2</v>
      </c>
      <c r="N36" s="17">
        <f>ROUND(IFERROR('1.1 Jakotaulu'!K$13*Ohj.lask.[[#This Row],[%-osuus 2]],0),0)</f>
        <v>5843658</v>
      </c>
      <c r="O36" s="140">
        <f>IFERROR(ROUND(VLOOKUP(Ohj.lask.[[#This Row],[Y-tunnus]],'2.3 Työll. ja jatko-opisk.'!$A:$Y,COLUMN('2.3 Työll. ja jatko-opisk.'!L:L),FALSE),1),0)</f>
        <v>5901.7</v>
      </c>
      <c r="P36" s="10">
        <f>IFERROR(Ohj.lask.[[#This Row],[Painotetut pisteet 3]]/Ohj.lask.[[#Totals],[Painotetut pisteet 3]],0)</f>
        <v>1.7485197414713851E-2</v>
      </c>
      <c r="Q36" s="11">
        <f>ROUND(IFERROR('1.1 Jakotaulu'!L$15*Ohj.lask.[[#This Row],[%-osuus 3]],0),0)</f>
        <v>2525980</v>
      </c>
      <c r="R36" s="139">
        <f>IFERROR(ROUND(VLOOKUP(Ohj.lask.[[#This Row],[Y-tunnus]],'2.4 Aloittaneet palaute'!$A:$I,COLUMN('2.4 Aloittaneet palaute'!H:H),FALSE),1),0)</f>
        <v>31208.7</v>
      </c>
      <c r="S36" s="14">
        <f>IFERROR(Ohj.lask.[[#This Row],[Painotetut pisteet 4]]/Ohj.lask.[[#Totals],[Painotetut pisteet 4]],0)</f>
        <v>1.7949964273999534E-2</v>
      </c>
      <c r="T36" s="17">
        <f>ROUND(IFERROR('1.1 Jakotaulu'!M$17*Ohj.lask.[[#This Row],[%-osuus 4]],0),0)</f>
        <v>138917</v>
      </c>
      <c r="U36" s="139">
        <f>IFERROR(ROUND(VLOOKUP(Ohj.lask.[[#This Row],[Y-tunnus]],'2.5 Päättäneet palaute'!$A:$Y,COLUMN('2.5 Päättäneet palaute'!X:X),FALSE),1),0)</f>
        <v>163284.79999999999</v>
      </c>
      <c r="V36" s="14">
        <f>IFERROR(Ohj.lask.[[#This Row],[Painotetut pisteet 5]]/Ohj.lask.[[#Totals],[Painotetut pisteet 5]],0)</f>
        <v>1.4714724944204097E-2</v>
      </c>
      <c r="W36" s="17">
        <f>ROUND(IFERROR('1.1 Jakotaulu'!M$18*Ohj.lask.[[#This Row],[%-osuus 5]],0),0)</f>
        <v>341638</v>
      </c>
      <c r="X36" s="139">
        <f>IFERROR(ROUND(VLOOKUP(Ohj.lask.[[#This Row],[Y-tunnus]],'2.6 Työpaikkaohjaajakysely'!A:I,COLUMN('2.6 Työpaikkaohjaajakysely'!H:H),FALSE),1),0)</f>
        <v>6119500.5</v>
      </c>
      <c r="Y36" s="10">
        <f>IFERROR(Ohj.lask.[[#This Row],[Painotetut pisteet 6]]/Ohj.lask.[[#Totals],[Painotetut pisteet 6]],0)</f>
        <v>1.783243630829064E-2</v>
      </c>
      <c r="Z36" s="17">
        <f>ROUND(IFERROR('1.1 Jakotaulu'!M$20*Ohj.lask.[[#This Row],[%-osuus 6]],0),0)</f>
        <v>414023</v>
      </c>
      <c r="AA36" s="139">
        <f>IFERROR(ROUND(VLOOKUP(Ohj.lask.[[#This Row],[Y-tunnus]],'2.7 Työpaikkakysely'!A:G,COLUMN('2.7 Työpaikkakysely'!F:F),FALSE),1),0)</f>
        <v>4592560.8</v>
      </c>
      <c r="AB36" s="10">
        <f>IFERROR(Ohj.lask.[[#This Row],[Pisteet 7]]/Ohj.lask.[[#Totals],[Pisteet 7]],0)</f>
        <v>2.244119136072412E-2</v>
      </c>
      <c r="AC36" s="17">
        <f>ROUND(IFERROR('1.1 Jakotaulu'!M$21*Ohj.lask.[[#This Row],[%-osuus 7]],0),0)</f>
        <v>173675</v>
      </c>
      <c r="AD36" s="13">
        <f>IFERROR(Ohj.lask.[[#This Row],[Jaettava € 8]]/Ohj.lask.[[#Totals],[Jaettava € 8]],"")</f>
        <v>1.5336831235732885E-2</v>
      </c>
      <c r="AE3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31299850</v>
      </c>
      <c r="AF36" s="103">
        <v>0</v>
      </c>
      <c r="AG36" s="103">
        <v>0</v>
      </c>
      <c r="AH36" s="107">
        <v>0</v>
      </c>
      <c r="AI36" s="33">
        <v>36000</v>
      </c>
      <c r="AJ36" s="107">
        <v>0</v>
      </c>
      <c r="AK3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36000</v>
      </c>
      <c r="AL36" s="11">
        <f>Ohj.lask.[[#This Row],[Jaettava € 1]]+Ohj.lask.[[#This Row],[Harkinnanvarainen korotus yhteensä, €]]</f>
        <v>21897959</v>
      </c>
      <c r="AM36" s="103">
        <f>Ohj.lask.[[#This Row],[Jaettava € 2]]</f>
        <v>5843658</v>
      </c>
      <c r="AN36" s="11">
        <f>Ohj.lask.[[#This Row],[Jaettava € 3]]+Ohj.lask.[[#This Row],[Jaettava € 4]]+Ohj.lask.[[#This Row],[Jaettava € 5]]+Ohj.lask.[[#This Row],[Jaettava € 6]]+Ohj.lask.[[#This Row],[Jaettava € 7]]</f>
        <v>3594233</v>
      </c>
      <c r="AO36" s="34">
        <f>Ohj.lask.[[#This Row],[Jaettava € 8]]+Ohj.lask.[[#This Row],[Harkinnanvarainen korotus yhteensä, €]]</f>
        <v>31335850</v>
      </c>
      <c r="AP36" s="12">
        <v>0</v>
      </c>
      <c r="AQ36" s="34">
        <f>Ohj.lask.[[#This Row],[Perus-, suoritus- ja vaikuttavuusrahoitus yhteensä, €]]+Ohj.lask.[[#This Row],[Alv-korvaus, €]]</f>
        <v>31335850</v>
      </c>
    </row>
    <row r="37" spans="1:43" ht="12.75" x14ac:dyDescent="0.2">
      <c r="A37" s="4" t="s">
        <v>288</v>
      </c>
      <c r="B37" s="8" t="s">
        <v>39</v>
      </c>
      <c r="C37" s="8" t="s">
        <v>174</v>
      </c>
      <c r="D37" s="8" t="s">
        <v>326</v>
      </c>
      <c r="E37" s="8" t="s">
        <v>375</v>
      </c>
      <c r="F37" s="106">
        <v>136</v>
      </c>
      <c r="G37" s="33">
        <v>115</v>
      </c>
      <c r="H37" s="9">
        <f>IFERROR(VLOOKUP(Ohj.lask.[[#This Row],[Y-tunnus]],'2.1 Toteut. op.vuodet'!$A:$T,COLUMN('2.1 Toteut. op.vuodet'!S:S),FALSE),0)</f>
        <v>0.72611037003200096</v>
      </c>
      <c r="I37" s="74">
        <f t="shared" si="0"/>
        <v>83.5</v>
      </c>
      <c r="J37" s="10">
        <f>IFERROR(Ohj.lask.[[#This Row],[Painotetut opiskelija-vuodet]]/Ohj.lask.[[#Totals],[Painotetut opiskelija-vuodet]],0)</f>
        <v>4.0548546565271021E-4</v>
      </c>
      <c r="K37" s="11">
        <f>ROUND(IFERROR('1.1 Jakotaulu'!L$12*Ohj.lask.[[#This Row],[%-osuus 1]],0),0)</f>
        <v>576477</v>
      </c>
      <c r="L37" s="139">
        <f>IFERROR(ROUND(VLOOKUP(Ohj.lask.[[#This Row],[Y-tunnus]],'2.2 Tutk. ja osien pain. pist.'!$A:$Q,COLUMN('2.2 Tutk. ja osien pain. pist.'!O:O),FALSE),1),0)</f>
        <v>10832.5</v>
      </c>
      <c r="M37" s="10">
        <f>IFERROR(Ohj.lask.[[#This Row],[Painotetut pisteet 2]]/Ohj.lask.[[#Totals],[Painotetut pisteet 2]],0)</f>
        <v>6.8778566438672912E-4</v>
      </c>
      <c r="N37" s="17">
        <f>ROUND(IFERROR('1.1 Jakotaulu'!K$13*Ohj.lask.[[#This Row],[%-osuus 2]],0),0)</f>
        <v>283887</v>
      </c>
      <c r="O37" s="140">
        <f>IFERROR(ROUND(VLOOKUP(Ohj.lask.[[#This Row],[Y-tunnus]],'2.3 Työll. ja jatko-opisk.'!$A:$Y,COLUMN('2.3 Työll. ja jatko-opisk.'!L:L),FALSE),1),0)</f>
        <v>377.1</v>
      </c>
      <c r="P37" s="10">
        <f>IFERROR(Ohj.lask.[[#This Row],[Painotetut pisteet 3]]/Ohj.lask.[[#Totals],[Painotetut pisteet 3]],0)</f>
        <v>1.1172489189705667E-3</v>
      </c>
      <c r="Q37" s="11">
        <f>ROUND(IFERROR('1.1 Jakotaulu'!L$15*Ohj.lask.[[#This Row],[%-osuus 3]],0),0)</f>
        <v>161402</v>
      </c>
      <c r="R37" s="139">
        <f>IFERROR(ROUND(VLOOKUP(Ohj.lask.[[#This Row],[Y-tunnus]],'2.4 Aloittaneet palaute'!$A:$I,COLUMN('2.4 Aloittaneet palaute'!H:H),FALSE),1),0)</f>
        <v>4358</v>
      </c>
      <c r="S37" s="14">
        <f>IFERROR(Ohj.lask.[[#This Row],[Painotetut pisteet 4]]/Ohj.lask.[[#Totals],[Painotetut pisteet 4]],0)</f>
        <v>2.506542864845058E-3</v>
      </c>
      <c r="T37" s="17">
        <f>ROUND(IFERROR('1.1 Jakotaulu'!M$17*Ohj.lask.[[#This Row],[%-osuus 4]],0),0)</f>
        <v>19398</v>
      </c>
      <c r="U37" s="139">
        <f>IFERROR(ROUND(VLOOKUP(Ohj.lask.[[#This Row],[Y-tunnus]],'2.5 Päättäneet palaute'!$A:$Y,COLUMN('2.5 Päättäneet palaute'!X:X),FALSE),1),0)</f>
        <v>38902</v>
      </c>
      <c r="V37" s="14">
        <f>IFERROR(Ohj.lask.[[#This Row],[Painotetut pisteet 5]]/Ohj.lask.[[#Totals],[Painotetut pisteet 5]],0)</f>
        <v>3.5057288233774839E-3</v>
      </c>
      <c r="W37" s="17">
        <f>ROUND(IFERROR('1.1 Jakotaulu'!M$18*Ohj.lask.[[#This Row],[%-osuus 5]],0),0)</f>
        <v>81394</v>
      </c>
      <c r="X37" s="139">
        <f>IFERROR(ROUND(VLOOKUP(Ohj.lask.[[#This Row],[Y-tunnus]],'2.6 Työpaikkaohjaajakysely'!A:I,COLUMN('2.6 Työpaikkaohjaajakysely'!H:H),FALSE),1),0)</f>
        <v>349455.2</v>
      </c>
      <c r="Y37" s="10">
        <f>IFERROR(Ohj.lask.[[#This Row],[Painotetut pisteet 6]]/Ohj.lask.[[#Totals],[Painotetut pisteet 6]],0)</f>
        <v>1.0183245506068619E-3</v>
      </c>
      <c r="Z37" s="17">
        <f>ROUND(IFERROR('1.1 Jakotaulu'!M$20*Ohj.lask.[[#This Row],[%-osuus 6]],0),0)</f>
        <v>23643</v>
      </c>
      <c r="AA37" s="139">
        <f>IFERROR(ROUND(VLOOKUP(Ohj.lask.[[#This Row],[Y-tunnus]],'2.7 Työpaikkakysely'!A:G,COLUMN('2.7 Työpaikkakysely'!F:F),FALSE),1),0)</f>
        <v>40759</v>
      </c>
      <c r="AB37" s="10">
        <f>IFERROR(Ohj.lask.[[#This Row],[Pisteet 7]]/Ohj.lask.[[#Totals],[Pisteet 7]],0)</f>
        <v>1.9916568522549652E-4</v>
      </c>
      <c r="AC37" s="17">
        <f>ROUND(IFERROR('1.1 Jakotaulu'!M$21*Ohj.lask.[[#This Row],[%-osuus 7]],0),0)</f>
        <v>1541</v>
      </c>
      <c r="AD37" s="13">
        <f>IFERROR(Ohj.lask.[[#This Row],[Jaettava € 8]]/Ohj.lask.[[#Totals],[Jaettava € 8]],"")</f>
        <v>5.6239008673084794E-4</v>
      </c>
      <c r="AE3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1147742</v>
      </c>
      <c r="AF37" s="103">
        <v>0</v>
      </c>
      <c r="AG37" s="103">
        <v>0</v>
      </c>
      <c r="AH37" s="107">
        <v>0</v>
      </c>
      <c r="AI37" s="33">
        <v>9000</v>
      </c>
      <c r="AJ37" s="107">
        <v>0</v>
      </c>
      <c r="AK3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9000</v>
      </c>
      <c r="AL37" s="11">
        <f>Ohj.lask.[[#This Row],[Jaettava € 1]]+Ohj.lask.[[#This Row],[Harkinnanvarainen korotus yhteensä, €]]</f>
        <v>585477</v>
      </c>
      <c r="AM37" s="103">
        <f>Ohj.lask.[[#This Row],[Jaettava € 2]]</f>
        <v>283887</v>
      </c>
      <c r="AN37" s="11">
        <f>Ohj.lask.[[#This Row],[Jaettava € 3]]+Ohj.lask.[[#This Row],[Jaettava € 4]]+Ohj.lask.[[#This Row],[Jaettava € 5]]+Ohj.lask.[[#This Row],[Jaettava € 6]]+Ohj.lask.[[#This Row],[Jaettava € 7]]</f>
        <v>287378</v>
      </c>
      <c r="AO37" s="34">
        <f>Ohj.lask.[[#This Row],[Jaettava € 8]]+Ohj.lask.[[#This Row],[Harkinnanvarainen korotus yhteensä, €]]</f>
        <v>1156742</v>
      </c>
      <c r="AP37" s="12">
        <v>37683</v>
      </c>
      <c r="AQ37" s="34">
        <f>Ohj.lask.[[#This Row],[Perus-, suoritus- ja vaikuttavuusrahoitus yhteensä, €]]+Ohj.lask.[[#This Row],[Alv-korvaus, €]]</f>
        <v>1194425</v>
      </c>
    </row>
    <row r="38" spans="1:43" ht="12.75" x14ac:dyDescent="0.2">
      <c r="A38" s="4" t="s">
        <v>287</v>
      </c>
      <c r="B38" s="8" t="s">
        <v>440</v>
      </c>
      <c r="C38" s="97" t="s">
        <v>176</v>
      </c>
      <c r="D38" s="97" t="s">
        <v>325</v>
      </c>
      <c r="E38" s="97" t="s">
        <v>375</v>
      </c>
      <c r="F38" s="105">
        <v>6314</v>
      </c>
      <c r="G38" s="33">
        <v>5955</v>
      </c>
      <c r="H38" s="9">
        <f>IFERROR(VLOOKUP(Ohj.lask.[[#This Row],[Y-tunnus]],'2.1 Toteut. op.vuodet'!$A:$T,COLUMN('2.1 Toteut. op.vuodet'!S:S),FALSE),0)</f>
        <v>1.1135111291644928</v>
      </c>
      <c r="I38" s="74">
        <f t="shared" ref="I38:I68" si="1">IFERROR(ROUND(G38*H38,1),0)</f>
        <v>6631</v>
      </c>
      <c r="J38" s="10">
        <f>IFERROR(Ohj.lask.[[#This Row],[Painotetut opiskelija-vuodet]]/Ohj.lask.[[#Totals],[Painotetut opiskelija-vuodet]],0)</f>
        <v>3.2200887697522412E-2</v>
      </c>
      <c r="K38" s="11">
        <f>ROUND(IFERROR('1.1 Jakotaulu'!L$12*Ohj.lask.[[#This Row],[%-osuus 1]],0),0)</f>
        <v>45779905</v>
      </c>
      <c r="L38" s="139">
        <f>IFERROR(ROUND(VLOOKUP(Ohj.lask.[[#This Row],[Y-tunnus]],'2.2 Tutk. ja osien pain. pist.'!$A:$Q,COLUMN('2.2 Tutk. ja osien pain. pist.'!O:O),FALSE),1),0)</f>
        <v>565724.9</v>
      </c>
      <c r="M38" s="10">
        <f>IFERROR(Ohj.lask.[[#This Row],[Painotetut pisteet 2]]/Ohj.lask.[[#Totals],[Painotetut pisteet 2]],0)</f>
        <v>3.5919453146237332E-2</v>
      </c>
      <c r="N38" s="17">
        <f>ROUND(IFERROR('1.1 Jakotaulu'!K$13*Ohj.lask.[[#This Row],[%-osuus 2]],0),0)</f>
        <v>14825934</v>
      </c>
      <c r="O38" s="140">
        <f>IFERROR(ROUND(VLOOKUP(Ohj.lask.[[#This Row],[Y-tunnus]],'2.3 Työll. ja jatko-opisk.'!$A:$Y,COLUMN('2.3 Työll. ja jatko-opisk.'!L:L),FALSE),1),0)</f>
        <v>12866.6</v>
      </c>
      <c r="P38" s="14">
        <f>IFERROR(Ohj.lask.[[#This Row],[Painotetut pisteet 3]]/Ohj.lask.[[#Totals],[Painotetut pisteet 3]],0)</f>
        <v>3.8120379052841935E-2</v>
      </c>
      <c r="Q38" s="11">
        <f>ROUND(IFERROR('1.1 Jakotaulu'!L$15*Ohj.lask.[[#This Row],[%-osuus 3]],0),0)</f>
        <v>5507019</v>
      </c>
      <c r="R38" s="139">
        <f>IFERROR(ROUND(VLOOKUP(Ohj.lask.[[#This Row],[Y-tunnus]],'2.4 Aloittaneet palaute'!$A:$I,COLUMN('2.4 Aloittaneet palaute'!H:H),FALSE),1),0)</f>
        <v>55028</v>
      </c>
      <c r="S38" s="14">
        <f>IFERROR(Ohj.lask.[[#This Row],[Painotetut pisteet 4]]/Ohj.lask.[[#Totals],[Painotetut pisteet 4]],0)</f>
        <v>3.164984873031066E-2</v>
      </c>
      <c r="T38" s="17">
        <f>ROUND(IFERROR('1.1 Jakotaulu'!M$17*Ohj.lask.[[#This Row],[%-osuus 4]],0),0)</f>
        <v>244943</v>
      </c>
      <c r="U38" s="139">
        <f>IFERROR(ROUND(VLOOKUP(Ohj.lask.[[#This Row],[Y-tunnus]],'2.5 Päättäneet palaute'!$A:$Y,COLUMN('2.5 Päättäneet palaute'!X:X),FALSE),1),0)</f>
        <v>365524.8</v>
      </c>
      <c r="V38" s="14">
        <f>IFERROR(Ohj.lask.[[#This Row],[Painotetut pisteet 5]]/Ohj.lask.[[#Totals],[Painotetut pisteet 5]],0)</f>
        <v>3.2939972932478793E-2</v>
      </c>
      <c r="W38" s="17">
        <f>ROUND(IFERROR('1.1 Jakotaulu'!M$18*Ohj.lask.[[#This Row],[%-osuus 5]],0),0)</f>
        <v>764781</v>
      </c>
      <c r="X38" s="139">
        <f>IFERROR(ROUND(VLOOKUP(Ohj.lask.[[#This Row],[Y-tunnus]],'2.6 Työpaikkaohjaajakysely'!A:I,COLUMN('2.6 Työpaikkaohjaajakysely'!H:H),FALSE),1),0)</f>
        <v>10865329.6</v>
      </c>
      <c r="Y38" s="10">
        <f>IFERROR(Ohj.lask.[[#This Row],[Painotetut pisteet 6]]/Ohj.lask.[[#Totals],[Painotetut pisteet 6]],0)</f>
        <v>3.1661946601783106E-2</v>
      </c>
      <c r="Z38" s="17">
        <f>ROUND(IFERROR('1.1 Jakotaulu'!M$20*Ohj.lask.[[#This Row],[%-osuus 6]],0),0)</f>
        <v>735108</v>
      </c>
      <c r="AA38" s="139">
        <f>IFERROR(ROUND(VLOOKUP(Ohj.lask.[[#This Row],[Y-tunnus]],'2.7 Työpaikkakysely'!A:G,COLUMN('2.7 Työpaikkakysely'!F:F),FALSE),1),0)</f>
        <v>5950052.5999999996</v>
      </c>
      <c r="AB38" s="10">
        <f>IFERROR(Ohj.lask.[[#This Row],[Pisteet 7]]/Ohj.lask.[[#Totals],[Pisteet 7]],0)</f>
        <v>2.9074469521007559E-2</v>
      </c>
      <c r="AC38" s="17">
        <f>ROUND(IFERROR('1.1 Jakotaulu'!M$21*Ohj.lask.[[#This Row],[%-osuus 7]],0),0)</f>
        <v>225011</v>
      </c>
      <c r="AD38" s="13">
        <f>IFERROR(Ohj.lask.[[#This Row],[Jaettava € 8]]/Ohj.lask.[[#Totals],[Jaettava € 8]],"")</f>
        <v>3.3360316273396279E-2</v>
      </c>
      <c r="AE3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68082701</v>
      </c>
      <c r="AF38" s="103">
        <v>0</v>
      </c>
      <c r="AG38" s="103">
        <v>0</v>
      </c>
      <c r="AH38" s="107">
        <v>0</v>
      </c>
      <c r="AI38" s="33">
        <v>94000</v>
      </c>
      <c r="AJ38" s="107">
        <v>8000</v>
      </c>
      <c r="AK3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102000</v>
      </c>
      <c r="AL38" s="11">
        <f>Ohj.lask.[[#This Row],[Jaettava € 1]]+Ohj.lask.[[#This Row],[Harkinnanvarainen korotus yhteensä, €]]</f>
        <v>45881905</v>
      </c>
      <c r="AM38" s="103">
        <f>Ohj.lask.[[#This Row],[Jaettava € 2]]</f>
        <v>14825934</v>
      </c>
      <c r="AN38" s="11">
        <f>Ohj.lask.[[#This Row],[Jaettava € 3]]+Ohj.lask.[[#This Row],[Jaettava € 4]]+Ohj.lask.[[#This Row],[Jaettava € 5]]+Ohj.lask.[[#This Row],[Jaettava € 6]]+Ohj.lask.[[#This Row],[Jaettava € 7]]</f>
        <v>7476862</v>
      </c>
      <c r="AO38" s="34">
        <f>Ohj.lask.[[#This Row],[Jaettava € 8]]+Ohj.lask.[[#This Row],[Harkinnanvarainen korotus yhteensä, €]]</f>
        <v>68184701</v>
      </c>
      <c r="AP38" s="12">
        <v>0</v>
      </c>
      <c r="AQ38" s="34">
        <f>Ohj.lask.[[#This Row],[Perus-, suoritus- ja vaikuttavuusrahoitus yhteensä, €]]+Ohj.lask.[[#This Row],[Alv-korvaus, €]]</f>
        <v>68184701</v>
      </c>
    </row>
    <row r="39" spans="1:43" ht="12.75" x14ac:dyDescent="0.2">
      <c r="A39" s="4" t="s">
        <v>292</v>
      </c>
      <c r="B39" s="8" t="s">
        <v>40</v>
      </c>
      <c r="C39" s="97" t="s">
        <v>176</v>
      </c>
      <c r="D39" s="97" t="s">
        <v>326</v>
      </c>
      <c r="E39" s="97" t="s">
        <v>375</v>
      </c>
      <c r="F39" s="105">
        <v>166</v>
      </c>
      <c r="G39" s="33">
        <v>177</v>
      </c>
      <c r="H39" s="9">
        <f>IFERROR(VLOOKUP(Ohj.lask.[[#This Row],[Y-tunnus]],'2.1 Toteut. op.vuodet'!$A:$T,COLUMN('2.1 Toteut. op.vuodet'!S:S),FALSE),0)</f>
        <v>0.96872511007030193</v>
      </c>
      <c r="I39" s="74">
        <f t="shared" si="1"/>
        <v>171.5</v>
      </c>
      <c r="J39" s="10">
        <f>IFERROR(Ohj.lask.[[#This Row],[Painotetut opiskelija-vuodet]]/Ohj.lask.[[#Totals],[Painotetut opiskelija-vuodet]],0)</f>
        <v>8.3282344143041675E-4</v>
      </c>
      <c r="K39" s="11">
        <f>ROUND(IFERROR('1.1 Jakotaulu'!L$12*Ohj.lask.[[#This Row],[%-osuus 1]],0),0)</f>
        <v>1184023</v>
      </c>
      <c r="L39" s="139">
        <f>IFERROR(ROUND(VLOOKUP(Ohj.lask.[[#This Row],[Y-tunnus]],'2.2 Tutk. ja osien pain. pist.'!$A:$Q,COLUMN('2.2 Tutk. ja osien pain. pist.'!O:O),FALSE),1),0)</f>
        <v>18033.3</v>
      </c>
      <c r="M39" s="10">
        <f>IFERROR(Ohj.lask.[[#This Row],[Painotetut pisteet 2]]/Ohj.lask.[[#Totals],[Painotetut pisteet 2]],0)</f>
        <v>1.1449845577276901E-3</v>
      </c>
      <c r="N39" s="17">
        <f>ROUND(IFERROR('1.1 Jakotaulu'!K$13*Ohj.lask.[[#This Row],[%-osuus 2]],0),0)</f>
        <v>472598</v>
      </c>
      <c r="O39" s="140">
        <f>IFERROR(ROUND(VLOOKUP(Ohj.lask.[[#This Row],[Y-tunnus]],'2.3 Työll. ja jatko-opisk.'!$A:$Y,COLUMN('2.3 Työll. ja jatko-opisk.'!L:L),FALSE),1),0)</f>
        <v>608.70000000000005</v>
      </c>
      <c r="P39" s="14">
        <f>IFERROR(Ohj.lask.[[#This Row],[Painotetut pisteet 3]]/Ohj.lask.[[#Totals],[Painotetut pisteet 3]],0)</f>
        <v>1.8034192972086556E-3</v>
      </c>
      <c r="Q39" s="11">
        <f>ROUND(IFERROR('1.1 Jakotaulu'!L$15*Ohj.lask.[[#This Row],[%-osuus 3]],0),0)</f>
        <v>260529</v>
      </c>
      <c r="R39" s="139">
        <f>IFERROR(ROUND(VLOOKUP(Ohj.lask.[[#This Row],[Y-tunnus]],'2.4 Aloittaneet palaute'!$A:$I,COLUMN('2.4 Aloittaneet palaute'!H:H),FALSE),1),0)</f>
        <v>2685.9</v>
      </c>
      <c r="S39" s="14">
        <f>IFERROR(Ohj.lask.[[#This Row],[Painotetut pisteet 4]]/Ohj.lask.[[#Totals],[Painotetut pisteet 4]],0)</f>
        <v>1.544819522874562E-3</v>
      </c>
      <c r="T39" s="17">
        <f>ROUND(IFERROR('1.1 Jakotaulu'!M$17*Ohj.lask.[[#This Row],[%-osuus 4]],0),0)</f>
        <v>11956</v>
      </c>
      <c r="U39" s="139">
        <f>IFERROR(ROUND(VLOOKUP(Ohj.lask.[[#This Row],[Y-tunnus]],'2.5 Päättäneet palaute'!$A:$Y,COLUMN('2.5 Päättäneet palaute'!X:X),FALSE),1),0)</f>
        <v>20407.099999999999</v>
      </c>
      <c r="V39" s="14">
        <f>IFERROR(Ohj.lask.[[#This Row],[Painotetut pisteet 5]]/Ohj.lask.[[#Totals],[Painotetut pisteet 5]],0)</f>
        <v>1.8390252087693859E-3</v>
      </c>
      <c r="W39" s="17">
        <f>ROUND(IFERROR('1.1 Jakotaulu'!M$18*Ohj.lask.[[#This Row],[%-osuus 5]],0),0)</f>
        <v>42697</v>
      </c>
      <c r="X39" s="139">
        <f>IFERROR(ROUND(VLOOKUP(Ohj.lask.[[#This Row],[Y-tunnus]],'2.6 Työpaikkaohjaajakysely'!A:I,COLUMN('2.6 Työpaikkaohjaajakysely'!H:H),FALSE),1),0)</f>
        <v>930080.4</v>
      </c>
      <c r="Y39" s="10">
        <f>IFERROR(Ohj.lask.[[#This Row],[Painotetut pisteet 6]]/Ohj.lask.[[#Totals],[Painotetut pisteet 6]],0)</f>
        <v>2.7102864840993935E-3</v>
      </c>
      <c r="Z39" s="17">
        <f>ROUND(IFERROR('1.1 Jakotaulu'!M$20*Ohj.lask.[[#This Row],[%-osuus 6]],0),0)</f>
        <v>62926</v>
      </c>
      <c r="AA39" s="139">
        <f>IFERROR(ROUND(VLOOKUP(Ohj.lask.[[#This Row],[Y-tunnus]],'2.7 Työpaikkakysely'!A:G,COLUMN('2.7 Työpaikkakysely'!F:F),FALSE),1),0)</f>
        <v>398583</v>
      </c>
      <c r="AB39" s="10">
        <f>IFERROR(Ohj.lask.[[#This Row],[Pisteet 7]]/Ohj.lask.[[#Totals],[Pisteet 7]],0)</f>
        <v>1.9476448468861865E-3</v>
      </c>
      <c r="AC39" s="17">
        <f>ROUND(IFERROR('1.1 Jakotaulu'!M$21*Ohj.lask.[[#This Row],[%-osuus 7]],0),0)</f>
        <v>15073</v>
      </c>
      <c r="AD39" s="13">
        <f>IFERROR(Ohj.lask.[[#This Row],[Jaettava € 8]]/Ohj.lask.[[#Totals],[Jaettava € 8]],"")</f>
        <v>1.0043967412197738E-3</v>
      </c>
      <c r="AE3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2049802</v>
      </c>
      <c r="AF39" s="103">
        <v>0</v>
      </c>
      <c r="AG39" s="103">
        <v>0</v>
      </c>
      <c r="AH39" s="107">
        <v>0</v>
      </c>
      <c r="AI39" s="33">
        <v>5000</v>
      </c>
      <c r="AJ39" s="107">
        <v>0</v>
      </c>
      <c r="AK3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5000</v>
      </c>
      <c r="AL39" s="11">
        <f>Ohj.lask.[[#This Row],[Jaettava € 1]]+Ohj.lask.[[#This Row],[Harkinnanvarainen korotus yhteensä, €]]</f>
        <v>1189023</v>
      </c>
      <c r="AM39" s="103">
        <f>Ohj.lask.[[#This Row],[Jaettava € 2]]</f>
        <v>472598</v>
      </c>
      <c r="AN39" s="11">
        <f>Ohj.lask.[[#This Row],[Jaettava € 3]]+Ohj.lask.[[#This Row],[Jaettava € 4]]+Ohj.lask.[[#This Row],[Jaettava € 5]]+Ohj.lask.[[#This Row],[Jaettava € 6]]+Ohj.lask.[[#This Row],[Jaettava € 7]]</f>
        <v>393181</v>
      </c>
      <c r="AO39" s="34">
        <f>Ohj.lask.[[#This Row],[Jaettava € 8]]+Ohj.lask.[[#This Row],[Harkinnanvarainen korotus yhteensä, €]]</f>
        <v>2054802</v>
      </c>
      <c r="AP39" s="12">
        <v>466317</v>
      </c>
      <c r="AQ39" s="34">
        <f>Ohj.lask.[[#This Row],[Perus-, suoritus- ja vaikuttavuusrahoitus yhteensä, €]]+Ohj.lask.[[#This Row],[Alv-korvaus, €]]</f>
        <v>2521119</v>
      </c>
    </row>
    <row r="40" spans="1:43" ht="12.75" x14ac:dyDescent="0.2">
      <c r="A40" s="4" t="s">
        <v>291</v>
      </c>
      <c r="B40" s="8" t="s">
        <v>41</v>
      </c>
      <c r="C40" s="8" t="s">
        <v>176</v>
      </c>
      <c r="D40" s="8" t="s">
        <v>326</v>
      </c>
      <c r="E40" s="8" t="s">
        <v>375</v>
      </c>
      <c r="F40" s="106">
        <v>118</v>
      </c>
      <c r="G40" s="33">
        <v>117</v>
      </c>
      <c r="H40" s="9">
        <f>IFERROR(VLOOKUP(Ohj.lask.[[#This Row],[Y-tunnus]],'2.1 Toteut. op.vuodet'!$A:$T,COLUMN('2.1 Toteut. op.vuodet'!S:S),FALSE),0)</f>
        <v>1.1292253684308131</v>
      </c>
      <c r="I40" s="74">
        <f t="shared" si="1"/>
        <v>132.1</v>
      </c>
      <c r="J40" s="10">
        <f>IFERROR(Ohj.lask.[[#This Row],[Painotetut opiskelija-vuodet]]/Ohj.lask.[[#Totals],[Painotetut opiskelija-vuodet]],0)</f>
        <v>6.4149257500267082E-4</v>
      </c>
      <c r="K40" s="11">
        <f>ROUND(IFERROR('1.1 Jakotaulu'!L$12*Ohj.lask.[[#This Row],[%-osuus 1]],0),0)</f>
        <v>912008</v>
      </c>
      <c r="L40" s="139">
        <f>IFERROR(ROUND(VLOOKUP(Ohj.lask.[[#This Row],[Y-tunnus]],'2.2 Tutk. ja osien pain. pist.'!$A:$Q,COLUMN('2.2 Tutk. ja osien pain. pist.'!O:O),FALSE),1),0)</f>
        <v>13429.7</v>
      </c>
      <c r="M40" s="10">
        <f>IFERROR(Ohj.lask.[[#This Row],[Painotetut pisteet 2]]/Ohj.lask.[[#Totals],[Painotetut pisteet 2]],0)</f>
        <v>8.5268914258153307E-4</v>
      </c>
      <c r="N40" s="17">
        <f>ROUND(IFERROR('1.1 Jakotaulu'!K$13*Ohj.lask.[[#This Row],[%-osuus 2]],0),0)</f>
        <v>351952</v>
      </c>
      <c r="O40" s="140">
        <f>IFERROR(ROUND(VLOOKUP(Ohj.lask.[[#This Row],[Y-tunnus]],'2.3 Työll. ja jatko-opisk.'!$A:$Y,COLUMN('2.3 Työll. ja jatko-opisk.'!L:L),FALSE),1),0)</f>
        <v>234.3</v>
      </c>
      <c r="P40" s="10">
        <f>IFERROR(Ohj.lask.[[#This Row],[Painotetut pisteet 3]]/Ohj.lask.[[#Totals],[Painotetut pisteet 3]],0)</f>
        <v>6.9416977383930992E-4</v>
      </c>
      <c r="Q40" s="11">
        <f>ROUND(IFERROR('1.1 Jakotaulu'!L$15*Ohj.lask.[[#This Row],[%-osuus 3]],0),0)</f>
        <v>100282</v>
      </c>
      <c r="R40" s="139">
        <f>IFERROR(ROUND(VLOOKUP(Ohj.lask.[[#This Row],[Y-tunnus]],'2.4 Aloittaneet palaute'!$A:$I,COLUMN('2.4 Aloittaneet palaute'!H:H),FALSE),1),0)</f>
        <v>1919.2</v>
      </c>
      <c r="S40" s="14">
        <f>IFERROR(Ohj.lask.[[#This Row],[Painotetut pisteet 4]]/Ohj.lask.[[#Totals],[Painotetut pisteet 4]],0)</f>
        <v>1.1038451276297924E-3</v>
      </c>
      <c r="T40" s="17">
        <f>ROUND(IFERROR('1.1 Jakotaulu'!M$17*Ohj.lask.[[#This Row],[%-osuus 4]],0),0)</f>
        <v>8543</v>
      </c>
      <c r="U40" s="139">
        <f>IFERROR(ROUND(VLOOKUP(Ohj.lask.[[#This Row],[Y-tunnus]],'2.5 Päättäneet palaute'!$A:$Y,COLUMN('2.5 Päättäneet palaute'!X:X),FALSE),1),0)</f>
        <v>8345.4</v>
      </c>
      <c r="V40" s="14">
        <f>IFERROR(Ohj.lask.[[#This Row],[Painotetut pisteet 5]]/Ohj.lask.[[#Totals],[Painotetut pisteet 5]],0)</f>
        <v>7.520618303072966E-4</v>
      </c>
      <c r="W40" s="17">
        <f>ROUND(IFERROR('1.1 Jakotaulu'!M$18*Ohj.lask.[[#This Row],[%-osuus 5]],0),0)</f>
        <v>17461</v>
      </c>
      <c r="X40" s="139">
        <f>IFERROR(ROUND(VLOOKUP(Ohj.lask.[[#This Row],[Y-tunnus]],'2.6 Työpaikkaohjaajakysely'!A:I,COLUMN('2.6 Työpaikkaohjaajakysely'!H:H),FALSE),1),0)</f>
        <v>417284</v>
      </c>
      <c r="Y40" s="10">
        <f>IFERROR(Ohj.lask.[[#This Row],[Painotetut pisteet 6]]/Ohj.lask.[[#Totals],[Painotetut pisteet 6]],0)</f>
        <v>1.2159800219754457E-3</v>
      </c>
      <c r="Z40" s="17">
        <f>ROUND(IFERROR('1.1 Jakotaulu'!M$20*Ohj.lask.[[#This Row],[%-osuus 6]],0),0)</f>
        <v>28232</v>
      </c>
      <c r="AA40" s="139">
        <f>IFERROR(ROUND(VLOOKUP(Ohj.lask.[[#This Row],[Y-tunnus]],'2.7 Työpaikkakysely'!A:G,COLUMN('2.7 Työpaikkakysely'!F:F),FALSE),1),0)</f>
        <v>293273.59999999998</v>
      </c>
      <c r="AB40" s="10">
        <f>IFERROR(Ohj.lask.[[#This Row],[Pisteet 7]]/Ohj.lask.[[#Totals],[Pisteet 7]],0)</f>
        <v>1.4330586496859141E-3</v>
      </c>
      <c r="AC40" s="17">
        <f>ROUND(IFERROR('1.1 Jakotaulu'!M$21*Ohj.lask.[[#This Row],[%-osuus 7]],0),0)</f>
        <v>11091</v>
      </c>
      <c r="AD40" s="13">
        <f>IFERROR(Ohj.lask.[[#This Row],[Jaettava € 8]]/Ohj.lask.[[#Totals],[Jaettava € 8]],"")</f>
        <v>7.0048445896179774E-4</v>
      </c>
      <c r="AE4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1429569</v>
      </c>
      <c r="AF40" s="103">
        <v>0</v>
      </c>
      <c r="AG40" s="103">
        <v>0</v>
      </c>
      <c r="AH40" s="107">
        <v>0</v>
      </c>
      <c r="AI40" s="33">
        <v>1000</v>
      </c>
      <c r="AJ40" s="107">
        <v>0</v>
      </c>
      <c r="AK4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40" s="11">
        <f>Ohj.lask.[[#This Row],[Jaettava € 1]]+Ohj.lask.[[#This Row],[Harkinnanvarainen korotus yhteensä, €]]</f>
        <v>913008</v>
      </c>
      <c r="AM40" s="103">
        <f>Ohj.lask.[[#This Row],[Jaettava € 2]]</f>
        <v>351952</v>
      </c>
      <c r="AN40" s="11">
        <f>Ohj.lask.[[#This Row],[Jaettava € 3]]+Ohj.lask.[[#This Row],[Jaettava € 4]]+Ohj.lask.[[#This Row],[Jaettava € 5]]+Ohj.lask.[[#This Row],[Jaettava € 6]]+Ohj.lask.[[#This Row],[Jaettava € 7]]</f>
        <v>165609</v>
      </c>
      <c r="AO40" s="34">
        <f>Ohj.lask.[[#This Row],[Jaettava € 8]]+Ohj.lask.[[#This Row],[Harkinnanvarainen korotus yhteensä, €]]</f>
        <v>1430569</v>
      </c>
      <c r="AP40" s="12">
        <v>77282</v>
      </c>
      <c r="AQ40" s="34">
        <f>Ohj.lask.[[#This Row],[Perus-, suoritus- ja vaikuttavuusrahoitus yhteensä, €]]+Ohj.lask.[[#This Row],[Alv-korvaus, €]]</f>
        <v>1507851</v>
      </c>
    </row>
    <row r="41" spans="1:43" ht="12.75" x14ac:dyDescent="0.2">
      <c r="A41" s="4" t="s">
        <v>286</v>
      </c>
      <c r="B41" s="8" t="s">
        <v>42</v>
      </c>
      <c r="C41" s="8" t="s">
        <v>200</v>
      </c>
      <c r="D41" s="8" t="s">
        <v>325</v>
      </c>
      <c r="E41" s="8" t="s">
        <v>375</v>
      </c>
      <c r="F41" s="106">
        <v>555</v>
      </c>
      <c r="G41" s="33">
        <v>542</v>
      </c>
      <c r="H41" s="9">
        <f>IFERROR(VLOOKUP(Ohj.lask.[[#This Row],[Y-tunnus]],'2.1 Toteut. op.vuodet'!$A:$T,COLUMN('2.1 Toteut. op.vuodet'!S:S),FALSE),0)</f>
        <v>1.3031298540230509</v>
      </c>
      <c r="I41" s="74">
        <f t="shared" si="1"/>
        <v>706.3</v>
      </c>
      <c r="J41" s="10">
        <f>IFERROR(Ohj.lask.[[#This Row],[Painotetut opiskelija-vuodet]]/Ohj.lask.[[#Totals],[Painotetut opiskelija-vuodet]],0)</f>
        <v>3.4298728669522058E-3</v>
      </c>
      <c r="K41" s="11">
        <f>ROUND(IFERROR('1.1 Jakotaulu'!L$12*Ohj.lask.[[#This Row],[%-osuus 1]],0),0)</f>
        <v>4876240</v>
      </c>
      <c r="L41" s="139">
        <f>IFERROR(ROUND(VLOOKUP(Ohj.lask.[[#This Row],[Y-tunnus]],'2.2 Tutk. ja osien pain. pist.'!$A:$Q,COLUMN('2.2 Tutk. ja osien pain. pist.'!O:O),FALSE),1),0)</f>
        <v>46045.1</v>
      </c>
      <c r="M41" s="10">
        <f>IFERROR(Ohj.lask.[[#This Row],[Painotetut pisteet 2]]/Ohj.lask.[[#Totals],[Painotetut pisteet 2]],0)</f>
        <v>2.9235319358646094E-3</v>
      </c>
      <c r="N41" s="17">
        <f>ROUND(IFERROR('1.1 Jakotaulu'!K$13*Ohj.lask.[[#This Row],[%-osuus 2]],0),0)</f>
        <v>1206702</v>
      </c>
      <c r="O41" s="140">
        <f>IFERROR(ROUND(VLOOKUP(Ohj.lask.[[#This Row],[Y-tunnus]],'2.3 Työll. ja jatko-opisk.'!$A:$Y,COLUMN('2.3 Työll. ja jatko-opisk.'!L:L),FALSE),1),0)</f>
        <v>946.7</v>
      </c>
      <c r="P41" s="10">
        <f>IFERROR(Ohj.lask.[[#This Row],[Painotetut pisteet 3]]/Ohj.lask.[[#Totals],[Painotetut pisteet 3]],0)</f>
        <v>2.8048251169170923E-3</v>
      </c>
      <c r="Q41" s="11">
        <f>ROUND(IFERROR('1.1 Jakotaulu'!L$15*Ohj.lask.[[#This Row],[%-osuus 3]],0),0)</f>
        <v>405196</v>
      </c>
      <c r="R41" s="139">
        <f>IFERROR(ROUND(VLOOKUP(Ohj.lask.[[#This Row],[Y-tunnus]],'2.4 Aloittaneet palaute'!$A:$I,COLUMN('2.4 Aloittaneet palaute'!H:H),FALSE),1),0)</f>
        <v>4022.1</v>
      </c>
      <c r="S41" s="14">
        <f>IFERROR(Ohj.lask.[[#This Row],[Painotetut pisteet 4]]/Ohj.lask.[[#Totals],[Painotetut pisteet 4]],0)</f>
        <v>2.3133469611503689E-3</v>
      </c>
      <c r="T41" s="17">
        <f>ROUND(IFERROR('1.1 Jakotaulu'!M$17*Ohj.lask.[[#This Row],[%-osuus 4]],0),0)</f>
        <v>17903</v>
      </c>
      <c r="U41" s="139">
        <f>IFERROR(ROUND(VLOOKUP(Ohj.lask.[[#This Row],[Y-tunnus]],'2.5 Päättäneet palaute'!$A:$Y,COLUMN('2.5 Päättäneet palaute'!X:X),FALSE),1),0)</f>
        <v>21618</v>
      </c>
      <c r="V41" s="14">
        <f>IFERROR(Ohj.lask.[[#This Row],[Painotetut pisteet 5]]/Ohj.lask.[[#Totals],[Painotetut pisteet 5]],0)</f>
        <v>1.948147799696017E-3</v>
      </c>
      <c r="W41" s="17">
        <f>ROUND(IFERROR('1.1 Jakotaulu'!M$18*Ohj.lask.[[#This Row],[%-osuus 5]],0),0)</f>
        <v>45231</v>
      </c>
      <c r="X41" s="139">
        <f>IFERROR(ROUND(VLOOKUP(Ohj.lask.[[#This Row],[Y-tunnus]],'2.6 Työpaikkaohjaajakysely'!A:I,COLUMN('2.6 Työpaikkaohjaajakysely'!H:H),FALSE),1),0)</f>
        <v>807037.2</v>
      </c>
      <c r="Y41" s="10">
        <f>IFERROR(Ohj.lask.[[#This Row],[Painotetut pisteet 6]]/Ohj.lask.[[#Totals],[Painotetut pisteet 6]],0)</f>
        <v>2.3517343396607638E-3</v>
      </c>
      <c r="Z41" s="17">
        <f>ROUND(IFERROR('1.1 Jakotaulu'!M$20*Ohj.lask.[[#This Row],[%-osuus 6]],0),0)</f>
        <v>54601</v>
      </c>
      <c r="AA41" s="139">
        <f>IFERROR(ROUND(VLOOKUP(Ohj.lask.[[#This Row],[Y-tunnus]],'2.7 Työpaikkakysely'!A:G,COLUMN('2.7 Työpaikkakysely'!F:F),FALSE),1),0)</f>
        <v>284848</v>
      </c>
      <c r="AB41" s="10">
        <f>IFERROR(Ohj.lask.[[#This Row],[Pisteet 7]]/Ohj.lask.[[#Totals],[Pisteet 7]],0)</f>
        <v>1.3918876102238091E-3</v>
      </c>
      <c r="AC41" s="17">
        <f>ROUND(IFERROR('1.1 Jakotaulu'!M$21*Ohj.lask.[[#This Row],[%-osuus 7]],0),0)</f>
        <v>10772</v>
      </c>
      <c r="AD41" s="13">
        <f>IFERROR(Ohj.lask.[[#This Row],[Jaettava € 8]]/Ohj.lask.[[#Totals],[Jaettava € 8]],"")</f>
        <v>3.2421359115700492E-3</v>
      </c>
      <c r="AE4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6616645</v>
      </c>
      <c r="AF41" s="103">
        <v>0</v>
      </c>
      <c r="AG41" s="103">
        <v>0</v>
      </c>
      <c r="AH41" s="107">
        <v>0</v>
      </c>
      <c r="AI41" s="33">
        <v>5000</v>
      </c>
      <c r="AJ41" s="107">
        <v>0</v>
      </c>
      <c r="AK4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5000</v>
      </c>
      <c r="AL41" s="11">
        <f>Ohj.lask.[[#This Row],[Jaettava € 1]]+Ohj.lask.[[#This Row],[Harkinnanvarainen korotus yhteensä, €]]</f>
        <v>4881240</v>
      </c>
      <c r="AM41" s="103">
        <f>Ohj.lask.[[#This Row],[Jaettava € 2]]</f>
        <v>1206702</v>
      </c>
      <c r="AN41" s="11">
        <f>Ohj.lask.[[#This Row],[Jaettava € 3]]+Ohj.lask.[[#This Row],[Jaettava € 4]]+Ohj.lask.[[#This Row],[Jaettava € 5]]+Ohj.lask.[[#This Row],[Jaettava € 6]]+Ohj.lask.[[#This Row],[Jaettava € 7]]</f>
        <v>533703</v>
      </c>
      <c r="AO41" s="34">
        <f>Ohj.lask.[[#This Row],[Jaettava € 8]]+Ohj.lask.[[#This Row],[Harkinnanvarainen korotus yhteensä, €]]</f>
        <v>6621645</v>
      </c>
      <c r="AP41" s="12">
        <v>0</v>
      </c>
      <c r="AQ41" s="34">
        <f>Ohj.lask.[[#This Row],[Perus-, suoritus- ja vaikuttavuusrahoitus yhteensä, €]]+Ohj.lask.[[#This Row],[Alv-korvaus, €]]</f>
        <v>6621645</v>
      </c>
    </row>
    <row r="42" spans="1:43" ht="12.75" x14ac:dyDescent="0.2">
      <c r="A42" s="4" t="s">
        <v>285</v>
      </c>
      <c r="B42" s="8" t="s">
        <v>43</v>
      </c>
      <c r="C42" s="8" t="s">
        <v>182</v>
      </c>
      <c r="D42" s="8" t="s">
        <v>327</v>
      </c>
      <c r="E42" s="8" t="s">
        <v>375</v>
      </c>
      <c r="F42" s="106">
        <v>2596</v>
      </c>
      <c r="G42" s="33">
        <v>2645</v>
      </c>
      <c r="H42" s="9">
        <f>IFERROR(VLOOKUP(Ohj.lask.[[#This Row],[Y-tunnus]],'2.1 Toteut. op.vuodet'!$A:$T,COLUMN('2.1 Toteut. op.vuodet'!S:S),FALSE),0)</f>
        <v>1.1226243311949828</v>
      </c>
      <c r="I42" s="74">
        <f t="shared" si="1"/>
        <v>2969.3</v>
      </c>
      <c r="J42" s="10">
        <f>IFERROR(Ohj.lask.[[#This Row],[Painotetut opiskelija-vuodet]]/Ohj.lask.[[#Totals],[Painotetut opiskelija-vuodet]],0)</f>
        <v>1.4419257403144819E-2</v>
      </c>
      <c r="K42" s="11">
        <f>ROUND(IFERROR('1.1 Jakotaulu'!L$12*Ohj.lask.[[#This Row],[%-osuus 1]],0),0)</f>
        <v>20499815</v>
      </c>
      <c r="L42" s="139">
        <f>IFERROR(ROUND(VLOOKUP(Ohj.lask.[[#This Row],[Y-tunnus]],'2.2 Tutk. ja osien pain. pist.'!$A:$Q,COLUMN('2.2 Tutk. ja osien pain. pist.'!O:O),FALSE),1),0)</f>
        <v>227187.9</v>
      </c>
      <c r="M42" s="10">
        <f>IFERROR(Ohj.lask.[[#This Row],[Painotetut pisteet 2]]/Ohj.lask.[[#Totals],[Painotetut pisteet 2]],0)</f>
        <v>1.4424793975732821E-2</v>
      </c>
      <c r="N42" s="17">
        <f>ROUND(IFERROR('1.1 Jakotaulu'!K$13*Ohj.lask.[[#This Row],[%-osuus 2]],0),0)</f>
        <v>5953906</v>
      </c>
      <c r="O42" s="140">
        <f>IFERROR(ROUND(VLOOKUP(Ohj.lask.[[#This Row],[Y-tunnus]],'2.3 Työll. ja jatko-opisk.'!$A:$Y,COLUMN('2.3 Työll. ja jatko-opisk.'!L:L),FALSE),1),0)</f>
        <v>5076.8999999999996</v>
      </c>
      <c r="P42" s="10">
        <f>IFERROR(Ohj.lask.[[#This Row],[Painotetut pisteet 3]]/Ohj.lask.[[#Totals],[Painotetut pisteet 3]],0)</f>
        <v>1.5041530195496339E-2</v>
      </c>
      <c r="Q42" s="11">
        <f>ROUND(IFERROR('1.1 Jakotaulu'!L$15*Ohj.lask.[[#This Row],[%-osuus 3]],0),0)</f>
        <v>2172958</v>
      </c>
      <c r="R42" s="139">
        <f>IFERROR(ROUND(VLOOKUP(Ohj.lask.[[#This Row],[Y-tunnus]],'2.4 Aloittaneet palaute'!$A:$I,COLUMN('2.4 Aloittaneet palaute'!H:H),FALSE),1),0)</f>
        <v>23985.7</v>
      </c>
      <c r="S42" s="14">
        <f>IFERROR(Ohj.lask.[[#This Row],[Painotetut pisteet 4]]/Ohj.lask.[[#Totals],[Painotetut pisteet 4]],0)</f>
        <v>1.37955909117288E-2</v>
      </c>
      <c r="T42" s="17">
        <f>ROUND(IFERROR('1.1 Jakotaulu'!M$17*Ohj.lask.[[#This Row],[%-osuus 4]],0),0)</f>
        <v>106766</v>
      </c>
      <c r="U42" s="139">
        <f>IFERROR(ROUND(VLOOKUP(Ohj.lask.[[#This Row],[Y-tunnus]],'2.5 Päättäneet palaute'!$A:$Y,COLUMN('2.5 Päättäneet palaute'!X:X),FALSE),1),0)</f>
        <v>180789.5</v>
      </c>
      <c r="V42" s="14">
        <f>IFERROR(Ohj.lask.[[#This Row],[Painotetut pisteet 5]]/Ohj.lask.[[#Totals],[Painotetut pisteet 5]],0)</f>
        <v>1.6292194774407579E-2</v>
      </c>
      <c r="W42" s="17">
        <f>ROUND(IFERROR('1.1 Jakotaulu'!M$18*Ohj.lask.[[#This Row],[%-osuus 5]],0),0)</f>
        <v>378263</v>
      </c>
      <c r="X42" s="139">
        <f>IFERROR(ROUND(VLOOKUP(Ohj.lask.[[#This Row],[Y-tunnus]],'2.6 Työpaikkaohjaajakysely'!A:I,COLUMN('2.6 Työpaikkaohjaajakysely'!H:H),FALSE),1),0)</f>
        <v>7842155</v>
      </c>
      <c r="Y42" s="10">
        <f>IFERROR(Ohj.lask.[[#This Row],[Painotetut pisteet 6]]/Ohj.lask.[[#Totals],[Painotetut pisteet 6]],0)</f>
        <v>2.2852311157952023E-2</v>
      </c>
      <c r="Z42" s="17">
        <f>ROUND(IFERROR('1.1 Jakotaulu'!M$20*Ohj.lask.[[#This Row],[%-osuus 6]],0),0)</f>
        <v>530572</v>
      </c>
      <c r="AA42" s="139">
        <f>IFERROR(ROUND(VLOOKUP(Ohj.lask.[[#This Row],[Y-tunnus]],'2.7 Työpaikkakysely'!A:G,COLUMN('2.7 Työpaikkakysely'!F:F),FALSE),1),0)</f>
        <v>5011092.3</v>
      </c>
      <c r="AB42" s="10">
        <f>IFERROR(Ohj.lask.[[#This Row],[Pisteet 7]]/Ohj.lask.[[#Totals],[Pisteet 7]],0)</f>
        <v>2.4486313002225504E-2</v>
      </c>
      <c r="AC42" s="17">
        <f>ROUND(IFERROR('1.1 Jakotaulu'!M$21*Ohj.lask.[[#This Row],[%-osuus 7]],0),0)</f>
        <v>189503</v>
      </c>
      <c r="AD42" s="13">
        <f>IFERROR(Ohj.lask.[[#This Row],[Jaettava € 8]]/Ohj.lask.[[#Totals],[Jaettava € 8]],"")</f>
        <v>1.4617482873943653E-2</v>
      </c>
      <c r="AE4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29831783</v>
      </c>
      <c r="AF42" s="103">
        <v>0</v>
      </c>
      <c r="AG42" s="103">
        <v>0</v>
      </c>
      <c r="AH42" s="107">
        <v>0</v>
      </c>
      <c r="AI42" s="33">
        <v>41000</v>
      </c>
      <c r="AJ42" s="107">
        <v>0</v>
      </c>
      <c r="AK4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41000</v>
      </c>
      <c r="AL42" s="11">
        <f>Ohj.lask.[[#This Row],[Jaettava € 1]]+Ohj.lask.[[#This Row],[Harkinnanvarainen korotus yhteensä, €]]</f>
        <v>20540815</v>
      </c>
      <c r="AM42" s="103">
        <f>Ohj.lask.[[#This Row],[Jaettava € 2]]</f>
        <v>5953906</v>
      </c>
      <c r="AN42" s="11">
        <f>Ohj.lask.[[#This Row],[Jaettava € 3]]+Ohj.lask.[[#This Row],[Jaettava € 4]]+Ohj.lask.[[#This Row],[Jaettava € 5]]+Ohj.lask.[[#This Row],[Jaettava € 6]]+Ohj.lask.[[#This Row],[Jaettava € 7]]</f>
        <v>3378062</v>
      </c>
      <c r="AO42" s="34">
        <f>Ohj.lask.[[#This Row],[Jaettava € 8]]+Ohj.lask.[[#This Row],[Harkinnanvarainen korotus yhteensä, €]]</f>
        <v>29872783</v>
      </c>
      <c r="AP42" s="12">
        <v>0</v>
      </c>
      <c r="AQ42" s="34">
        <f>Ohj.lask.[[#This Row],[Perus-, suoritus- ja vaikuttavuusrahoitus yhteensä, €]]+Ohj.lask.[[#This Row],[Alv-korvaus, €]]</f>
        <v>29872783</v>
      </c>
    </row>
    <row r="43" spans="1:43" ht="12.75" x14ac:dyDescent="0.2">
      <c r="A43" s="4" t="s">
        <v>284</v>
      </c>
      <c r="B43" s="8" t="s">
        <v>149</v>
      </c>
      <c r="C43" s="8" t="s">
        <v>181</v>
      </c>
      <c r="D43" s="8" t="s">
        <v>326</v>
      </c>
      <c r="E43" s="8" t="s">
        <v>375</v>
      </c>
      <c r="F43" s="106">
        <v>88</v>
      </c>
      <c r="G43" s="33">
        <v>81</v>
      </c>
      <c r="H43" s="9">
        <f>IFERROR(VLOOKUP(Ohj.lask.[[#This Row],[Y-tunnus]],'2.1 Toteut. op.vuodet'!$A:$T,COLUMN('2.1 Toteut. op.vuodet'!S:S),FALSE),0)</f>
        <v>1.1678383695985322</v>
      </c>
      <c r="I43" s="74">
        <f t="shared" si="1"/>
        <v>94.6</v>
      </c>
      <c r="J43" s="10">
        <f>IFERROR(Ohj.lask.[[#This Row],[Painotetut opiskelija-vuodet]]/Ohj.lask.[[#Totals],[Painotetut opiskelija-vuodet]],0)</f>
        <v>4.5938832396103451E-4</v>
      </c>
      <c r="K43" s="11">
        <f>ROUND(IFERROR('1.1 Jakotaulu'!L$12*Ohj.lask.[[#This Row],[%-osuus 1]],0),0)</f>
        <v>653111</v>
      </c>
      <c r="L43" s="139">
        <f>IFERROR(ROUND(VLOOKUP(Ohj.lask.[[#This Row],[Y-tunnus]],'2.2 Tutk. ja osien pain. pist.'!$A:$Q,COLUMN('2.2 Tutk. ja osien pain. pist.'!O:O),FALSE),1),0)</f>
        <v>8233.5</v>
      </c>
      <c r="M43" s="10">
        <f>IFERROR(Ohj.lask.[[#This Row],[Painotetut pisteet 2]]/Ohj.lask.[[#Totals],[Painotetut pisteet 2]],0)</f>
        <v>5.2276789916714834E-4</v>
      </c>
      <c r="N43" s="17">
        <f>ROUND(IFERROR('1.1 Jakotaulu'!K$13*Ohj.lask.[[#This Row],[%-osuus 2]],0),0)</f>
        <v>215775</v>
      </c>
      <c r="O43" s="140">
        <f>IFERROR(ROUND(VLOOKUP(Ohj.lask.[[#This Row],[Y-tunnus]],'2.3 Työll. ja jatko-opisk.'!$A:$Y,COLUMN('2.3 Työll. ja jatko-opisk.'!L:L),FALSE),1),0)</f>
        <v>234.1</v>
      </c>
      <c r="P43" s="10">
        <f>IFERROR(Ohj.lask.[[#This Row],[Painotetut pisteet 3]]/Ohj.lask.[[#Totals],[Painotetut pisteet 3]],0)</f>
        <v>6.9357722601699724E-4</v>
      </c>
      <c r="Q43" s="11">
        <f>ROUND(IFERROR('1.1 Jakotaulu'!L$15*Ohj.lask.[[#This Row],[%-osuus 3]],0),0)</f>
        <v>100197</v>
      </c>
      <c r="R43" s="139">
        <f>IFERROR(ROUND(VLOOKUP(Ohj.lask.[[#This Row],[Y-tunnus]],'2.4 Aloittaneet palaute'!$A:$I,COLUMN('2.4 Aloittaneet palaute'!H:H),FALSE),1),0)</f>
        <v>1683.4</v>
      </c>
      <c r="S43" s="14">
        <f>IFERROR(Ohj.lask.[[#This Row],[Painotetut pisteet 4]]/Ohj.lask.[[#Totals],[Painotetut pisteet 4]],0)</f>
        <v>9.6822263852229713E-4</v>
      </c>
      <c r="T43" s="17">
        <f>ROUND(IFERROR('1.1 Jakotaulu'!M$17*Ohj.lask.[[#This Row],[%-osuus 4]],0),0)</f>
        <v>7493</v>
      </c>
      <c r="U43" s="139">
        <f>IFERROR(ROUND(VLOOKUP(Ohj.lask.[[#This Row],[Y-tunnus]],'2.5 Päättäneet palaute'!$A:$Y,COLUMN('2.5 Päättäneet palaute'!X:X),FALSE),1),0)</f>
        <v>10682.7</v>
      </c>
      <c r="V43" s="14">
        <f>IFERROR(Ohj.lask.[[#This Row],[Painotetut pisteet 5]]/Ohj.lask.[[#Totals],[Painotetut pisteet 5]],0)</f>
        <v>9.62692131548369E-4</v>
      </c>
      <c r="W43" s="17">
        <f>ROUND(IFERROR('1.1 Jakotaulu'!M$18*Ohj.lask.[[#This Row],[%-osuus 5]],0),0)</f>
        <v>22351</v>
      </c>
      <c r="X43" s="139">
        <f>IFERROR(ROUND(VLOOKUP(Ohj.lask.[[#This Row],[Y-tunnus]],'2.6 Työpaikkaohjaajakysely'!A:I,COLUMN('2.6 Työpaikkaohjaajakysely'!H:H),FALSE),1),0)</f>
        <v>417967.5</v>
      </c>
      <c r="Y43" s="10">
        <f>IFERROR(Ohj.lask.[[#This Row],[Painotetut pisteet 6]]/Ohj.lask.[[#Totals],[Painotetut pisteet 6]],0)</f>
        <v>1.2179717646375659E-3</v>
      </c>
      <c r="Z43" s="17">
        <f>ROUND(IFERROR('1.1 Jakotaulu'!M$20*Ohj.lask.[[#This Row],[%-osuus 6]],0),0)</f>
        <v>28278</v>
      </c>
      <c r="AA43" s="139">
        <f>IFERROR(ROUND(VLOOKUP(Ohj.lask.[[#This Row],[Y-tunnus]],'2.7 Työpaikkakysely'!A:G,COLUMN('2.7 Työpaikkakysely'!F:F),FALSE),1),0)</f>
        <v>250214</v>
      </c>
      <c r="AB43" s="10">
        <f>IFERROR(Ohj.lask.[[#This Row],[Pisteet 7]]/Ohj.lask.[[#Totals],[Pisteet 7]],0)</f>
        <v>1.2226512613904264E-3</v>
      </c>
      <c r="AC43" s="17">
        <f>ROUND(IFERROR('1.1 Jakotaulu'!M$21*Ohj.lask.[[#This Row],[%-osuus 7]],0),0)</f>
        <v>9462</v>
      </c>
      <c r="AD43" s="13">
        <f>IFERROR(Ohj.lask.[[#This Row],[Jaettava € 8]]/Ohj.lask.[[#Totals],[Jaettava € 8]],"")</f>
        <v>5.0796367479887287E-4</v>
      </c>
      <c r="AE4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1036667</v>
      </c>
      <c r="AF43" s="103">
        <v>0</v>
      </c>
      <c r="AG43" s="103">
        <v>0</v>
      </c>
      <c r="AH43" s="107">
        <v>0</v>
      </c>
      <c r="AI43" s="33">
        <v>3000</v>
      </c>
      <c r="AJ43" s="107">
        <v>0</v>
      </c>
      <c r="AK4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3000</v>
      </c>
      <c r="AL43" s="11">
        <f>Ohj.lask.[[#This Row],[Jaettava € 1]]+Ohj.lask.[[#This Row],[Harkinnanvarainen korotus yhteensä, €]]</f>
        <v>656111</v>
      </c>
      <c r="AM43" s="103">
        <f>Ohj.lask.[[#This Row],[Jaettava € 2]]</f>
        <v>215775</v>
      </c>
      <c r="AN43" s="11">
        <f>Ohj.lask.[[#This Row],[Jaettava € 3]]+Ohj.lask.[[#This Row],[Jaettava € 4]]+Ohj.lask.[[#This Row],[Jaettava € 5]]+Ohj.lask.[[#This Row],[Jaettava € 6]]+Ohj.lask.[[#This Row],[Jaettava € 7]]</f>
        <v>167781</v>
      </c>
      <c r="AO43" s="34">
        <f>Ohj.lask.[[#This Row],[Jaettava € 8]]+Ohj.lask.[[#This Row],[Harkinnanvarainen korotus yhteensä, €]]</f>
        <v>1039667</v>
      </c>
      <c r="AP43" s="12">
        <v>53405</v>
      </c>
      <c r="AQ43" s="34">
        <f>Ohj.lask.[[#This Row],[Perus-, suoritus- ja vaikuttavuusrahoitus yhteensä, €]]+Ohj.lask.[[#This Row],[Alv-korvaus, €]]</f>
        <v>1093072</v>
      </c>
    </row>
    <row r="44" spans="1:43" ht="12.75" x14ac:dyDescent="0.2">
      <c r="A44" s="4" t="s">
        <v>283</v>
      </c>
      <c r="B44" s="8" t="s">
        <v>539</v>
      </c>
      <c r="C44" s="8" t="s">
        <v>174</v>
      </c>
      <c r="D44" s="8" t="s">
        <v>326</v>
      </c>
      <c r="E44" s="8" t="s">
        <v>375</v>
      </c>
      <c r="F44" s="106">
        <v>85</v>
      </c>
      <c r="G44" s="33">
        <v>84</v>
      </c>
      <c r="H44" s="9">
        <f>IFERROR(VLOOKUP(Ohj.lask.[[#This Row],[Y-tunnus]],'2.1 Toteut. op.vuodet'!$A:$T,COLUMN('2.1 Toteut. op.vuodet'!S:S),FALSE),0)</f>
        <v>1.2532051310198598</v>
      </c>
      <c r="I44" s="74">
        <f t="shared" si="1"/>
        <v>105.3</v>
      </c>
      <c r="J44" s="10">
        <f>IFERROR(Ohj.lask.[[#This Row],[Painotetut opiskelija-vuodet]]/Ohj.lask.[[#Totals],[Painotetut opiskelija-vuodet]],0)</f>
        <v>5.1134873692491476E-4</v>
      </c>
      <c r="K44" s="11">
        <f>ROUND(IFERROR('1.1 Jakotaulu'!L$12*Ohj.lask.[[#This Row],[%-osuus 1]],0),0)</f>
        <v>726983</v>
      </c>
      <c r="L44" s="139">
        <f>IFERROR(ROUND(VLOOKUP(Ohj.lask.[[#This Row],[Y-tunnus]],'2.2 Tutk. ja osien pain. pist.'!$A:$Q,COLUMN('2.2 Tutk. ja osien pain. pist.'!O:O),FALSE),1),0)</f>
        <v>8761.2000000000007</v>
      </c>
      <c r="M44" s="10">
        <f>IFERROR(Ohj.lask.[[#This Row],[Painotetut pisteet 2]]/Ohj.lask.[[#Totals],[Painotetut pisteet 2]],0)</f>
        <v>5.5627304526425223E-4</v>
      </c>
      <c r="N44" s="17">
        <f>ROUND(IFERROR('1.1 Jakotaulu'!K$13*Ohj.lask.[[#This Row],[%-osuus 2]],0),0)</f>
        <v>229604</v>
      </c>
      <c r="O44" s="140">
        <f>IFERROR(ROUND(VLOOKUP(Ohj.lask.[[#This Row],[Y-tunnus]],'2.3 Työll. ja jatko-opisk.'!$A:$Y,COLUMN('2.3 Työll. ja jatko-opisk.'!L:L),FALSE),1),0)</f>
        <v>188.8</v>
      </c>
      <c r="P44" s="10">
        <f>IFERROR(Ohj.lask.[[#This Row],[Painotetut pisteet 3]]/Ohj.lask.[[#Totals],[Painotetut pisteet 3]],0)</f>
        <v>5.5936514426317425E-4</v>
      </c>
      <c r="Q44" s="11">
        <f>ROUND(IFERROR('1.1 Jakotaulu'!L$15*Ohj.lask.[[#This Row],[%-osuus 3]],0),0)</f>
        <v>80808</v>
      </c>
      <c r="R44" s="139">
        <f>IFERROR(ROUND(VLOOKUP(Ohj.lask.[[#This Row],[Y-tunnus]],'2.4 Aloittaneet palaute'!$A:$I,COLUMN('2.4 Aloittaneet palaute'!H:H),FALSE),1),0)</f>
        <v>298.7</v>
      </c>
      <c r="S44" s="14">
        <f>IFERROR(Ohj.lask.[[#This Row],[Painotetut pisteet 4]]/Ohj.lask.[[#Totals],[Painotetut pisteet 4]],0)</f>
        <v>1.7179998938256512E-4</v>
      </c>
      <c r="T44" s="17">
        <f>ROUND(IFERROR('1.1 Jakotaulu'!M$17*Ohj.lask.[[#This Row],[%-osuus 4]],0),0)</f>
        <v>1330</v>
      </c>
      <c r="U44" s="139">
        <f>IFERROR(ROUND(VLOOKUP(Ohj.lask.[[#This Row],[Y-tunnus]],'2.5 Päättäneet palaute'!$A:$Y,COLUMN('2.5 Päättäneet palaute'!X:X),FALSE),1),0)</f>
        <v>5933.6</v>
      </c>
      <c r="V44" s="14">
        <f>IFERROR(Ohj.lask.[[#This Row],[Painotetut pisteet 5]]/Ohj.lask.[[#Totals],[Painotetut pisteet 5]],0)</f>
        <v>5.3471781775725263E-4</v>
      </c>
      <c r="W44" s="17">
        <f>ROUND(IFERROR('1.1 Jakotaulu'!M$18*Ohj.lask.[[#This Row],[%-osuus 5]],0),0)</f>
        <v>12415</v>
      </c>
      <c r="X44" s="139">
        <f>IFERROR(ROUND(VLOOKUP(Ohj.lask.[[#This Row],[Y-tunnus]],'2.6 Työpaikkaohjaajakysely'!A:I,COLUMN('2.6 Työpaikkaohjaajakysely'!H:H),FALSE),1),0)</f>
        <v>333245.40000000002</v>
      </c>
      <c r="Y44" s="10">
        <f>IFERROR(Ohj.lask.[[#This Row],[Painotetut pisteet 6]]/Ohj.lask.[[#Totals],[Painotetut pisteet 6]],0)</f>
        <v>9.7108863223899363E-4</v>
      </c>
      <c r="Z44" s="17">
        <f>ROUND(IFERROR('1.1 Jakotaulu'!M$20*Ohj.lask.[[#This Row],[%-osuus 6]],0),0)</f>
        <v>22546</v>
      </c>
      <c r="AA44" s="139">
        <f>IFERROR(ROUND(VLOOKUP(Ohj.lask.[[#This Row],[Y-tunnus]],'2.7 Työpaikkakysely'!A:G,COLUMN('2.7 Työpaikkakysely'!F:F),FALSE),1),0)</f>
        <v>132313</v>
      </c>
      <c r="AB44" s="10">
        <f>IFERROR(Ohj.lask.[[#This Row],[Pisteet 7]]/Ohj.lask.[[#Totals],[Pisteet 7]],0)</f>
        <v>6.4653718955914332E-4</v>
      </c>
      <c r="AC44" s="17">
        <f>ROUND(IFERROR('1.1 Jakotaulu'!M$21*Ohj.lask.[[#This Row],[%-osuus 7]],0),0)</f>
        <v>5004</v>
      </c>
      <c r="AD44" s="13">
        <f>IFERROR(Ohj.lask.[[#This Row],[Jaettava € 8]]/Ohj.lask.[[#Totals],[Jaettava € 8]],"")</f>
        <v>5.2855481689761149E-4</v>
      </c>
      <c r="AE4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1078690</v>
      </c>
      <c r="AF44" s="103">
        <v>0</v>
      </c>
      <c r="AG44" s="103">
        <v>0</v>
      </c>
      <c r="AH44" s="107">
        <v>0</v>
      </c>
      <c r="AI44" s="33">
        <v>0</v>
      </c>
      <c r="AJ44" s="107">
        <v>0</v>
      </c>
      <c r="AK4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44" s="11">
        <f>Ohj.lask.[[#This Row],[Jaettava € 1]]+Ohj.lask.[[#This Row],[Harkinnanvarainen korotus yhteensä, €]]</f>
        <v>726983</v>
      </c>
      <c r="AM44" s="103">
        <f>Ohj.lask.[[#This Row],[Jaettava € 2]]</f>
        <v>229604</v>
      </c>
      <c r="AN44" s="11">
        <f>Ohj.lask.[[#This Row],[Jaettava € 3]]+Ohj.lask.[[#This Row],[Jaettava € 4]]+Ohj.lask.[[#This Row],[Jaettava € 5]]+Ohj.lask.[[#This Row],[Jaettava € 6]]+Ohj.lask.[[#This Row],[Jaettava € 7]]</f>
        <v>122103</v>
      </c>
      <c r="AO44" s="34">
        <f>Ohj.lask.[[#This Row],[Jaettava € 8]]+Ohj.lask.[[#This Row],[Harkinnanvarainen korotus yhteensä, €]]</f>
        <v>1078690</v>
      </c>
      <c r="AP44" s="12">
        <v>62836</v>
      </c>
      <c r="AQ44" s="34">
        <f>Ohj.lask.[[#This Row],[Perus-, suoritus- ja vaikuttavuusrahoitus yhteensä, €]]+Ohj.lask.[[#This Row],[Alv-korvaus, €]]</f>
        <v>1141526</v>
      </c>
    </row>
    <row r="45" spans="1:43" ht="12.75" x14ac:dyDescent="0.2">
      <c r="A45" s="4" t="s">
        <v>282</v>
      </c>
      <c r="B45" s="8" t="s">
        <v>46</v>
      </c>
      <c r="C45" s="8" t="s">
        <v>174</v>
      </c>
      <c r="D45" s="8" t="s">
        <v>326</v>
      </c>
      <c r="E45" s="8" t="s">
        <v>375</v>
      </c>
      <c r="F45" s="106">
        <v>63</v>
      </c>
      <c r="G45" s="33">
        <v>52</v>
      </c>
      <c r="H45" s="9">
        <f>IFERROR(VLOOKUP(Ohj.lask.[[#This Row],[Y-tunnus]],'2.1 Toteut. op.vuodet'!$A:$T,COLUMN('2.1 Toteut. op.vuodet'!S:S),FALSE),0)</f>
        <v>0.92676340507391752</v>
      </c>
      <c r="I45" s="74">
        <f t="shared" si="1"/>
        <v>48.2</v>
      </c>
      <c r="J45" s="10">
        <f>IFERROR(Ohj.lask.[[#This Row],[Painotetut opiskelija-vuodet]]/Ohj.lask.[[#Totals],[Painotetut opiskelija-vuodet]],0)</f>
        <v>2.3406466400551656E-4</v>
      </c>
      <c r="K45" s="11">
        <f>ROUND(IFERROR('1.1 Jakotaulu'!L$12*Ohj.lask.[[#This Row],[%-osuus 1]],0),0)</f>
        <v>332769</v>
      </c>
      <c r="L45" s="139">
        <f>IFERROR(ROUND(VLOOKUP(Ohj.lask.[[#This Row],[Y-tunnus]],'2.2 Tutk. ja osien pain. pist.'!$A:$Q,COLUMN('2.2 Tutk. ja osien pain. pist.'!O:O),FALSE),1),0)</f>
        <v>658.2</v>
      </c>
      <c r="M45" s="10">
        <f>IFERROR(Ohj.lask.[[#This Row],[Painotetut pisteet 2]]/Ohj.lask.[[#Totals],[Painotetut pisteet 2]],0)</f>
        <v>4.1790955393431358E-5</v>
      </c>
      <c r="N45" s="17">
        <f>ROUND(IFERROR('1.1 Jakotaulu'!K$13*Ohj.lask.[[#This Row],[%-osuus 2]],0),0)</f>
        <v>17249</v>
      </c>
      <c r="O45" s="140">
        <f>IFERROR(ROUND(VLOOKUP(Ohj.lask.[[#This Row],[Y-tunnus]],'2.3 Työll. ja jatko-opisk.'!$A:$Y,COLUMN('2.3 Työll. ja jatko-opisk.'!L:L),FALSE),1),0)</f>
        <v>33.700000000000003</v>
      </c>
      <c r="P45" s="10">
        <f>IFERROR(Ohj.lask.[[#This Row],[Painotetut pisteet 3]]/Ohj.lask.[[#Totals],[Painotetut pisteet 3]],0)</f>
        <v>9.9844308059687353E-5</v>
      </c>
      <c r="Q45" s="11">
        <f>ROUND(IFERROR('1.1 Jakotaulu'!L$15*Ohj.lask.[[#This Row],[%-osuus 3]],0),0)</f>
        <v>14424</v>
      </c>
      <c r="R45" s="139">
        <f>IFERROR(ROUND(VLOOKUP(Ohj.lask.[[#This Row],[Y-tunnus]],'2.4 Aloittaneet palaute'!$A:$I,COLUMN('2.4 Aloittaneet palaute'!H:H),FALSE),1),0)</f>
        <v>271.60000000000002</v>
      </c>
      <c r="S45" s="14">
        <f>IFERROR(Ohj.lask.[[#This Row],[Painotetut pisteet 4]]/Ohj.lask.[[#Totals],[Painotetut pisteet 4]],0)</f>
        <v>1.5621318083798021E-4</v>
      </c>
      <c r="T45" s="17">
        <f>ROUND(IFERROR('1.1 Jakotaulu'!M$17*Ohj.lask.[[#This Row],[%-osuus 4]],0),0)</f>
        <v>1209</v>
      </c>
      <c r="U45" s="139">
        <f>IFERROR(ROUND(VLOOKUP(Ohj.lask.[[#This Row],[Y-tunnus]],'2.5 Päättäneet palaute'!$A:$Y,COLUMN('2.5 Päättäneet palaute'!X:X),FALSE),1),0)</f>
        <v>1033.9000000000001</v>
      </c>
      <c r="V45" s="14">
        <f>IFERROR(Ohj.lask.[[#This Row],[Painotetut pisteet 5]]/Ohj.lask.[[#Totals],[Painotetut pisteet 5]],0)</f>
        <v>9.3171894259677681E-5</v>
      </c>
      <c r="W45" s="17">
        <f>ROUND(IFERROR('1.1 Jakotaulu'!M$18*Ohj.lask.[[#This Row],[%-osuus 5]],0),0)</f>
        <v>2163</v>
      </c>
      <c r="X45" s="139">
        <f>IFERROR(ROUND(VLOOKUP(Ohj.lask.[[#This Row],[Y-tunnus]],'2.6 Työpaikkaohjaajakysely'!A:I,COLUMN('2.6 Työpaikkaohjaajakysely'!H:H),FALSE),1),0)</f>
        <v>65593.399999999994</v>
      </c>
      <c r="Y45" s="10">
        <f>IFERROR(Ohj.lask.[[#This Row],[Painotetut pisteet 6]]/Ohj.lask.[[#Totals],[Painotetut pisteet 6]],0)</f>
        <v>1.9114143838116053E-4</v>
      </c>
      <c r="Z45" s="17">
        <f>ROUND(IFERROR('1.1 Jakotaulu'!M$20*Ohj.lask.[[#This Row],[%-osuus 6]],0),0)</f>
        <v>4438</v>
      </c>
      <c r="AA45" s="139">
        <f>IFERROR(ROUND(VLOOKUP(Ohj.lask.[[#This Row],[Y-tunnus]],'2.7 Työpaikkakysely'!A:G,COLUMN('2.7 Työpaikkakysely'!F:F),FALSE),1),0)</f>
        <v>74537</v>
      </c>
      <c r="AB45" s="10">
        <f>IFERROR(Ohj.lask.[[#This Row],[Pisteet 7]]/Ohj.lask.[[#Totals],[Pisteet 7]],0)</f>
        <v>3.6421925659738547E-4</v>
      </c>
      <c r="AC45" s="17">
        <f>ROUND(IFERROR('1.1 Jakotaulu'!M$21*Ohj.lask.[[#This Row],[%-osuus 7]],0),0)</f>
        <v>2819</v>
      </c>
      <c r="AD45" s="13">
        <f>IFERROR(Ohj.lask.[[#This Row],[Jaettava € 8]]/Ohj.lask.[[#Totals],[Jaettava € 8]],"")</f>
        <v>1.8378364843338126E-4</v>
      </c>
      <c r="AE4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375071</v>
      </c>
      <c r="AF45" s="103">
        <v>0</v>
      </c>
      <c r="AG45" s="103">
        <v>0</v>
      </c>
      <c r="AH45" s="107">
        <v>0</v>
      </c>
      <c r="AI45" s="33">
        <v>0</v>
      </c>
      <c r="AJ45" s="107">
        <v>0</v>
      </c>
      <c r="AK4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45" s="11">
        <f>Ohj.lask.[[#This Row],[Jaettava € 1]]+Ohj.lask.[[#This Row],[Harkinnanvarainen korotus yhteensä, €]]</f>
        <v>332769</v>
      </c>
      <c r="AM45" s="103">
        <f>Ohj.lask.[[#This Row],[Jaettava € 2]]</f>
        <v>17249</v>
      </c>
      <c r="AN45" s="11">
        <f>Ohj.lask.[[#This Row],[Jaettava € 3]]+Ohj.lask.[[#This Row],[Jaettava € 4]]+Ohj.lask.[[#This Row],[Jaettava € 5]]+Ohj.lask.[[#This Row],[Jaettava € 6]]+Ohj.lask.[[#This Row],[Jaettava € 7]]</f>
        <v>25053</v>
      </c>
      <c r="AO45" s="34">
        <f>Ohj.lask.[[#This Row],[Jaettava € 8]]+Ohj.lask.[[#This Row],[Harkinnanvarainen korotus yhteensä, €]]</f>
        <v>375071</v>
      </c>
      <c r="AP45" s="12">
        <v>0</v>
      </c>
      <c r="AQ45" s="34">
        <f>Ohj.lask.[[#This Row],[Perus-, suoritus- ja vaikuttavuusrahoitus yhteensä, €]]+Ohj.lask.[[#This Row],[Alv-korvaus, €]]</f>
        <v>375071</v>
      </c>
    </row>
    <row r="46" spans="1:43" ht="12.75" x14ac:dyDescent="0.2">
      <c r="A46" s="4" t="s">
        <v>281</v>
      </c>
      <c r="B46" s="8" t="s">
        <v>495</v>
      </c>
      <c r="C46" s="8" t="s">
        <v>176</v>
      </c>
      <c r="D46" s="8" t="s">
        <v>326</v>
      </c>
      <c r="E46" s="8" t="s">
        <v>375</v>
      </c>
      <c r="F46" s="106">
        <v>23</v>
      </c>
      <c r="G46" s="33">
        <v>21</v>
      </c>
      <c r="H46" s="9">
        <f>IFERROR(VLOOKUP(Ohj.lask.[[#This Row],[Y-tunnus]],'2.1 Toteut. op.vuodet'!$A:$T,COLUMN('2.1 Toteut. op.vuodet'!S:S),FALSE),0)</f>
        <v>0.82317127659574374</v>
      </c>
      <c r="I46" s="74">
        <f t="shared" si="1"/>
        <v>17.3</v>
      </c>
      <c r="J46" s="10">
        <f>IFERROR(Ohj.lask.[[#This Row],[Painotetut opiskelija-vuodet]]/Ohj.lask.[[#Totals],[Painotetut opiskelija-vuodet]],0)</f>
        <v>8.4010761147208226E-5</v>
      </c>
      <c r="K46" s="11">
        <f>ROUND(IFERROR('1.1 Jakotaulu'!L$12*Ohj.lask.[[#This Row],[%-osuus 1]],0),0)</f>
        <v>119438</v>
      </c>
      <c r="L46" s="139">
        <f>IFERROR(ROUND(VLOOKUP(Ohj.lask.[[#This Row],[Y-tunnus]],'2.2 Tutk. ja osien pain. pist.'!$A:$Q,COLUMN('2.2 Tutk. ja osien pain. pist.'!O:O),FALSE),1),0)</f>
        <v>712.8</v>
      </c>
      <c r="M46" s="10">
        <f>IFERROR(Ohj.lask.[[#This Row],[Painotetut pisteet 2]]/Ohj.lask.[[#Totals],[Painotetut pisteet 2]],0)</f>
        <v>4.5257661811664943E-5</v>
      </c>
      <c r="N46" s="17">
        <f>ROUND(IFERROR('1.1 Jakotaulu'!K$13*Ohj.lask.[[#This Row],[%-osuus 2]],0),0)</f>
        <v>18680</v>
      </c>
      <c r="O46" s="140">
        <f>IFERROR(ROUND(VLOOKUP(Ohj.lask.[[#This Row],[Y-tunnus]],'2.3 Työll. ja jatko-opisk.'!$A:$Y,COLUMN('2.3 Työll. ja jatko-opisk.'!L:L),FALSE),1),0)</f>
        <v>18.8</v>
      </c>
      <c r="P46" s="10">
        <f>IFERROR(Ohj.lask.[[#This Row],[Painotetut pisteet 3]]/Ohj.lask.[[#Totals],[Painotetut pisteet 3]],0)</f>
        <v>5.569949529739235E-5</v>
      </c>
      <c r="Q46" s="11">
        <f>ROUND(IFERROR('1.1 Jakotaulu'!L$15*Ohj.lask.[[#This Row],[%-osuus 3]],0),0)</f>
        <v>8047</v>
      </c>
      <c r="R46" s="139">
        <f>IFERROR(ROUND(VLOOKUP(Ohj.lask.[[#This Row],[Y-tunnus]],'2.4 Aloittaneet palaute'!$A:$I,COLUMN('2.4 Aloittaneet palaute'!H:H),FALSE),1),0)</f>
        <v>345</v>
      </c>
      <c r="S46" s="14">
        <f>IFERROR(Ohj.lask.[[#This Row],[Painotetut pisteet 4]]/Ohj.lask.[[#Totals],[Painotetut pisteet 4]],0)</f>
        <v>1.9842985047534306E-4</v>
      </c>
      <c r="T46" s="17">
        <f>ROUND(IFERROR('1.1 Jakotaulu'!M$17*Ohj.lask.[[#This Row],[%-osuus 4]],0),0)</f>
        <v>1536</v>
      </c>
      <c r="U46" s="139">
        <f>IFERROR(ROUND(VLOOKUP(Ohj.lask.[[#This Row],[Y-tunnus]],'2.5 Päättäneet palaute'!$A:$Y,COLUMN('2.5 Päättäneet palaute'!X:X),FALSE),1),0)</f>
        <v>1171.8</v>
      </c>
      <c r="V46" s="14">
        <f>IFERROR(Ohj.lask.[[#This Row],[Painotetut pisteet 5]]/Ohj.lask.[[#Totals],[Painotetut pisteet 5]],0)</f>
        <v>1.055990189510497E-4</v>
      </c>
      <c r="W46" s="17">
        <f>ROUND(IFERROR('1.1 Jakotaulu'!M$18*Ohj.lask.[[#This Row],[%-osuus 5]],0),0)</f>
        <v>2452</v>
      </c>
      <c r="X46" s="139">
        <f>IFERROR(ROUND(VLOOKUP(Ohj.lask.[[#This Row],[Y-tunnus]],'2.6 Työpaikkaohjaajakysely'!A:I,COLUMN('2.6 Työpaikkaohjaajakysely'!H:H),FALSE),1),0)</f>
        <v>50465.8</v>
      </c>
      <c r="Y46" s="10">
        <f>IFERROR(Ohj.lask.[[#This Row],[Painotetut pisteet 6]]/Ohj.lask.[[#Totals],[Painotetut pisteet 6]],0)</f>
        <v>1.4705908827802755E-4</v>
      </c>
      <c r="Z46" s="17">
        <f>ROUND(IFERROR('1.1 Jakotaulu'!M$20*Ohj.lask.[[#This Row],[%-osuus 6]],0),0)</f>
        <v>3414</v>
      </c>
      <c r="AA46" s="139">
        <f>IFERROR(ROUND(VLOOKUP(Ohj.lask.[[#This Row],[Y-tunnus]],'2.7 Työpaikkakysely'!A:G,COLUMN('2.7 Työpaikkakysely'!F:F),FALSE),1),0)</f>
        <v>15384</v>
      </c>
      <c r="AB46" s="10">
        <f>IFERROR(Ohj.lask.[[#This Row],[Pisteet 7]]/Ohj.lask.[[#Totals],[Pisteet 7]],0)</f>
        <v>7.5172720172453646E-5</v>
      </c>
      <c r="AC46" s="17">
        <f>ROUND(IFERROR('1.1 Jakotaulu'!M$21*Ohj.lask.[[#This Row],[%-osuus 7]],0),0)</f>
        <v>582</v>
      </c>
      <c r="AD46" s="13">
        <f>IFERROR(Ohj.lask.[[#This Row],[Jaettava € 8]]/Ohj.lask.[[#Totals],[Jaettava € 8]],"")</f>
        <v>7.55325408318886E-5</v>
      </c>
      <c r="AE4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154149</v>
      </c>
      <c r="AF46" s="103">
        <v>0</v>
      </c>
      <c r="AG46" s="103">
        <v>0</v>
      </c>
      <c r="AH46" s="107">
        <v>0</v>
      </c>
      <c r="AI46" s="33">
        <v>0</v>
      </c>
      <c r="AJ46" s="107">
        <v>0</v>
      </c>
      <c r="AK4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46" s="11">
        <f>Ohj.lask.[[#This Row],[Jaettava € 1]]+Ohj.lask.[[#This Row],[Harkinnanvarainen korotus yhteensä, €]]</f>
        <v>119438</v>
      </c>
      <c r="AM46" s="103">
        <f>Ohj.lask.[[#This Row],[Jaettava € 2]]</f>
        <v>18680</v>
      </c>
      <c r="AN46" s="11">
        <f>Ohj.lask.[[#This Row],[Jaettava € 3]]+Ohj.lask.[[#This Row],[Jaettava € 4]]+Ohj.lask.[[#This Row],[Jaettava € 5]]+Ohj.lask.[[#This Row],[Jaettava € 6]]+Ohj.lask.[[#This Row],[Jaettava € 7]]</f>
        <v>16031</v>
      </c>
      <c r="AO46" s="34">
        <f>Ohj.lask.[[#This Row],[Jaettava € 8]]+Ohj.lask.[[#This Row],[Harkinnanvarainen korotus yhteensä, €]]</f>
        <v>154149</v>
      </c>
      <c r="AP46" s="12">
        <v>9421</v>
      </c>
      <c r="AQ46" s="34">
        <f>Ohj.lask.[[#This Row],[Perus-, suoritus- ja vaikuttavuusrahoitus yhteensä, €]]+Ohj.lask.[[#This Row],[Alv-korvaus, €]]</f>
        <v>163570</v>
      </c>
    </row>
    <row r="47" spans="1:43" ht="12.75" x14ac:dyDescent="0.2">
      <c r="A47" s="4" t="s">
        <v>279</v>
      </c>
      <c r="B47" s="8" t="s">
        <v>48</v>
      </c>
      <c r="C47" s="8" t="s">
        <v>174</v>
      </c>
      <c r="D47" s="8" t="s">
        <v>326</v>
      </c>
      <c r="E47" s="8" t="s">
        <v>375</v>
      </c>
      <c r="F47" s="106">
        <v>83</v>
      </c>
      <c r="G47" s="33">
        <v>80</v>
      </c>
      <c r="H47" s="9">
        <f>IFERROR(VLOOKUP(Ohj.lask.[[#This Row],[Y-tunnus]],'2.1 Toteut. op.vuodet'!$A:$T,COLUMN('2.1 Toteut. op.vuodet'!S:S),FALSE),0)</f>
        <v>1.0663620420888464</v>
      </c>
      <c r="I47" s="74">
        <f t="shared" si="1"/>
        <v>85.3</v>
      </c>
      <c r="J47" s="10">
        <f>IFERROR(Ohj.lask.[[#This Row],[Painotetut opiskelija-vuodet]]/Ohj.lask.[[#Totals],[Painotetut opiskelija-vuodet]],0)</f>
        <v>4.1422646970270871E-4</v>
      </c>
      <c r="K47" s="11">
        <f>ROUND(IFERROR('1.1 Jakotaulu'!L$12*Ohj.lask.[[#This Row],[%-osuus 1]],0),0)</f>
        <v>588905</v>
      </c>
      <c r="L47" s="139">
        <f>IFERROR(ROUND(VLOOKUP(Ohj.lask.[[#This Row],[Y-tunnus]],'2.2 Tutk. ja osien pain. pist.'!$A:$Q,COLUMN('2.2 Tutk. ja osien pain. pist.'!O:O),FALSE),1),0)</f>
        <v>5301.5</v>
      </c>
      <c r="M47" s="10">
        <f>IFERROR(Ohj.lask.[[#This Row],[Painotetut pisteet 2]]/Ohj.lask.[[#Totals],[Painotetut pisteet 2]],0)</f>
        <v>3.3660703436383518E-4</v>
      </c>
      <c r="N47" s="17">
        <f>ROUND(IFERROR('1.1 Jakotaulu'!K$13*Ohj.lask.[[#This Row],[%-osuus 2]],0),0)</f>
        <v>138936</v>
      </c>
      <c r="O47" s="140">
        <f>IFERROR(ROUND(VLOOKUP(Ohj.lask.[[#This Row],[Y-tunnus]],'2.3 Työll. ja jatko-opisk.'!$A:$Y,COLUMN('2.3 Työll. ja jatko-opisk.'!L:L),FALSE),1),0)</f>
        <v>84.5</v>
      </c>
      <c r="P47" s="10">
        <f>IFERROR(Ohj.lask.[[#This Row],[Painotetut pisteet 3]]/Ohj.lask.[[#Totals],[Painotetut pisteet 3]],0)</f>
        <v>2.5035145492710922E-4</v>
      </c>
      <c r="Q47" s="11">
        <f>ROUND(IFERROR('1.1 Jakotaulu'!L$15*Ohj.lask.[[#This Row],[%-osuus 3]],0),0)</f>
        <v>36167</v>
      </c>
      <c r="R47" s="139">
        <f>IFERROR(ROUND(VLOOKUP(Ohj.lask.[[#This Row],[Y-tunnus]],'2.4 Aloittaneet palaute'!$A:$I,COLUMN('2.4 Aloittaneet palaute'!H:H),FALSE),1),0)</f>
        <v>561.29999999999995</v>
      </c>
      <c r="S47" s="14">
        <f>IFERROR(Ohj.lask.[[#This Row],[Painotetut pisteet 4]]/Ohj.lask.[[#Totals],[Painotetut pisteet 4]],0)</f>
        <v>3.2283673933857984E-4</v>
      </c>
      <c r="T47" s="17">
        <f>ROUND(IFERROR('1.1 Jakotaulu'!M$17*Ohj.lask.[[#This Row],[%-osuus 4]],0),0)</f>
        <v>2498</v>
      </c>
      <c r="U47" s="139">
        <f>IFERROR(ROUND(VLOOKUP(Ohj.lask.[[#This Row],[Y-tunnus]],'2.5 Päättäneet palaute'!$A:$Y,COLUMN('2.5 Päättäneet palaute'!X:X),FALSE),1),0)</f>
        <v>4605.5</v>
      </c>
      <c r="V47" s="14">
        <f>IFERROR(Ohj.lask.[[#This Row],[Painotetut pisteet 5]]/Ohj.lask.[[#Totals],[Painotetut pisteet 5]],0)</f>
        <v>4.1503352259691028E-4</v>
      </c>
      <c r="W47" s="17">
        <f>ROUND(IFERROR('1.1 Jakotaulu'!M$18*Ohj.lask.[[#This Row],[%-osuus 5]],0),0)</f>
        <v>9636</v>
      </c>
      <c r="X47" s="139">
        <f>IFERROR(ROUND(VLOOKUP(Ohj.lask.[[#This Row],[Y-tunnus]],'2.6 Työpaikkaohjaajakysely'!A:I,COLUMN('2.6 Työpaikkaohjaajakysely'!H:H),FALSE),1),0)</f>
        <v>100967.9</v>
      </c>
      <c r="Y47" s="10">
        <f>IFERROR(Ohj.lask.[[#This Row],[Painotetut pisteet 6]]/Ohj.lask.[[#Totals],[Painotetut pisteet 6]],0)</f>
        <v>2.9422395601272659E-4</v>
      </c>
      <c r="Z47" s="17">
        <f>ROUND(IFERROR('1.1 Jakotaulu'!M$20*Ohj.lask.[[#This Row],[%-osuus 6]],0),0)</f>
        <v>6831</v>
      </c>
      <c r="AA47" s="139">
        <f>IFERROR(ROUND(VLOOKUP(Ohj.lask.[[#This Row],[Y-tunnus]],'2.7 Työpaikkakysely'!A:G,COLUMN('2.7 Työpaikkakysely'!F:F),FALSE),1),0)</f>
        <v>96429</v>
      </c>
      <c r="AB47" s="10">
        <f>IFERROR(Ohj.lask.[[#This Row],[Pisteet 7]]/Ohj.lask.[[#Totals],[Pisteet 7]],0)</f>
        <v>4.7119281289063528E-4</v>
      </c>
      <c r="AC47" s="17">
        <f>ROUND(IFERROR('1.1 Jakotaulu'!M$21*Ohj.lask.[[#This Row],[%-osuus 7]],0),0)</f>
        <v>3647</v>
      </c>
      <c r="AD47" s="13">
        <f>IFERROR(Ohj.lask.[[#This Row],[Jaettava € 8]]/Ohj.lask.[[#Totals],[Jaettava € 8]],"")</f>
        <v>3.8544140584227085E-4</v>
      </c>
      <c r="AE4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786620</v>
      </c>
      <c r="AF47" s="103">
        <v>0</v>
      </c>
      <c r="AG47" s="103">
        <v>0</v>
      </c>
      <c r="AH47" s="107">
        <v>0</v>
      </c>
      <c r="AI47" s="33">
        <v>1000</v>
      </c>
      <c r="AJ47" s="107">
        <v>0</v>
      </c>
      <c r="AK4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47" s="11">
        <f>Ohj.lask.[[#This Row],[Jaettava € 1]]+Ohj.lask.[[#This Row],[Harkinnanvarainen korotus yhteensä, €]]</f>
        <v>589905</v>
      </c>
      <c r="AM47" s="103">
        <f>Ohj.lask.[[#This Row],[Jaettava € 2]]</f>
        <v>138936</v>
      </c>
      <c r="AN47" s="11">
        <f>Ohj.lask.[[#This Row],[Jaettava € 3]]+Ohj.lask.[[#This Row],[Jaettava € 4]]+Ohj.lask.[[#This Row],[Jaettava € 5]]+Ohj.lask.[[#This Row],[Jaettava € 6]]+Ohj.lask.[[#This Row],[Jaettava € 7]]</f>
        <v>58779</v>
      </c>
      <c r="AO47" s="34">
        <f>Ohj.lask.[[#This Row],[Jaettava € 8]]+Ohj.lask.[[#This Row],[Harkinnanvarainen korotus yhteensä, €]]</f>
        <v>787620</v>
      </c>
      <c r="AP47" s="12">
        <v>50151</v>
      </c>
      <c r="AQ47" s="34">
        <f>Ohj.lask.[[#This Row],[Perus-, suoritus- ja vaikuttavuusrahoitus yhteensä, €]]+Ohj.lask.[[#This Row],[Alv-korvaus, €]]</f>
        <v>837771</v>
      </c>
    </row>
    <row r="48" spans="1:43" ht="12.75" x14ac:dyDescent="0.2">
      <c r="A48" s="4" t="s">
        <v>278</v>
      </c>
      <c r="B48" s="8" t="s">
        <v>49</v>
      </c>
      <c r="C48" s="97" t="s">
        <v>223</v>
      </c>
      <c r="D48" s="97" t="s">
        <v>325</v>
      </c>
      <c r="E48" s="97" t="s">
        <v>375</v>
      </c>
      <c r="F48" s="105">
        <v>2434</v>
      </c>
      <c r="G48" s="33">
        <v>2320</v>
      </c>
      <c r="H48" s="9">
        <f>IFERROR(VLOOKUP(Ohj.lask.[[#This Row],[Y-tunnus]],'2.1 Toteut. op.vuodet'!$A:$T,COLUMN('2.1 Toteut. op.vuodet'!S:S),FALSE),0)</f>
        <v>1.1749003870857309</v>
      </c>
      <c r="I48" s="74">
        <f t="shared" si="1"/>
        <v>2725.8</v>
      </c>
      <c r="J48" s="10">
        <f>IFERROR(Ohj.lask.[[#This Row],[Painotetut opiskelija-vuodet]]/Ohj.lask.[[#Totals],[Painotetut opiskelija-vuodet]],0)</f>
        <v>1.3236793799714461E-2</v>
      </c>
      <c r="K48" s="11">
        <f>ROUND(IFERROR('1.1 Jakotaulu'!L$12*Ohj.lask.[[#This Row],[%-osuus 1]],0),0)</f>
        <v>18818710</v>
      </c>
      <c r="L48" s="139">
        <f>IFERROR(ROUND(VLOOKUP(Ohj.lask.[[#This Row],[Y-tunnus]],'2.2 Tutk. ja osien pain. pist.'!$A:$Q,COLUMN('2.2 Tutk. ja osien pain. pist.'!O:O),FALSE),1),0)</f>
        <v>189627.6</v>
      </c>
      <c r="M48" s="10">
        <f>IFERROR(Ohj.lask.[[#This Row],[Painotetut pisteet 2]]/Ohj.lask.[[#Totals],[Painotetut pisteet 2]],0)</f>
        <v>1.203998567755005E-2</v>
      </c>
      <c r="N48" s="17">
        <f>ROUND(IFERROR('1.1 Jakotaulu'!K$13*Ohj.lask.[[#This Row],[%-osuus 2]],0),0)</f>
        <v>4969564</v>
      </c>
      <c r="O48" s="140">
        <f>IFERROR(ROUND(VLOOKUP(Ohj.lask.[[#This Row],[Y-tunnus]],'2.3 Työll. ja jatko-opisk.'!$A:$Y,COLUMN('2.3 Työll. ja jatko-opisk.'!L:L),FALSE),1),0)</f>
        <v>4601.7</v>
      </c>
      <c r="P48" s="14">
        <f>IFERROR(Ohj.lask.[[#This Row],[Painotetut pisteet 3]]/Ohj.lask.[[#Totals],[Painotetut pisteet 3]],0)</f>
        <v>1.3633636569681402E-2</v>
      </c>
      <c r="Q48" s="11">
        <f>ROUND(IFERROR('1.1 Jakotaulu'!L$15*Ohj.lask.[[#This Row],[%-osuus 3]],0),0)</f>
        <v>1969568</v>
      </c>
      <c r="R48" s="139">
        <f>IFERROR(ROUND(VLOOKUP(Ohj.lask.[[#This Row],[Y-tunnus]],'2.4 Aloittaneet palaute'!$A:$I,COLUMN('2.4 Aloittaneet palaute'!H:H),FALSE),1),0)</f>
        <v>24195.9</v>
      </c>
      <c r="S48" s="14">
        <f>IFERROR(Ohj.lask.[[#This Row],[Painotetut pisteet 4]]/Ohj.lask.[[#Totals],[Painotetut pisteet 4]],0)</f>
        <v>1.3916489330772039E-2</v>
      </c>
      <c r="T48" s="17">
        <f>ROUND(IFERROR('1.1 Jakotaulu'!M$17*Ohj.lask.[[#This Row],[%-osuus 4]],0),0)</f>
        <v>107702</v>
      </c>
      <c r="U48" s="139">
        <f>IFERROR(ROUND(VLOOKUP(Ohj.lask.[[#This Row],[Y-tunnus]],'2.5 Päättäneet palaute'!$A:$Y,COLUMN('2.5 Päättäneet palaute'!X:X),FALSE),1),0)</f>
        <v>145392.5</v>
      </c>
      <c r="V48" s="14">
        <f>IFERROR(Ohj.lask.[[#This Row],[Painotetut pisteet 5]]/Ohj.lask.[[#Totals],[Painotetut pisteet 5]],0)</f>
        <v>1.3102325791807898E-2</v>
      </c>
      <c r="W48" s="17">
        <f>ROUND(IFERROR('1.1 Jakotaulu'!M$18*Ohj.lask.[[#This Row],[%-osuus 5]],0),0)</f>
        <v>304202</v>
      </c>
      <c r="X48" s="139">
        <f>IFERROR(ROUND(VLOOKUP(Ohj.lask.[[#This Row],[Y-tunnus]],'2.6 Työpaikkaohjaajakysely'!A:I,COLUMN('2.6 Työpaikkaohjaajakysely'!H:H),FALSE),1),0)</f>
        <v>3843400.2</v>
      </c>
      <c r="Y48" s="10">
        <f>IFERROR(Ohj.lask.[[#This Row],[Painotetut pisteet 6]]/Ohj.lask.[[#Totals],[Painotetut pisteet 6]],0)</f>
        <v>1.1199801237661719E-2</v>
      </c>
      <c r="Z48" s="17">
        <f>ROUND(IFERROR('1.1 Jakotaulu'!M$20*Ohj.lask.[[#This Row],[%-osuus 6]],0),0)</f>
        <v>260030</v>
      </c>
      <c r="AA48" s="139">
        <f>IFERROR(ROUND(VLOOKUP(Ohj.lask.[[#This Row],[Y-tunnus]],'2.7 Työpaikkakysely'!A:G,COLUMN('2.7 Työpaikkakysely'!F:F),FALSE),1),0)</f>
        <v>2875411</v>
      </c>
      <c r="AB48" s="10">
        <f>IFERROR(Ohj.lask.[[#This Row],[Pisteet 7]]/Ohj.lask.[[#Totals],[Pisteet 7]],0)</f>
        <v>1.4050472340340297E-2</v>
      </c>
      <c r="AC48" s="17">
        <f>ROUND(IFERROR('1.1 Jakotaulu'!M$21*Ohj.lask.[[#This Row],[%-osuus 7]],0),0)</f>
        <v>108739</v>
      </c>
      <c r="AD48" s="13">
        <f>IFERROR(Ohj.lask.[[#This Row],[Jaettava € 8]]/Ohj.lask.[[#Totals],[Jaettava € 8]],"")</f>
        <v>1.3003791577338731E-2</v>
      </c>
      <c r="AE4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26538515</v>
      </c>
      <c r="AF48" s="103">
        <v>0</v>
      </c>
      <c r="AG48" s="103">
        <v>0</v>
      </c>
      <c r="AH48" s="107">
        <v>0</v>
      </c>
      <c r="AI48" s="33">
        <v>22000</v>
      </c>
      <c r="AJ48" s="107">
        <v>0</v>
      </c>
      <c r="AK4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22000</v>
      </c>
      <c r="AL48" s="11">
        <f>Ohj.lask.[[#This Row],[Jaettava € 1]]+Ohj.lask.[[#This Row],[Harkinnanvarainen korotus yhteensä, €]]</f>
        <v>18840710</v>
      </c>
      <c r="AM48" s="103">
        <f>Ohj.lask.[[#This Row],[Jaettava € 2]]</f>
        <v>4969564</v>
      </c>
      <c r="AN48" s="11">
        <f>Ohj.lask.[[#This Row],[Jaettava € 3]]+Ohj.lask.[[#This Row],[Jaettava € 4]]+Ohj.lask.[[#This Row],[Jaettava € 5]]+Ohj.lask.[[#This Row],[Jaettava € 6]]+Ohj.lask.[[#This Row],[Jaettava € 7]]</f>
        <v>2750241</v>
      </c>
      <c r="AO48" s="34">
        <f>Ohj.lask.[[#This Row],[Jaettava € 8]]+Ohj.lask.[[#This Row],[Harkinnanvarainen korotus yhteensä, €]]</f>
        <v>26560515</v>
      </c>
      <c r="AP48" s="12">
        <v>0</v>
      </c>
      <c r="AQ48" s="34">
        <f>Ohj.lask.[[#This Row],[Perus-, suoritus- ja vaikuttavuusrahoitus yhteensä, €]]+Ohj.lask.[[#This Row],[Alv-korvaus, €]]</f>
        <v>26560515</v>
      </c>
    </row>
    <row r="49" spans="1:43" ht="12.75" x14ac:dyDescent="0.2">
      <c r="A49" s="4" t="s">
        <v>268</v>
      </c>
      <c r="B49" s="8" t="s">
        <v>434</v>
      </c>
      <c r="C49" s="8" t="s">
        <v>266</v>
      </c>
      <c r="D49" s="8" t="s">
        <v>326</v>
      </c>
      <c r="E49" s="8" t="s">
        <v>375</v>
      </c>
      <c r="F49" s="106">
        <v>43</v>
      </c>
      <c r="G49" s="33">
        <v>48</v>
      </c>
      <c r="H49" s="9">
        <f>IFERROR(VLOOKUP(Ohj.lask.[[#This Row],[Y-tunnus]],'2.1 Toteut. op.vuodet'!$A:$T,COLUMN('2.1 Toteut. op.vuodet'!S:S),FALSE),0)</f>
        <v>1.5011975709360323</v>
      </c>
      <c r="I49" s="74">
        <f t="shared" si="1"/>
        <v>72.099999999999994</v>
      </c>
      <c r="J49" s="10">
        <f>IFERROR(Ohj.lask.[[#This Row],[Painotetut opiskelija-vuodet]]/Ohj.lask.[[#Totals],[Painotetut opiskelija-vuodet]],0)</f>
        <v>3.5012577333605271E-4</v>
      </c>
      <c r="K49" s="11">
        <f>ROUND(IFERROR('1.1 Jakotaulu'!L$12*Ohj.lask.[[#This Row],[%-osuus 1]],0),0)</f>
        <v>497773</v>
      </c>
      <c r="L49" s="139">
        <f>IFERROR(ROUND(VLOOKUP(Ohj.lask.[[#This Row],[Y-tunnus]],'2.2 Tutk. ja osien pain. pist.'!$A:$Q,COLUMN('2.2 Tutk. ja osien pain. pist.'!O:O),FALSE),1),0)</f>
        <v>5617.9</v>
      </c>
      <c r="M49" s="10">
        <f>IFERROR(Ohj.lask.[[#This Row],[Painotetut pisteet 2]]/Ohj.lask.[[#Totals],[Painotetut pisteet 2]],0)</f>
        <v>3.5669615360795805E-4</v>
      </c>
      <c r="N49" s="17">
        <f>ROUND(IFERROR('1.1 Jakotaulu'!K$13*Ohj.lask.[[#This Row],[%-osuus 2]],0),0)</f>
        <v>147228</v>
      </c>
      <c r="O49" s="140">
        <f>IFERROR(ROUND(VLOOKUP(Ohj.lask.[[#This Row],[Y-tunnus]],'2.3 Työll. ja jatko-opisk.'!$A:$Y,COLUMN('2.3 Työll. ja jatko-opisk.'!L:L),FALSE),1),0)</f>
        <v>95.5</v>
      </c>
      <c r="P49" s="10">
        <f>IFERROR(Ohj.lask.[[#This Row],[Painotetut pisteet 3]]/Ohj.lask.[[#Totals],[Painotetut pisteet 3]],0)</f>
        <v>2.8294158515430689E-4</v>
      </c>
      <c r="Q49" s="11">
        <f>ROUND(IFERROR('1.1 Jakotaulu'!L$15*Ohj.lask.[[#This Row],[%-osuus 3]],0),0)</f>
        <v>40875</v>
      </c>
      <c r="R49" s="139">
        <f>IFERROR(ROUND(VLOOKUP(Ohj.lask.[[#This Row],[Y-tunnus]],'2.4 Aloittaneet palaute'!$A:$I,COLUMN('2.4 Aloittaneet palaute'!H:H),FALSE),1),0)</f>
        <v>496</v>
      </c>
      <c r="S49" s="14">
        <f>IFERROR(Ohj.lask.[[#This Row],[Painotetut pisteet 4]]/Ohj.lask.[[#Totals],[Painotetut pisteet 4]],0)</f>
        <v>2.8527885749498596E-4</v>
      </c>
      <c r="T49" s="17">
        <f>ROUND(IFERROR('1.1 Jakotaulu'!M$17*Ohj.lask.[[#This Row],[%-osuus 4]],0),0)</f>
        <v>2208</v>
      </c>
      <c r="U49" s="139">
        <f>IFERROR(ROUND(VLOOKUP(Ohj.lask.[[#This Row],[Y-tunnus]],'2.5 Päättäneet palaute'!$A:$Y,COLUMN('2.5 Päättäneet palaute'!X:X),FALSE),1),0)</f>
        <v>2628.7</v>
      </c>
      <c r="V49" s="14">
        <f>IFERROR(Ohj.lask.[[#This Row],[Painotetut pisteet 5]]/Ohj.lask.[[#Totals],[Painotetut pisteet 5]],0)</f>
        <v>2.3689037473683593E-4</v>
      </c>
      <c r="W49" s="17">
        <f>ROUND(IFERROR('1.1 Jakotaulu'!M$18*Ohj.lask.[[#This Row],[%-osuus 5]],0),0)</f>
        <v>5500</v>
      </c>
      <c r="X49" s="139">
        <f>IFERROR(ROUND(VLOOKUP(Ohj.lask.[[#This Row],[Y-tunnus]],'2.6 Työpaikkaohjaajakysely'!A:I,COLUMN('2.6 Työpaikkaohjaajakysely'!H:H),FALSE),1),0)</f>
        <v>0</v>
      </c>
      <c r="Y49" s="10">
        <f>IFERROR(Ohj.lask.[[#This Row],[Painotetut pisteet 6]]/Ohj.lask.[[#Totals],[Painotetut pisteet 6]],0)</f>
        <v>0</v>
      </c>
      <c r="Z49" s="17">
        <f>ROUND(IFERROR('1.1 Jakotaulu'!M$20*Ohj.lask.[[#This Row],[%-osuus 6]],0),0)</f>
        <v>0</v>
      </c>
      <c r="AA49" s="139">
        <f>IFERROR(ROUND(VLOOKUP(Ohj.lask.[[#This Row],[Y-tunnus]],'2.7 Työpaikkakysely'!A:G,COLUMN('2.7 Työpaikkakysely'!F:F),FALSE),1),0)</f>
        <v>0</v>
      </c>
      <c r="AB49" s="10">
        <f>IFERROR(Ohj.lask.[[#This Row],[Pisteet 7]]/Ohj.lask.[[#Totals],[Pisteet 7]],0)</f>
        <v>0</v>
      </c>
      <c r="AC49" s="17">
        <f>ROUND(IFERROR('1.1 Jakotaulu'!M$21*Ohj.lask.[[#This Row],[%-osuus 7]],0),0)</f>
        <v>0</v>
      </c>
      <c r="AD49" s="13">
        <f>IFERROR(Ohj.lask.[[#This Row],[Jaettava € 8]]/Ohj.lask.[[#Totals],[Jaettava € 8]],"")</f>
        <v>3.3985404900677022E-4</v>
      </c>
      <c r="AE4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693584</v>
      </c>
      <c r="AF49" s="103">
        <v>0</v>
      </c>
      <c r="AG49" s="103">
        <v>0</v>
      </c>
      <c r="AH49" s="107">
        <v>0</v>
      </c>
      <c r="AI49" s="33">
        <v>0</v>
      </c>
      <c r="AJ49" s="107">
        <v>0</v>
      </c>
      <c r="AK4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49" s="11">
        <f>Ohj.lask.[[#This Row],[Jaettava € 1]]+Ohj.lask.[[#This Row],[Harkinnanvarainen korotus yhteensä, €]]</f>
        <v>497773</v>
      </c>
      <c r="AM49" s="103">
        <f>Ohj.lask.[[#This Row],[Jaettava € 2]]</f>
        <v>147228</v>
      </c>
      <c r="AN49" s="11">
        <f>Ohj.lask.[[#This Row],[Jaettava € 3]]+Ohj.lask.[[#This Row],[Jaettava € 4]]+Ohj.lask.[[#This Row],[Jaettava € 5]]+Ohj.lask.[[#This Row],[Jaettava € 6]]+Ohj.lask.[[#This Row],[Jaettava € 7]]</f>
        <v>48583</v>
      </c>
      <c r="AO49" s="34">
        <f>Ohj.lask.[[#This Row],[Jaettava € 8]]+Ohj.lask.[[#This Row],[Harkinnanvarainen korotus yhteensä, €]]</f>
        <v>693584</v>
      </c>
      <c r="AP49" s="12">
        <v>9604</v>
      </c>
      <c r="AQ49" s="34">
        <f>Ohj.lask.[[#This Row],[Perus-, suoritus- ja vaikuttavuusrahoitus yhteensä, €]]+Ohj.lask.[[#This Row],[Alv-korvaus, €]]</f>
        <v>703188</v>
      </c>
    </row>
    <row r="50" spans="1:43" ht="12.75" x14ac:dyDescent="0.2">
      <c r="A50" s="4" t="s">
        <v>267</v>
      </c>
      <c r="B50" s="8" t="s">
        <v>51</v>
      </c>
      <c r="C50" s="8" t="s">
        <v>266</v>
      </c>
      <c r="D50" s="8" t="s">
        <v>325</v>
      </c>
      <c r="E50" s="8" t="s">
        <v>375</v>
      </c>
      <c r="F50" s="106">
        <v>2572</v>
      </c>
      <c r="G50" s="33">
        <v>2490</v>
      </c>
      <c r="H50" s="9">
        <f>IFERROR(VLOOKUP(Ohj.lask.[[#This Row],[Y-tunnus]],'2.1 Toteut. op.vuodet'!$A:$T,COLUMN('2.1 Toteut. op.vuodet'!S:S),FALSE),0)</f>
        <v>1.2223285909766355</v>
      </c>
      <c r="I50" s="74">
        <f t="shared" si="1"/>
        <v>3043.6</v>
      </c>
      <c r="J50" s="10">
        <f>IFERROR(Ohj.lask.[[#This Row],[Painotetut opiskelija-vuodet]]/Ohj.lask.[[#Totals],[Painotetut opiskelija-vuodet]],0)</f>
        <v>1.4780066625875315E-2</v>
      </c>
      <c r="K50" s="11">
        <f>ROUND(IFERROR('1.1 Jakotaulu'!L$12*Ohj.lask.[[#This Row],[%-osuus 1]],0),0)</f>
        <v>21012776</v>
      </c>
      <c r="L50" s="139">
        <f>IFERROR(ROUND(VLOOKUP(Ohj.lask.[[#This Row],[Y-tunnus]],'2.2 Tutk. ja osien pain. pist.'!$A:$Q,COLUMN('2.2 Tutk. ja osien pain. pist.'!O:O),FALSE),1),0)</f>
        <v>271482.5</v>
      </c>
      <c r="M50" s="10">
        <f>IFERROR(Ohj.lask.[[#This Row],[Painotetut pisteet 2]]/Ohj.lask.[[#Totals],[Painotetut pisteet 2]],0)</f>
        <v>1.7237181780001866E-2</v>
      </c>
      <c r="N50" s="17">
        <f>ROUND(IFERROR('1.1 Jakotaulu'!K$13*Ohj.lask.[[#This Row],[%-osuus 2]],0),0)</f>
        <v>7114733</v>
      </c>
      <c r="O50" s="140">
        <f>IFERROR(ROUND(VLOOKUP(Ohj.lask.[[#This Row],[Y-tunnus]],'2.3 Työll. ja jatko-opisk.'!$A:$Y,COLUMN('2.3 Työll. ja jatko-opisk.'!L:L),FALSE),1),0)</f>
        <v>5564.7</v>
      </c>
      <c r="P50" s="10">
        <f>IFERROR(Ohj.lask.[[#This Row],[Painotetut pisteet 3]]/Ohj.lask.[[#Totals],[Painotetut pisteet 3]],0)</f>
        <v>1.6486754334116976E-2</v>
      </c>
      <c r="Q50" s="11">
        <f>ROUND(IFERROR('1.1 Jakotaulu'!L$15*Ohj.lask.[[#This Row],[%-osuus 3]],0),0)</f>
        <v>2381741</v>
      </c>
      <c r="R50" s="139">
        <f>IFERROR(ROUND(VLOOKUP(Ohj.lask.[[#This Row],[Y-tunnus]],'2.4 Aloittaneet palaute'!$A:$I,COLUMN('2.4 Aloittaneet palaute'!H:H),FALSE),1),0)</f>
        <v>27816.2</v>
      </c>
      <c r="S50" s="14">
        <f>IFERROR(Ohj.lask.[[#This Row],[Painotetut pisteet 4]]/Ohj.lask.[[#Totals],[Painotetut pisteet 4]],0)</f>
        <v>1.5998737410991993E-2</v>
      </c>
      <c r="T50" s="17">
        <f>ROUND(IFERROR('1.1 Jakotaulu'!M$17*Ohj.lask.[[#This Row],[%-osuus 4]],0),0)</f>
        <v>123816</v>
      </c>
      <c r="U50" s="139">
        <f>IFERROR(ROUND(VLOOKUP(Ohj.lask.[[#This Row],[Y-tunnus]],'2.5 Päättäneet palaute'!$A:$Y,COLUMN('2.5 Päättäneet palaute'!X:X),FALSE),1),0)</f>
        <v>164876.79999999999</v>
      </c>
      <c r="V50" s="14">
        <f>IFERROR(Ohj.lask.[[#This Row],[Painotetut pisteet 5]]/Ohj.lask.[[#Totals],[Painotetut pisteet 5]],0)</f>
        <v>1.4858191097276353E-2</v>
      </c>
      <c r="W50" s="17">
        <f>ROUND(IFERROR('1.1 Jakotaulu'!M$18*Ohj.lask.[[#This Row],[%-osuus 5]],0),0)</f>
        <v>344969</v>
      </c>
      <c r="X50" s="139">
        <f>IFERROR(ROUND(VLOOKUP(Ohj.lask.[[#This Row],[Y-tunnus]],'2.6 Työpaikkaohjaajakysely'!A:I,COLUMN('2.6 Työpaikkaohjaajakysely'!H:H),FALSE),1),0)</f>
        <v>5728880.7000000002</v>
      </c>
      <c r="Y50" s="10">
        <f>IFERROR(Ohj.lask.[[#This Row],[Painotetut pisteet 6]]/Ohj.lask.[[#Totals],[Painotetut pisteet 6]],0)</f>
        <v>1.6694156688204453E-2</v>
      </c>
      <c r="Z50" s="17">
        <f>ROUND(IFERROR('1.1 Jakotaulu'!M$20*Ohj.lask.[[#This Row],[%-osuus 6]],0),0)</f>
        <v>387595</v>
      </c>
      <c r="AA50" s="139">
        <f>IFERROR(ROUND(VLOOKUP(Ohj.lask.[[#This Row],[Y-tunnus]],'2.7 Työpaikkakysely'!A:G,COLUMN('2.7 Työpaikkakysely'!F:F),FALSE),1),0)</f>
        <v>6205486.5</v>
      </c>
      <c r="AB50" s="10">
        <f>IFERROR(Ohj.lask.[[#This Row],[Pisteet 7]]/Ohj.lask.[[#Totals],[Pisteet 7]],0)</f>
        <v>3.0322627417995244E-2</v>
      </c>
      <c r="AC50" s="17">
        <f>ROUND(IFERROR('1.1 Jakotaulu'!M$21*Ohj.lask.[[#This Row],[%-osuus 7]],0),0)</f>
        <v>234671</v>
      </c>
      <c r="AD50" s="13">
        <f>IFERROR(Ohj.lask.[[#This Row],[Jaettava € 8]]/Ohj.lask.[[#Totals],[Jaettava € 8]],"")</f>
        <v>1.5484051311279801E-2</v>
      </c>
      <c r="AE5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31600301</v>
      </c>
      <c r="AF50" s="103">
        <v>0</v>
      </c>
      <c r="AG50" s="103">
        <v>0</v>
      </c>
      <c r="AH50" s="107">
        <v>0</v>
      </c>
      <c r="AI50" s="33">
        <v>36000</v>
      </c>
      <c r="AJ50" s="107">
        <v>2000</v>
      </c>
      <c r="AK5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38000</v>
      </c>
      <c r="AL50" s="11">
        <f>Ohj.lask.[[#This Row],[Jaettava € 1]]+Ohj.lask.[[#This Row],[Harkinnanvarainen korotus yhteensä, €]]</f>
        <v>21050776</v>
      </c>
      <c r="AM50" s="103">
        <f>Ohj.lask.[[#This Row],[Jaettava € 2]]</f>
        <v>7114733</v>
      </c>
      <c r="AN50" s="11">
        <f>Ohj.lask.[[#This Row],[Jaettava € 3]]+Ohj.lask.[[#This Row],[Jaettava € 4]]+Ohj.lask.[[#This Row],[Jaettava € 5]]+Ohj.lask.[[#This Row],[Jaettava € 6]]+Ohj.lask.[[#This Row],[Jaettava € 7]]</f>
        <v>3472792</v>
      </c>
      <c r="AO50" s="34">
        <f>Ohj.lask.[[#This Row],[Jaettava € 8]]+Ohj.lask.[[#This Row],[Harkinnanvarainen korotus yhteensä, €]]</f>
        <v>31638301</v>
      </c>
      <c r="AP50" s="12">
        <v>0</v>
      </c>
      <c r="AQ50" s="34">
        <f>Ohj.lask.[[#This Row],[Perus-, suoritus- ja vaikuttavuusrahoitus yhteensä, €]]+Ohj.lask.[[#This Row],[Alv-korvaus, €]]</f>
        <v>31638301</v>
      </c>
    </row>
    <row r="51" spans="1:43" ht="12.75" x14ac:dyDescent="0.2">
      <c r="A51" s="4" t="s">
        <v>261</v>
      </c>
      <c r="B51" s="8" t="s">
        <v>52</v>
      </c>
      <c r="C51" s="8" t="s">
        <v>174</v>
      </c>
      <c r="D51" s="8" t="s">
        <v>325</v>
      </c>
      <c r="E51" s="8" t="s">
        <v>375</v>
      </c>
      <c r="F51" s="106">
        <v>5059</v>
      </c>
      <c r="G51" s="33">
        <v>6148</v>
      </c>
      <c r="H51" s="9">
        <f>IFERROR(VLOOKUP(Ohj.lask.[[#This Row],[Y-tunnus]],'2.1 Toteut. op.vuodet'!$A:$T,COLUMN('2.1 Toteut. op.vuodet'!S:S),FALSE),0)</f>
        <v>1.114073470435186</v>
      </c>
      <c r="I51" s="74">
        <f t="shared" si="1"/>
        <v>6849.3</v>
      </c>
      <c r="J51" s="10">
        <f>IFERROR(Ohj.lask.[[#This Row],[Painotetut opiskelija-vuodet]]/Ohj.lask.[[#Totals],[Painotetut opiskelija-vuodet]],0)</f>
        <v>3.3260977244252789E-2</v>
      </c>
      <c r="K51" s="11">
        <f>ROUND(IFERROR('1.1 Jakotaulu'!L$12*Ohj.lask.[[#This Row],[%-osuus 1]],0),0)</f>
        <v>47287032</v>
      </c>
      <c r="L51" s="139">
        <f>IFERROR(ROUND(VLOOKUP(Ohj.lask.[[#This Row],[Y-tunnus]],'2.2 Tutk. ja osien pain. pist.'!$A:$Q,COLUMN('2.2 Tutk. ja osien pain. pist.'!O:O),FALSE),1),0)</f>
        <v>589502.4</v>
      </c>
      <c r="M51" s="10">
        <f>IFERROR(Ohj.lask.[[#This Row],[Painotetut pisteet 2]]/Ohj.lask.[[#Totals],[Painotetut pisteet 2]],0)</f>
        <v>3.7429152997144832E-2</v>
      </c>
      <c r="N51" s="17">
        <f>ROUND(IFERROR('1.1 Jakotaulu'!K$13*Ohj.lask.[[#This Row],[%-osuus 2]],0),0)</f>
        <v>15449070</v>
      </c>
      <c r="O51" s="140">
        <f>IFERROR(ROUND(VLOOKUP(Ohj.lask.[[#This Row],[Y-tunnus]],'2.3 Työll. ja jatko-opisk.'!$A:$Y,COLUMN('2.3 Työll. ja jatko-opisk.'!L:L),FALSE),1),0)</f>
        <v>11568.6</v>
      </c>
      <c r="P51" s="10">
        <f>IFERROR(Ohj.lask.[[#This Row],[Painotetut pisteet 3]]/Ohj.lask.[[#Totals],[Painotetut pisteet 3]],0)</f>
        <v>3.4274743686032609E-2</v>
      </c>
      <c r="Q51" s="11">
        <f>ROUND(IFERROR('1.1 Jakotaulu'!L$15*Ohj.lask.[[#This Row],[%-osuus 3]],0),0)</f>
        <v>4951463</v>
      </c>
      <c r="R51" s="139">
        <f>IFERROR(ROUND(VLOOKUP(Ohj.lask.[[#This Row],[Y-tunnus]],'2.4 Aloittaneet palaute'!$A:$I,COLUMN('2.4 Aloittaneet palaute'!H:H),FALSE),1),0)</f>
        <v>78359.7</v>
      </c>
      <c r="S51" s="14">
        <f>IFERROR(Ohj.lask.[[#This Row],[Painotetut pisteet 4]]/Ohj.lask.[[#Totals],[Painotetut pisteet 4]],0)</f>
        <v>4.5069285664616633E-2</v>
      </c>
      <c r="T51" s="17">
        <f>ROUND(IFERROR('1.1 Jakotaulu'!M$17*Ohj.lask.[[#This Row],[%-osuus 4]],0),0)</f>
        <v>348797</v>
      </c>
      <c r="U51" s="139">
        <f>IFERROR(ROUND(VLOOKUP(Ohj.lask.[[#This Row],[Y-tunnus]],'2.5 Päättäneet palaute'!$A:$Y,COLUMN('2.5 Päättäneet palaute'!X:X),FALSE),1),0)</f>
        <v>413598.5</v>
      </c>
      <c r="V51" s="14">
        <f>IFERROR(Ohj.lask.[[#This Row],[Painotetut pisteet 5]]/Ohj.lask.[[#Totals],[Painotetut pisteet 5]],0)</f>
        <v>3.7272227205688457E-2</v>
      </c>
      <c r="W51" s="17">
        <f>ROUND(IFERROR('1.1 Jakotaulu'!M$18*Ohj.lask.[[#This Row],[%-osuus 5]],0),0)</f>
        <v>865365</v>
      </c>
      <c r="X51" s="139">
        <f>IFERROR(ROUND(VLOOKUP(Ohj.lask.[[#This Row],[Y-tunnus]],'2.6 Työpaikkaohjaajakysely'!A:I,COLUMN('2.6 Työpaikkaohjaajakysely'!H:H),FALSE),1),0)</f>
        <v>11263481.199999999</v>
      </c>
      <c r="Y51" s="10">
        <f>IFERROR(Ohj.lask.[[#This Row],[Painotetut pisteet 6]]/Ohj.lask.[[#Totals],[Painotetut pisteet 6]],0)</f>
        <v>3.2822174147813042E-2</v>
      </c>
      <c r="Z51" s="17">
        <f>ROUND(IFERROR('1.1 Jakotaulu'!M$20*Ohj.lask.[[#This Row],[%-osuus 6]],0),0)</f>
        <v>762046</v>
      </c>
      <c r="AA51" s="139">
        <f>IFERROR(ROUND(VLOOKUP(Ohj.lask.[[#This Row],[Y-tunnus]],'2.7 Työpaikkakysely'!A:G,COLUMN('2.7 Työpaikkakysely'!F:F),FALSE),1),0)</f>
        <v>5074887.4000000004</v>
      </c>
      <c r="AB51" s="10">
        <f>IFERROR(Ohj.lask.[[#This Row],[Pisteet 7]]/Ohj.lask.[[#Totals],[Pisteet 7]],0)</f>
        <v>2.4798042799461188E-2</v>
      </c>
      <c r="AC51" s="17">
        <f>ROUND(IFERROR('1.1 Jakotaulu'!M$21*Ohj.lask.[[#This Row],[%-osuus 7]],0),0)</f>
        <v>191915</v>
      </c>
      <c r="AD51" s="13">
        <f>IFERROR(Ohj.lask.[[#This Row],[Jaettava € 8]]/Ohj.lask.[[#Totals],[Jaettava € 8]],"")</f>
        <v>3.4229074507130572E-2</v>
      </c>
      <c r="AE5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69855688</v>
      </c>
      <c r="AF51" s="103">
        <v>0</v>
      </c>
      <c r="AG51" s="103">
        <v>0</v>
      </c>
      <c r="AH51" s="107">
        <v>0</v>
      </c>
      <c r="AI51" s="33">
        <v>84000</v>
      </c>
      <c r="AJ51" s="107">
        <v>0</v>
      </c>
      <c r="AK5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84000</v>
      </c>
      <c r="AL51" s="11">
        <f>Ohj.lask.[[#This Row],[Jaettava € 1]]+Ohj.lask.[[#This Row],[Harkinnanvarainen korotus yhteensä, €]]</f>
        <v>47371032</v>
      </c>
      <c r="AM51" s="103">
        <f>Ohj.lask.[[#This Row],[Jaettava € 2]]</f>
        <v>15449070</v>
      </c>
      <c r="AN51" s="11">
        <f>Ohj.lask.[[#This Row],[Jaettava € 3]]+Ohj.lask.[[#This Row],[Jaettava € 4]]+Ohj.lask.[[#This Row],[Jaettava € 5]]+Ohj.lask.[[#This Row],[Jaettava € 6]]+Ohj.lask.[[#This Row],[Jaettava € 7]]</f>
        <v>7119586</v>
      </c>
      <c r="AO51" s="34">
        <f>Ohj.lask.[[#This Row],[Jaettava € 8]]+Ohj.lask.[[#This Row],[Harkinnanvarainen korotus yhteensä, €]]</f>
        <v>69939688</v>
      </c>
      <c r="AP51" s="12">
        <v>0</v>
      </c>
      <c r="AQ51" s="34">
        <f>Ohj.lask.[[#This Row],[Perus-, suoritus- ja vaikuttavuusrahoitus yhteensä, €]]+Ohj.lask.[[#This Row],[Alv-korvaus, €]]</f>
        <v>69939688</v>
      </c>
    </row>
    <row r="52" spans="1:43" ht="12.75" x14ac:dyDescent="0.2">
      <c r="A52" s="4" t="s">
        <v>277</v>
      </c>
      <c r="B52" s="8" t="s">
        <v>53</v>
      </c>
      <c r="C52" s="8" t="s">
        <v>174</v>
      </c>
      <c r="D52" s="8" t="s">
        <v>326</v>
      </c>
      <c r="E52" s="8" t="s">
        <v>375</v>
      </c>
      <c r="F52" s="106">
        <v>330</v>
      </c>
      <c r="G52" s="33">
        <v>278</v>
      </c>
      <c r="H52" s="9">
        <f>IFERROR(VLOOKUP(Ohj.lask.[[#This Row],[Y-tunnus]],'2.1 Toteut. op.vuodet'!$A:$T,COLUMN('2.1 Toteut. op.vuodet'!S:S),FALSE),0)</f>
        <v>0.85423227594219175</v>
      </c>
      <c r="I52" s="74">
        <f t="shared" si="1"/>
        <v>237.5</v>
      </c>
      <c r="J52" s="10">
        <f>IFERROR(Ohj.lask.[[#This Row],[Painotetut opiskelija-vuodet]]/Ohj.lask.[[#Totals],[Painotetut opiskelija-vuodet]],0)</f>
        <v>1.1533269232636967E-3</v>
      </c>
      <c r="K52" s="11">
        <f>ROUND(IFERROR('1.1 Jakotaulu'!L$12*Ohj.lask.[[#This Row],[%-osuus 1]],0),0)</f>
        <v>1639681</v>
      </c>
      <c r="L52" s="139">
        <f>IFERROR(ROUND(VLOOKUP(Ohj.lask.[[#This Row],[Y-tunnus]],'2.2 Tutk. ja osien pain. pist.'!$A:$Q,COLUMN('2.2 Tutk. ja osien pain. pist.'!O:O),FALSE),1),0)</f>
        <v>16721.900000000001</v>
      </c>
      <c r="M52" s="10">
        <f>IFERROR(Ohj.lask.[[#This Row],[Painotetut pisteet 2]]/Ohj.lask.[[#Totals],[Painotetut pisteet 2]],0)</f>
        <v>1.0617201108985412E-3</v>
      </c>
      <c r="N52" s="17">
        <f>ROUND(IFERROR('1.1 Jakotaulu'!K$13*Ohj.lask.[[#This Row],[%-osuus 2]],0),0)</f>
        <v>438230</v>
      </c>
      <c r="O52" s="140">
        <f>IFERROR(ROUND(VLOOKUP(Ohj.lask.[[#This Row],[Y-tunnus]],'2.3 Työll. ja jatko-opisk.'!$A:$Y,COLUMN('2.3 Työll. ja jatko-opisk.'!L:L),FALSE),1),0)</f>
        <v>380.9</v>
      </c>
      <c r="P52" s="10">
        <f>IFERROR(Ohj.lask.[[#This Row],[Painotetut pisteet 3]]/Ohj.lask.[[#Totals],[Painotetut pisteet 3]],0)</f>
        <v>1.1285073275945077E-3</v>
      </c>
      <c r="Q52" s="11">
        <f>ROUND(IFERROR('1.1 Jakotaulu'!L$15*Ohj.lask.[[#This Row],[%-osuus 3]],0),0)</f>
        <v>163029</v>
      </c>
      <c r="R52" s="139">
        <f>IFERROR(ROUND(VLOOKUP(Ohj.lask.[[#This Row],[Y-tunnus]],'2.4 Aloittaneet palaute'!$A:$I,COLUMN('2.4 Aloittaneet palaute'!H:H),FALSE),1),0)</f>
        <v>2375.6999999999998</v>
      </c>
      <c r="S52" s="14">
        <f>IFERROR(Ohj.lask.[[#This Row],[Painotetut pisteet 4]]/Ohj.lask.[[#Totals],[Painotetut pisteet 4]],0)</f>
        <v>1.3664052051428188E-3</v>
      </c>
      <c r="T52" s="17">
        <f>ROUND(IFERROR('1.1 Jakotaulu'!M$17*Ohj.lask.[[#This Row],[%-osuus 4]],0),0)</f>
        <v>10575</v>
      </c>
      <c r="U52" s="139">
        <f>IFERROR(ROUND(VLOOKUP(Ohj.lask.[[#This Row],[Y-tunnus]],'2.5 Päättäneet palaute'!$A:$Y,COLUMN('2.5 Päättäneet palaute'!X:X),FALSE),1),0)</f>
        <v>30852.9</v>
      </c>
      <c r="V52" s="14">
        <f>IFERROR(Ohj.lask.[[#This Row],[Painotetut pisteet 5]]/Ohj.lask.[[#Totals],[Painotetut pisteet 5]],0)</f>
        <v>2.780368639524528E-3</v>
      </c>
      <c r="W52" s="17">
        <f>ROUND(IFERROR('1.1 Jakotaulu'!M$18*Ohj.lask.[[#This Row],[%-osuus 5]],0),0)</f>
        <v>64553</v>
      </c>
      <c r="X52" s="139">
        <f>IFERROR(ROUND(VLOOKUP(Ohj.lask.[[#This Row],[Y-tunnus]],'2.6 Työpaikkaohjaajakysely'!A:I,COLUMN('2.6 Työpaikkaohjaajakysely'!H:H),FALSE),1),0)</f>
        <v>107013.2</v>
      </c>
      <c r="Y52" s="10">
        <f>IFERROR(Ohj.lask.[[#This Row],[Painotetut pisteet 6]]/Ohj.lask.[[#Totals],[Painotetut pisteet 6]],0)</f>
        <v>3.1184016949526642E-4</v>
      </c>
      <c r="Z52" s="17">
        <f>ROUND(IFERROR('1.1 Jakotaulu'!M$20*Ohj.lask.[[#This Row],[%-osuus 6]],0),0)</f>
        <v>7240</v>
      </c>
      <c r="AA52" s="139">
        <f>IFERROR(ROUND(VLOOKUP(Ohj.lask.[[#This Row],[Y-tunnus]],'2.7 Työpaikkakysely'!A:G,COLUMN('2.7 Työpaikkakysely'!F:F),FALSE),1),0)</f>
        <v>48496</v>
      </c>
      <c r="AB52" s="10">
        <f>IFERROR(Ohj.lask.[[#This Row],[Pisteet 7]]/Ohj.lask.[[#Totals],[Pisteet 7]],0)</f>
        <v>2.3697193431378784E-4</v>
      </c>
      <c r="AC52" s="17">
        <f>ROUND(IFERROR('1.1 Jakotaulu'!M$21*Ohj.lask.[[#This Row],[%-osuus 7]],0),0)</f>
        <v>1834</v>
      </c>
      <c r="AD52" s="13">
        <f>IFERROR(Ohj.lask.[[#This Row],[Jaettava € 8]]/Ohj.lask.[[#Totals],[Jaettava € 8]],"")</f>
        <v>1.1393125031945658E-3</v>
      </c>
      <c r="AE5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2325142</v>
      </c>
      <c r="AF52" s="103">
        <v>0</v>
      </c>
      <c r="AG52" s="103">
        <v>0</v>
      </c>
      <c r="AH52" s="107">
        <v>0</v>
      </c>
      <c r="AI52" s="33">
        <v>2000</v>
      </c>
      <c r="AJ52" s="107">
        <v>0</v>
      </c>
      <c r="AK5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52" s="11">
        <f>Ohj.lask.[[#This Row],[Jaettava € 1]]+Ohj.lask.[[#This Row],[Harkinnanvarainen korotus yhteensä, €]]</f>
        <v>1641681</v>
      </c>
      <c r="AM52" s="103">
        <f>Ohj.lask.[[#This Row],[Jaettava € 2]]</f>
        <v>438230</v>
      </c>
      <c r="AN52" s="11">
        <f>Ohj.lask.[[#This Row],[Jaettava € 3]]+Ohj.lask.[[#This Row],[Jaettava € 4]]+Ohj.lask.[[#This Row],[Jaettava € 5]]+Ohj.lask.[[#This Row],[Jaettava € 6]]+Ohj.lask.[[#This Row],[Jaettava € 7]]</f>
        <v>247231</v>
      </c>
      <c r="AO52" s="34">
        <f>Ohj.lask.[[#This Row],[Jaettava € 8]]+Ohj.lask.[[#This Row],[Harkinnanvarainen korotus yhteensä, €]]</f>
        <v>2327142</v>
      </c>
      <c r="AP52" s="12">
        <v>469345</v>
      </c>
      <c r="AQ52" s="34">
        <f>Ohj.lask.[[#This Row],[Perus-, suoritus- ja vaikuttavuusrahoitus yhteensä, €]]+Ohj.lask.[[#This Row],[Alv-korvaus, €]]</f>
        <v>2796487</v>
      </c>
    </row>
    <row r="53" spans="1:43" ht="12.75" x14ac:dyDescent="0.2">
      <c r="A53" s="4" t="s">
        <v>276</v>
      </c>
      <c r="B53" s="8" t="s">
        <v>54</v>
      </c>
      <c r="C53" s="8" t="s">
        <v>256</v>
      </c>
      <c r="D53" s="8" t="s">
        <v>326</v>
      </c>
      <c r="E53" s="8" t="s">
        <v>375</v>
      </c>
      <c r="F53" s="106">
        <v>582</v>
      </c>
      <c r="G53" s="33">
        <v>724</v>
      </c>
      <c r="H53" s="9">
        <f>IFERROR(VLOOKUP(Ohj.lask.[[#This Row],[Y-tunnus]],'2.1 Toteut. op.vuodet'!$A:$T,COLUMN('2.1 Toteut. op.vuodet'!S:S),FALSE),0)</f>
        <v>5.7611032508097244</v>
      </c>
      <c r="I53" s="74">
        <f t="shared" si="1"/>
        <v>4171</v>
      </c>
      <c r="J53" s="10">
        <f>IFERROR(Ohj.lask.[[#This Row],[Painotetut opiskelija-vuodet]]/Ohj.lask.[[#Totals],[Painotetut opiskelija-vuodet]],0)</f>
        <v>2.0254848829191069E-2</v>
      </c>
      <c r="K53" s="11">
        <f>ROUND(IFERROR('1.1 Jakotaulu'!L$12*Ohj.lask.[[#This Row],[%-osuus 1]],0),0)</f>
        <v>28796258</v>
      </c>
      <c r="L53" s="139">
        <f>IFERROR(ROUND(VLOOKUP(Ohj.lask.[[#This Row],[Y-tunnus]],'2.2 Tutk. ja osien pain. pist.'!$A:$Q,COLUMN('2.2 Tutk. ja osien pain. pist.'!O:O),FALSE),1),0)</f>
        <v>170197.8</v>
      </c>
      <c r="M53" s="10">
        <f>IFERROR(Ohj.lask.[[#This Row],[Painotetut pisteet 2]]/Ohj.lask.[[#Totals],[Painotetut pisteet 2]],0)</f>
        <v>1.0806333436432924E-2</v>
      </c>
      <c r="N53" s="17">
        <f>ROUND(IFERROR('1.1 Jakotaulu'!K$13*Ohj.lask.[[#This Row],[%-osuus 2]],0),0)</f>
        <v>4460368</v>
      </c>
      <c r="O53" s="140">
        <f>IFERROR(ROUND(VLOOKUP(Ohj.lask.[[#This Row],[Y-tunnus]],'2.3 Työll. ja jatko-opisk.'!$A:$Y,COLUMN('2.3 Työll. ja jatko-opisk.'!L:L),FALSE),1),0)</f>
        <v>819.5</v>
      </c>
      <c r="P53" s="10">
        <f>IFERROR(Ohj.lask.[[#This Row],[Painotetut pisteet 3]]/Ohj.lask.[[#Totals],[Painotetut pisteet 3]],0)</f>
        <v>2.4279647019262249E-3</v>
      </c>
      <c r="Q53" s="11">
        <f>ROUND(IFERROR('1.1 Jakotaulu'!L$15*Ohj.lask.[[#This Row],[%-osuus 3]],0),0)</f>
        <v>350753</v>
      </c>
      <c r="R53" s="139">
        <f>IFERROR(ROUND(VLOOKUP(Ohj.lask.[[#This Row],[Y-tunnus]],'2.4 Aloittaneet palaute'!$A:$I,COLUMN('2.4 Aloittaneet palaute'!H:H),FALSE),1),0)</f>
        <v>4260.8</v>
      </c>
      <c r="S53" s="14">
        <f>IFERROR(Ohj.lask.[[#This Row],[Painotetut pisteet 4]]/Ohj.lask.[[#Totals],[Painotetut pisteet 4]],0)</f>
        <v>2.4506374113198309E-3</v>
      </c>
      <c r="T53" s="17">
        <f>ROUND(IFERROR('1.1 Jakotaulu'!M$17*Ohj.lask.[[#This Row],[%-osuus 4]],0),0)</f>
        <v>18966</v>
      </c>
      <c r="U53" s="139">
        <f>IFERROR(ROUND(VLOOKUP(Ohj.lask.[[#This Row],[Y-tunnus]],'2.5 Päättäneet palaute'!$A:$Y,COLUMN('2.5 Päättäneet palaute'!X:X),FALSE),1),0)</f>
        <v>23241</v>
      </c>
      <c r="V53" s="14">
        <f>IFERROR(Ohj.lask.[[#This Row],[Painotetut pisteet 5]]/Ohj.lask.[[#Totals],[Painotetut pisteet 5]],0)</f>
        <v>2.0944075776082489E-3</v>
      </c>
      <c r="W53" s="17">
        <f>ROUND(IFERROR('1.1 Jakotaulu'!M$18*Ohj.lask.[[#This Row],[%-osuus 5]],0),0)</f>
        <v>48627</v>
      </c>
      <c r="X53" s="139">
        <f>IFERROR(ROUND(VLOOKUP(Ohj.lask.[[#This Row],[Y-tunnus]],'2.6 Työpaikkaohjaajakysely'!A:I,COLUMN('2.6 Työpaikkaohjaajakysely'!H:H),FALSE),1),0)</f>
        <v>1062674.2</v>
      </c>
      <c r="Y53" s="10">
        <f>IFERROR(Ohj.lask.[[#This Row],[Painotetut pisteet 6]]/Ohj.lask.[[#Totals],[Painotetut pisteet 6]],0)</f>
        <v>3.096669407570717E-3</v>
      </c>
      <c r="Z53" s="17">
        <f>ROUND(IFERROR('1.1 Jakotaulu'!M$20*Ohj.lask.[[#This Row],[%-osuus 6]],0),0)</f>
        <v>71897</v>
      </c>
      <c r="AA53" s="139">
        <f>IFERROR(ROUND(VLOOKUP(Ohj.lask.[[#This Row],[Y-tunnus]],'2.7 Työpaikkakysely'!A:G,COLUMN('2.7 Työpaikkakysely'!F:F),FALSE),1),0)</f>
        <v>395491</v>
      </c>
      <c r="AB53" s="10">
        <f>IFERROR(Ohj.lask.[[#This Row],[Pisteet 7]]/Ohj.lask.[[#Totals],[Pisteet 7]],0)</f>
        <v>1.9325360292332208E-3</v>
      </c>
      <c r="AC53" s="17">
        <f>ROUND(IFERROR('1.1 Jakotaulu'!M$21*Ohj.lask.[[#This Row],[%-osuus 7]],0),0)</f>
        <v>14956</v>
      </c>
      <c r="AD53" s="13">
        <f>IFERROR(Ohj.lask.[[#This Row],[Jaettava € 8]]/Ohj.lask.[[#Totals],[Jaettava € 8]],"")</f>
        <v>1.654319149246234E-2</v>
      </c>
      <c r="AE5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33761825</v>
      </c>
      <c r="AF53" s="103">
        <v>0</v>
      </c>
      <c r="AG53" s="103">
        <v>0</v>
      </c>
      <c r="AH53" s="107">
        <v>0</v>
      </c>
      <c r="AI53" s="33">
        <v>9000</v>
      </c>
      <c r="AJ53" s="107">
        <v>0</v>
      </c>
      <c r="AK5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9000</v>
      </c>
      <c r="AL53" s="11">
        <f>Ohj.lask.[[#This Row],[Jaettava € 1]]+Ohj.lask.[[#This Row],[Harkinnanvarainen korotus yhteensä, €]]</f>
        <v>28805258</v>
      </c>
      <c r="AM53" s="103">
        <f>Ohj.lask.[[#This Row],[Jaettava € 2]]</f>
        <v>4460368</v>
      </c>
      <c r="AN53" s="11">
        <f>Ohj.lask.[[#This Row],[Jaettava € 3]]+Ohj.lask.[[#This Row],[Jaettava € 4]]+Ohj.lask.[[#This Row],[Jaettava € 5]]+Ohj.lask.[[#This Row],[Jaettava € 6]]+Ohj.lask.[[#This Row],[Jaettava € 7]]</f>
        <v>505199</v>
      </c>
      <c r="AO53" s="34">
        <f>Ohj.lask.[[#This Row],[Jaettava € 8]]+Ohj.lask.[[#This Row],[Harkinnanvarainen korotus yhteensä, €]]</f>
        <v>33770825</v>
      </c>
      <c r="AP53" s="12">
        <v>2047927</v>
      </c>
      <c r="AQ53" s="34">
        <f>Ohj.lask.[[#This Row],[Perus-, suoritus- ja vaikuttavuusrahoitus yhteensä, €]]+Ohj.lask.[[#This Row],[Alv-korvaus, €]]</f>
        <v>35818752</v>
      </c>
    </row>
    <row r="54" spans="1:43" ht="12.75" x14ac:dyDescent="0.2">
      <c r="A54" s="4" t="s">
        <v>275</v>
      </c>
      <c r="B54" s="8" t="s">
        <v>55</v>
      </c>
      <c r="C54" s="97" t="s">
        <v>174</v>
      </c>
      <c r="D54" s="97" t="s">
        <v>326</v>
      </c>
      <c r="E54" s="97" t="s">
        <v>375</v>
      </c>
      <c r="F54" s="105">
        <v>1459</v>
      </c>
      <c r="G54" s="33">
        <v>1613</v>
      </c>
      <c r="H54" s="9">
        <f>IFERROR(VLOOKUP(Ohj.lask.[[#This Row],[Y-tunnus]],'2.1 Toteut. op.vuodet'!$A:$T,COLUMN('2.1 Toteut. op.vuodet'!S:S),FALSE),0)</f>
        <v>1.0865899009925786</v>
      </c>
      <c r="I54" s="74">
        <f t="shared" si="1"/>
        <v>1752.7</v>
      </c>
      <c r="J54" s="10">
        <f>IFERROR(Ohj.lask.[[#This Row],[Painotetut opiskelija-vuodet]]/Ohj.lask.[[#Totals],[Painotetut opiskelija-vuodet]],0)</f>
        <v>8.5113098880180253E-3</v>
      </c>
      <c r="K54" s="11">
        <f>ROUND(IFERROR('1.1 Jakotaulu'!L$12*Ohj.lask.[[#This Row],[%-osuus 1]],0),0)</f>
        <v>12100504</v>
      </c>
      <c r="L54" s="139">
        <f>IFERROR(ROUND(VLOOKUP(Ohj.lask.[[#This Row],[Y-tunnus]],'2.2 Tutk. ja osien pain. pist.'!$A:$Q,COLUMN('2.2 Tutk. ja osien pain. pist.'!O:O),FALSE),1),0)</f>
        <v>154212.1</v>
      </c>
      <c r="M54" s="10">
        <f>IFERROR(Ohj.lask.[[#This Row],[Painotetut pisteet 2]]/Ohj.lask.[[#Totals],[Painotetut pisteet 2]],0)</f>
        <v>9.7913567186681486E-3</v>
      </c>
      <c r="N54" s="17">
        <f>ROUND(IFERROR('1.1 Jakotaulu'!K$13*Ohj.lask.[[#This Row],[%-osuus 2]],0),0)</f>
        <v>4041431</v>
      </c>
      <c r="O54" s="140">
        <f>IFERROR(ROUND(VLOOKUP(Ohj.lask.[[#This Row],[Y-tunnus]],'2.3 Työll. ja jatko-opisk.'!$A:$Y,COLUMN('2.3 Työll. ja jatko-opisk.'!L:L),FALSE),1),0)</f>
        <v>3157.6</v>
      </c>
      <c r="P54" s="14">
        <f>IFERROR(Ohj.lask.[[#This Row],[Painotetut pisteet 3]]/Ohj.lask.[[#Totals],[Painotetut pisteet 3]],0)</f>
        <v>9.3551450186726628E-3</v>
      </c>
      <c r="Q54" s="11">
        <f>ROUND(IFERROR('1.1 Jakotaulu'!L$15*Ohj.lask.[[#This Row],[%-osuus 3]],0),0)</f>
        <v>1351481</v>
      </c>
      <c r="R54" s="139">
        <f>IFERROR(ROUND(VLOOKUP(Ohj.lask.[[#This Row],[Y-tunnus]],'2.4 Aloittaneet palaute'!$A:$I,COLUMN('2.4 Aloittaneet palaute'!H:H),FALSE),1),0)</f>
        <v>17923</v>
      </c>
      <c r="S54" s="14">
        <f>IFERROR(Ohj.lask.[[#This Row],[Painotetut pisteet 4]]/Ohj.lask.[[#Totals],[Painotetut pisteet 4]],0)</f>
        <v>1.0308574521940794E-2</v>
      </c>
      <c r="T54" s="17">
        <f>ROUND(IFERROR('1.1 Jakotaulu'!M$17*Ohj.lask.[[#This Row],[%-osuus 4]],0),0)</f>
        <v>79779</v>
      </c>
      <c r="U54" s="139">
        <f>IFERROR(ROUND(VLOOKUP(Ohj.lask.[[#This Row],[Y-tunnus]],'2.5 Päättäneet palaute'!$A:$Y,COLUMN('2.5 Päättäneet palaute'!X:X),FALSE),1),0)</f>
        <v>115214.5</v>
      </c>
      <c r="V54" s="14">
        <f>IFERROR(Ohj.lask.[[#This Row],[Painotetut pisteet 5]]/Ohj.lask.[[#Totals],[Painotetut pisteet 5]],0)</f>
        <v>1.0382777068557532E-2</v>
      </c>
      <c r="W54" s="17">
        <f>ROUND(IFERROR('1.1 Jakotaulu'!M$18*Ohj.lask.[[#This Row],[%-osuus 5]],0),0)</f>
        <v>241061</v>
      </c>
      <c r="X54" s="139">
        <f>IFERROR(ROUND(VLOOKUP(Ohj.lask.[[#This Row],[Y-tunnus]],'2.6 Työpaikkaohjaajakysely'!A:I,COLUMN('2.6 Työpaikkaohjaajakysely'!H:H),FALSE),1),0)</f>
        <v>4887780.5</v>
      </c>
      <c r="Y54" s="10">
        <f>IFERROR(Ohj.lask.[[#This Row],[Painotetut pisteet 6]]/Ohj.lask.[[#Totals],[Painotetut pisteet 6]],0)</f>
        <v>1.4243161587315006E-2</v>
      </c>
      <c r="Z54" s="17">
        <f>ROUND(IFERROR('1.1 Jakotaulu'!M$20*Ohj.lask.[[#This Row],[%-osuus 6]],0),0)</f>
        <v>330689</v>
      </c>
      <c r="AA54" s="139">
        <f>IFERROR(ROUND(VLOOKUP(Ohj.lask.[[#This Row],[Y-tunnus]],'2.7 Työpaikkakysely'!A:G,COLUMN('2.7 Työpaikkakysely'!F:F),FALSE),1),0)</f>
        <v>2485533.1</v>
      </c>
      <c r="AB54" s="10">
        <f>IFERROR(Ohj.lask.[[#This Row],[Pisteet 7]]/Ohj.lask.[[#Totals],[Pisteet 7]],0)</f>
        <v>1.214536428794015E-2</v>
      </c>
      <c r="AC54" s="17">
        <f>ROUND(IFERROR('1.1 Jakotaulu'!M$21*Ohj.lask.[[#This Row],[%-osuus 7]],0),0)</f>
        <v>93995</v>
      </c>
      <c r="AD54" s="13">
        <f>IFERROR(Ohj.lask.[[#This Row],[Jaettava € 8]]/Ohj.lask.[[#Totals],[Jaettava € 8]],"")</f>
        <v>8.9370250879367771E-3</v>
      </c>
      <c r="AE5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18238940</v>
      </c>
      <c r="AF54" s="103">
        <v>0</v>
      </c>
      <c r="AG54" s="103">
        <v>0</v>
      </c>
      <c r="AH54" s="107">
        <v>0</v>
      </c>
      <c r="AI54" s="33">
        <v>37000</v>
      </c>
      <c r="AJ54" s="107">
        <v>0</v>
      </c>
      <c r="AK5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37000</v>
      </c>
      <c r="AL54" s="11">
        <f>Ohj.lask.[[#This Row],[Jaettava € 1]]+Ohj.lask.[[#This Row],[Harkinnanvarainen korotus yhteensä, €]]</f>
        <v>12137504</v>
      </c>
      <c r="AM54" s="103">
        <f>Ohj.lask.[[#This Row],[Jaettava € 2]]</f>
        <v>4041431</v>
      </c>
      <c r="AN54" s="11">
        <f>Ohj.lask.[[#This Row],[Jaettava € 3]]+Ohj.lask.[[#This Row],[Jaettava € 4]]+Ohj.lask.[[#This Row],[Jaettava € 5]]+Ohj.lask.[[#This Row],[Jaettava € 6]]+Ohj.lask.[[#This Row],[Jaettava € 7]]</f>
        <v>2097005</v>
      </c>
      <c r="AO54" s="34">
        <f>Ohj.lask.[[#This Row],[Jaettava € 8]]+Ohj.lask.[[#This Row],[Harkinnanvarainen korotus yhteensä, €]]</f>
        <v>18275940</v>
      </c>
      <c r="AP54" s="12">
        <v>1723469</v>
      </c>
      <c r="AQ54" s="34">
        <f>Ohj.lask.[[#This Row],[Perus-, suoritus- ja vaikuttavuusrahoitus yhteensä, €]]+Ohj.lask.[[#This Row],[Alv-korvaus, €]]</f>
        <v>19999409</v>
      </c>
    </row>
    <row r="55" spans="1:43" ht="12.75" x14ac:dyDescent="0.2">
      <c r="A55" s="4" t="s">
        <v>274</v>
      </c>
      <c r="B55" s="8" t="s">
        <v>56</v>
      </c>
      <c r="C55" s="8" t="s">
        <v>242</v>
      </c>
      <c r="D55" s="8" t="s">
        <v>326</v>
      </c>
      <c r="E55" s="8" t="s">
        <v>375</v>
      </c>
      <c r="F55" s="106">
        <v>19</v>
      </c>
      <c r="G55" s="33">
        <v>24</v>
      </c>
      <c r="H55" s="9">
        <f>IFERROR(VLOOKUP(Ohj.lask.[[#This Row],[Y-tunnus]],'2.1 Toteut. op.vuodet'!$A:$T,COLUMN('2.1 Toteut. op.vuodet'!S:S),FALSE),0)</f>
        <v>0.83185213693291205</v>
      </c>
      <c r="I55" s="74">
        <f t="shared" si="1"/>
        <v>20</v>
      </c>
      <c r="J55" s="10">
        <f>IFERROR(Ohj.lask.[[#This Row],[Painotetut opiskelija-vuodet]]/Ohj.lask.[[#Totals],[Painotetut opiskelija-vuodet]],0)</f>
        <v>9.7122267222206029E-5</v>
      </c>
      <c r="K55" s="11">
        <f>ROUND(IFERROR('1.1 Jakotaulu'!L$12*Ohj.lask.[[#This Row],[%-osuus 1]],0),0)</f>
        <v>138078</v>
      </c>
      <c r="L55" s="139">
        <f>IFERROR(ROUND(VLOOKUP(Ohj.lask.[[#This Row],[Y-tunnus]],'2.2 Tutk. ja osien pain. pist.'!$A:$Q,COLUMN('2.2 Tutk. ja osien pain. pist.'!O:O),FALSE),1),0)</f>
        <v>1996.5</v>
      </c>
      <c r="M55" s="10">
        <f>IFERROR(Ohj.lask.[[#This Row],[Painotetut pisteet 2]]/Ohj.lask.[[#Totals],[Painotetut pisteet 2]],0)</f>
        <v>1.2676335831508006E-4</v>
      </c>
      <c r="N55" s="17">
        <f>ROUND(IFERROR('1.1 Jakotaulu'!K$13*Ohj.lask.[[#This Row],[%-osuus 2]],0),0)</f>
        <v>52322</v>
      </c>
      <c r="O55" s="140">
        <f>IFERROR(ROUND(VLOOKUP(Ohj.lask.[[#This Row],[Y-tunnus]],'2.3 Työll. ja jatko-opisk.'!$A:$Y,COLUMN('2.3 Työll. ja jatko-opisk.'!L:L),FALSE),1),0)</f>
        <v>43.5</v>
      </c>
      <c r="P55" s="10">
        <f>IFERROR(Ohj.lask.[[#This Row],[Painotetut pisteet 3]]/Ohj.lask.[[#Totals],[Painotetut pisteet 3]],0)</f>
        <v>1.2887915135300889E-4</v>
      </c>
      <c r="Q55" s="11">
        <f>ROUND(IFERROR('1.1 Jakotaulu'!L$15*Ohj.lask.[[#This Row],[%-osuus 3]],0),0)</f>
        <v>18618</v>
      </c>
      <c r="R55" s="139">
        <f>IFERROR(ROUND(VLOOKUP(Ohj.lask.[[#This Row],[Y-tunnus]],'2.4 Aloittaneet palaute'!$A:$I,COLUMN('2.4 Aloittaneet palaute'!H:H),FALSE),1),0)</f>
        <v>448.1</v>
      </c>
      <c r="S55" s="14">
        <f>IFERROR(Ohj.lask.[[#This Row],[Painotetut pisteet 4]]/Ohj.lask.[[#Totals],[Painotetut pisteet 4]],0)</f>
        <v>2.5772874202319195E-4</v>
      </c>
      <c r="T55" s="17">
        <f>ROUND(IFERROR('1.1 Jakotaulu'!M$17*Ohj.lask.[[#This Row],[%-osuus 4]],0),0)</f>
        <v>1995</v>
      </c>
      <c r="U55" s="139">
        <f>IFERROR(ROUND(VLOOKUP(Ohj.lask.[[#This Row],[Y-tunnus]],'2.5 Päättäneet palaute'!$A:$Y,COLUMN('2.5 Päättäneet palaute'!X:X),FALSE),1),0)</f>
        <v>6030.6</v>
      </c>
      <c r="V55" s="14">
        <f>IFERROR(Ohj.lask.[[#This Row],[Painotetut pisteet 5]]/Ohj.lask.[[#Totals],[Painotetut pisteet 5]],0)</f>
        <v>5.4345915999846428E-4</v>
      </c>
      <c r="W55" s="17">
        <f>ROUND(IFERROR('1.1 Jakotaulu'!M$18*Ohj.lask.[[#This Row],[%-osuus 5]],0),0)</f>
        <v>12618</v>
      </c>
      <c r="X55" s="139">
        <f>IFERROR(ROUND(VLOOKUP(Ohj.lask.[[#This Row],[Y-tunnus]],'2.6 Työpaikkaohjaajakysely'!A:I,COLUMN('2.6 Työpaikkaohjaajakysely'!H:H),FALSE),1),0)</f>
        <v>61207.8</v>
      </c>
      <c r="Y55" s="10">
        <f>IFERROR(Ohj.lask.[[#This Row],[Painotetut pisteet 6]]/Ohj.lask.[[#Totals],[Painotetut pisteet 6]],0)</f>
        <v>1.7836164815585715E-4</v>
      </c>
      <c r="Z55" s="17">
        <f>ROUND(IFERROR('1.1 Jakotaulu'!M$20*Ohj.lask.[[#This Row],[%-osuus 6]],0),0)</f>
        <v>4141</v>
      </c>
      <c r="AA55" s="139">
        <f>IFERROR(ROUND(VLOOKUP(Ohj.lask.[[#This Row],[Y-tunnus]],'2.7 Työpaikkakysely'!A:G,COLUMN('2.7 Työpaikkakysely'!F:F),FALSE),1),0)</f>
        <v>61479</v>
      </c>
      <c r="AB55" s="10">
        <f>IFERROR(Ohj.lask.[[#This Row],[Pisteet 7]]/Ohj.lask.[[#Totals],[Pisteet 7]],0)</f>
        <v>3.0041235462053287E-4</v>
      </c>
      <c r="AC55" s="17">
        <f>ROUND(IFERROR('1.1 Jakotaulu'!M$21*Ohj.lask.[[#This Row],[%-osuus 7]],0),0)</f>
        <v>2325</v>
      </c>
      <c r="AD55" s="13">
        <f>IFERROR(Ohj.lask.[[#This Row],[Jaettava € 8]]/Ohj.lask.[[#Totals],[Jaettava € 8]],"")</f>
        <v>1.1274682967644986E-4</v>
      </c>
      <c r="AE5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230097</v>
      </c>
      <c r="AF55" s="103">
        <v>0</v>
      </c>
      <c r="AG55" s="103">
        <v>0</v>
      </c>
      <c r="AH55" s="107">
        <v>0</v>
      </c>
      <c r="AI55" s="33">
        <v>1000</v>
      </c>
      <c r="AJ55" s="107">
        <v>0</v>
      </c>
      <c r="AK5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55" s="11">
        <f>Ohj.lask.[[#This Row],[Jaettava € 1]]+Ohj.lask.[[#This Row],[Harkinnanvarainen korotus yhteensä, €]]</f>
        <v>139078</v>
      </c>
      <c r="AM55" s="103">
        <f>Ohj.lask.[[#This Row],[Jaettava € 2]]</f>
        <v>52322</v>
      </c>
      <c r="AN55" s="11">
        <f>Ohj.lask.[[#This Row],[Jaettava € 3]]+Ohj.lask.[[#This Row],[Jaettava € 4]]+Ohj.lask.[[#This Row],[Jaettava € 5]]+Ohj.lask.[[#This Row],[Jaettava € 6]]+Ohj.lask.[[#This Row],[Jaettava € 7]]</f>
        <v>39697</v>
      </c>
      <c r="AO55" s="34">
        <f>Ohj.lask.[[#This Row],[Jaettava € 8]]+Ohj.lask.[[#This Row],[Harkinnanvarainen korotus yhteensä, €]]</f>
        <v>231097</v>
      </c>
      <c r="AP55" s="12">
        <v>27038</v>
      </c>
      <c r="AQ55" s="34">
        <f>Ohj.lask.[[#This Row],[Perus-, suoritus- ja vaikuttavuusrahoitus yhteensä, €]]+Ohj.lask.[[#This Row],[Alv-korvaus, €]]</f>
        <v>258135</v>
      </c>
    </row>
    <row r="56" spans="1:43" ht="12.75" x14ac:dyDescent="0.2">
      <c r="A56" s="4" t="s">
        <v>489</v>
      </c>
      <c r="B56" s="8" t="s">
        <v>491</v>
      </c>
      <c r="C56" s="97" t="s">
        <v>174</v>
      </c>
      <c r="D56" s="97" t="s">
        <v>326</v>
      </c>
      <c r="E56" s="97" t="s">
        <v>375</v>
      </c>
      <c r="F56" s="105">
        <v>258</v>
      </c>
      <c r="G56" s="33">
        <v>305</v>
      </c>
      <c r="H56" s="9">
        <f>IFERROR(VLOOKUP(Ohj.lask.[[#This Row],[Y-tunnus]],'2.1 Toteut. op.vuodet'!$A:$T,COLUMN('2.1 Toteut. op.vuodet'!S:S),FALSE),0)</f>
        <v>1.5205775681485398</v>
      </c>
      <c r="I56" s="74">
        <f t="shared" si="1"/>
        <v>463.8</v>
      </c>
      <c r="J56" s="10">
        <f>IFERROR(Ohj.lask.[[#This Row],[Painotetut opiskelija-vuodet]]/Ohj.lask.[[#Totals],[Painotetut opiskelija-vuodet]],0)</f>
        <v>2.2522653768829578E-3</v>
      </c>
      <c r="K56" s="11">
        <f>ROUND(IFERROR('1.1 Jakotaulu'!L$12*Ohj.lask.[[#This Row],[%-osuus 1]],0),0)</f>
        <v>3202039</v>
      </c>
      <c r="L56" s="139">
        <f>IFERROR(ROUND(VLOOKUP(Ohj.lask.[[#This Row],[Y-tunnus]],'2.2 Tutk. ja osien pain. pist.'!$A:$Q,COLUMN('2.2 Tutk. ja osien pain. pist.'!O:O),FALSE),1),0)</f>
        <v>33455.699999999997</v>
      </c>
      <c r="M56" s="10">
        <f>IFERROR(Ohj.lask.[[#This Row],[Painotetut pisteet 2]]/Ohj.lask.[[#Totals],[Painotetut pisteet 2]],0)</f>
        <v>2.1241957860164405E-3</v>
      </c>
      <c r="N56" s="17">
        <f>ROUND(IFERROR('1.1 Jakotaulu'!K$13*Ohj.lask.[[#This Row],[%-osuus 2]],0),0)</f>
        <v>876772</v>
      </c>
      <c r="O56" s="140">
        <f>IFERROR(ROUND(VLOOKUP(Ohj.lask.[[#This Row],[Y-tunnus]],'2.3 Työll. ja jatko-opisk.'!$A:$Y,COLUMN('2.3 Työll. ja jatko-opisk.'!L:L),FALSE),1),0)</f>
        <v>711.5</v>
      </c>
      <c r="P56" s="14">
        <f>IFERROR(Ohj.lask.[[#This Row],[Painotetut pisteet 3]]/Ohj.lask.[[#Totals],[Painotetut pisteet 3]],0)</f>
        <v>2.1079888778773753E-3</v>
      </c>
      <c r="Q56" s="11">
        <f>ROUND(IFERROR('1.1 Jakotaulu'!L$15*Ohj.lask.[[#This Row],[%-osuus 3]],0),0)</f>
        <v>304528</v>
      </c>
      <c r="R56" s="139">
        <f>IFERROR(ROUND(VLOOKUP(Ohj.lask.[[#This Row],[Y-tunnus]],'2.4 Aloittaneet palaute'!$A:$I,COLUMN('2.4 Aloittaneet palaute'!H:H),FALSE),1),0)</f>
        <v>1760.7</v>
      </c>
      <c r="S56" s="14">
        <f>IFERROR(Ohj.lask.[[#This Row],[Painotetut pisteet 4]]/Ohj.lask.[[#Totals],[Painotetut pisteet 4]],0)</f>
        <v>1.0126824282085116E-3</v>
      </c>
      <c r="T56" s="17">
        <f>ROUND(IFERROR('1.1 Jakotaulu'!M$17*Ohj.lask.[[#This Row],[%-osuus 4]],0),0)</f>
        <v>7837</v>
      </c>
      <c r="U56" s="139">
        <f>IFERROR(ROUND(VLOOKUP(Ohj.lask.[[#This Row],[Y-tunnus]],'2.5 Päättäneet palaute'!$A:$Y,COLUMN('2.5 Päättäneet palaute'!X:X),FALSE),1),0)</f>
        <v>13016</v>
      </c>
      <c r="V56" s="14">
        <f>IFERROR(Ohj.lask.[[#This Row],[Painotetut pisteet 5]]/Ohj.lask.[[#Totals],[Painotetut pisteet 5]],0)</f>
        <v>1.1729619650681542E-3</v>
      </c>
      <c r="W56" s="17">
        <f>ROUND(IFERROR('1.1 Jakotaulu'!M$18*Ohj.lask.[[#This Row],[%-osuus 5]],0),0)</f>
        <v>27233</v>
      </c>
      <c r="X56" s="139">
        <f>IFERROR(ROUND(VLOOKUP(Ohj.lask.[[#This Row],[Y-tunnus]],'2.6 Työpaikkaohjaajakysely'!A:I,COLUMN('2.6 Työpaikkaohjaajakysely'!H:H),FALSE),1),0)</f>
        <v>687303.1</v>
      </c>
      <c r="Y56" s="10">
        <f>IFERROR(Ohj.lask.[[#This Row],[Painotetut pisteet 6]]/Ohj.lask.[[#Totals],[Painotetut pisteet 6]],0)</f>
        <v>2.0028250271800305E-3</v>
      </c>
      <c r="Z56" s="17">
        <f>ROUND(IFERROR('1.1 Jakotaulu'!M$20*Ohj.lask.[[#This Row],[%-osuus 6]],0),0)</f>
        <v>46500</v>
      </c>
      <c r="AA56" s="139">
        <f>IFERROR(ROUND(VLOOKUP(Ohj.lask.[[#This Row],[Y-tunnus]],'2.7 Työpaikkakysely'!A:G,COLUMN('2.7 Työpaikkakysely'!F:F),FALSE),1),0)</f>
        <v>47193</v>
      </c>
      <c r="AB56" s="10">
        <f>IFERROR(Ohj.lask.[[#This Row],[Pisteet 7]]/Ohj.lask.[[#Totals],[Pisteet 7]],0)</f>
        <v>2.3060492609845327E-4</v>
      </c>
      <c r="AC56" s="17">
        <f>ROUND(IFERROR('1.1 Jakotaulu'!M$21*Ohj.lask.[[#This Row],[%-osuus 7]],0),0)</f>
        <v>1785</v>
      </c>
      <c r="AD56" s="13">
        <f>IFERROR(Ohj.lask.[[#This Row],[Jaettava € 8]]/Ohj.lask.[[#Totals],[Jaettava € 8]],"")</f>
        <v>2.1886664651639114E-3</v>
      </c>
      <c r="AE5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4466694</v>
      </c>
      <c r="AF56" s="103">
        <v>0</v>
      </c>
      <c r="AG56" s="103">
        <v>0</v>
      </c>
      <c r="AH56" s="107">
        <v>0</v>
      </c>
      <c r="AI56" s="33">
        <v>3000</v>
      </c>
      <c r="AJ56" s="107">
        <v>25000</v>
      </c>
      <c r="AK5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28000</v>
      </c>
      <c r="AL56" s="11">
        <f>Ohj.lask.[[#This Row],[Jaettava € 1]]+Ohj.lask.[[#This Row],[Harkinnanvarainen korotus yhteensä, €]]</f>
        <v>3230039</v>
      </c>
      <c r="AM56" s="103">
        <f>Ohj.lask.[[#This Row],[Jaettava € 2]]</f>
        <v>876772</v>
      </c>
      <c r="AN56" s="11">
        <f>Ohj.lask.[[#This Row],[Jaettava € 3]]+Ohj.lask.[[#This Row],[Jaettava € 4]]+Ohj.lask.[[#This Row],[Jaettava € 5]]+Ohj.lask.[[#This Row],[Jaettava € 6]]+Ohj.lask.[[#This Row],[Jaettava € 7]]</f>
        <v>387883</v>
      </c>
      <c r="AO56" s="34">
        <f>Ohj.lask.[[#This Row],[Jaettava € 8]]+Ohj.lask.[[#This Row],[Harkinnanvarainen korotus yhteensä, €]]</f>
        <v>4494694</v>
      </c>
      <c r="AP56" s="12">
        <v>417280</v>
      </c>
      <c r="AQ56" s="34">
        <f>Ohj.lask.[[#This Row],[Perus-, suoritus- ja vaikuttavuusrahoitus yhteensä, €]]+Ohj.lask.[[#This Row],[Alv-korvaus, €]]</f>
        <v>4911974</v>
      </c>
    </row>
    <row r="57" spans="1:43" ht="12.75" x14ac:dyDescent="0.2">
      <c r="A57" s="4" t="s">
        <v>273</v>
      </c>
      <c r="B57" s="8" t="s">
        <v>129</v>
      </c>
      <c r="C57" s="8" t="s">
        <v>174</v>
      </c>
      <c r="D57" s="8" t="s">
        <v>326</v>
      </c>
      <c r="E57" s="8" t="s">
        <v>375</v>
      </c>
      <c r="F57" s="106">
        <v>33</v>
      </c>
      <c r="G57" s="33">
        <v>28</v>
      </c>
      <c r="H57" s="9">
        <f>IFERROR(VLOOKUP(Ohj.lask.[[#This Row],[Y-tunnus]],'2.1 Toteut. op.vuodet'!$A:$T,COLUMN('2.1 Toteut. op.vuodet'!S:S),FALSE),0)</f>
        <v>0.72713132880698472</v>
      </c>
      <c r="I57" s="74">
        <f t="shared" si="1"/>
        <v>20.399999999999999</v>
      </c>
      <c r="J57" s="10">
        <f>IFERROR(Ohj.lask.[[#This Row],[Painotetut opiskelija-vuodet]]/Ohj.lask.[[#Totals],[Painotetut opiskelija-vuodet]],0)</f>
        <v>9.9064712566650147E-5</v>
      </c>
      <c r="K57" s="11">
        <f>ROUND(IFERROR('1.1 Jakotaulu'!L$12*Ohj.lask.[[#This Row],[%-osuus 1]],0),0)</f>
        <v>140840</v>
      </c>
      <c r="L57" s="139">
        <f>IFERROR(ROUND(VLOOKUP(Ohj.lask.[[#This Row],[Y-tunnus]],'2.2 Tutk. ja osien pain. pist.'!$A:$Q,COLUMN('2.2 Tutk. ja osien pain. pist.'!O:O),FALSE),1),0)</f>
        <v>1703.5</v>
      </c>
      <c r="M57" s="10">
        <f>IFERROR(Ohj.lask.[[#This Row],[Painotetut pisteet 2]]/Ohj.lask.[[#Totals],[Painotetut pisteet 2]],0)</f>
        <v>1.081599703930573E-4</v>
      </c>
      <c r="N57" s="17">
        <f>ROUND(IFERROR('1.1 Jakotaulu'!K$13*Ohj.lask.[[#This Row],[%-osuus 2]],0),0)</f>
        <v>44644</v>
      </c>
      <c r="O57" s="140">
        <f>IFERROR(ROUND(VLOOKUP(Ohj.lask.[[#This Row],[Y-tunnus]],'2.3 Työll. ja jatko-opisk.'!$A:$Y,COLUMN('2.3 Työll. ja jatko-opisk.'!L:L),FALSE),1),0)</f>
        <v>53.7</v>
      </c>
      <c r="P57" s="10">
        <f>IFERROR(Ohj.lask.[[#This Row],[Painotetut pisteet 3]]/Ohj.lask.[[#Totals],[Painotetut pisteet 3]],0)</f>
        <v>1.5909909029095581E-4</v>
      </c>
      <c r="Q57" s="11">
        <f>ROUND(IFERROR('1.1 Jakotaulu'!L$15*Ohj.lask.[[#This Row],[%-osuus 3]],0),0)</f>
        <v>22984</v>
      </c>
      <c r="R57" s="139">
        <f>IFERROR(ROUND(VLOOKUP(Ohj.lask.[[#This Row],[Y-tunnus]],'2.4 Aloittaneet palaute'!$A:$I,COLUMN('2.4 Aloittaneet palaute'!H:H),FALSE),1),0)</f>
        <v>434.4</v>
      </c>
      <c r="S57" s="14">
        <f>IFERROR(Ohj.lask.[[#This Row],[Painotetut pisteet 4]]/Ohj.lask.[[#Totals],[Painotetut pisteet 4]],0)</f>
        <v>2.4984906390286674E-4</v>
      </c>
      <c r="T57" s="17">
        <f>ROUND(IFERROR('1.1 Jakotaulu'!M$17*Ohj.lask.[[#This Row],[%-osuus 4]],0),0)</f>
        <v>1934</v>
      </c>
      <c r="U57" s="139">
        <f>IFERROR(ROUND(VLOOKUP(Ohj.lask.[[#This Row],[Y-tunnus]],'2.5 Päättäneet palaute'!$A:$Y,COLUMN('2.5 Päättäneet palaute'!X:X),FALSE),1),0)</f>
        <v>2448.8000000000002</v>
      </c>
      <c r="V57" s="14">
        <f>IFERROR(Ohj.lask.[[#This Row],[Painotetut pisteet 5]]/Ohj.lask.[[#Totals],[Painotetut pisteet 5]],0)</f>
        <v>2.2067833897194961E-4</v>
      </c>
      <c r="W57" s="17">
        <f>ROUND(IFERROR('1.1 Jakotaulu'!M$18*Ohj.lask.[[#This Row],[%-osuus 5]],0),0)</f>
        <v>5124</v>
      </c>
      <c r="X57" s="139">
        <f>IFERROR(ROUND(VLOOKUP(Ohj.lask.[[#This Row],[Y-tunnus]],'2.6 Työpaikkaohjaajakysely'!A:I,COLUMN('2.6 Työpaikkaohjaajakysely'!H:H),FALSE),1),0)</f>
        <v>93904.2</v>
      </c>
      <c r="Y57" s="10">
        <f>IFERROR(Ohj.lask.[[#This Row],[Painotetut pisteet 6]]/Ohj.lask.[[#Totals],[Painotetut pisteet 6]],0)</f>
        <v>2.7364008967414676E-4</v>
      </c>
      <c r="Z57" s="17">
        <f>ROUND(IFERROR('1.1 Jakotaulu'!M$20*Ohj.lask.[[#This Row],[%-osuus 6]],0),0)</f>
        <v>6353</v>
      </c>
      <c r="AA57" s="139">
        <f>IFERROR(ROUND(VLOOKUP(Ohj.lask.[[#This Row],[Y-tunnus]],'2.7 Työpaikkakysely'!A:G,COLUMN('2.7 Työpaikkakysely'!F:F),FALSE),1),0)</f>
        <v>148500</v>
      </c>
      <c r="AB57" s="10">
        <f>IFERROR(Ohj.lask.[[#This Row],[Pisteet 7]]/Ohj.lask.[[#Totals],[Pisteet 7]],0)</f>
        <v>7.2563370681288139E-4</v>
      </c>
      <c r="AC57" s="17">
        <f>ROUND(IFERROR('1.1 Jakotaulu'!M$21*Ohj.lask.[[#This Row],[%-osuus 7]],0),0)</f>
        <v>5616</v>
      </c>
      <c r="AD57" s="13">
        <f>IFERROR(Ohj.lask.[[#This Row],[Jaettava € 8]]/Ohj.lask.[[#Totals],[Jaettava € 8]],"")</f>
        <v>1.114718575959007E-4</v>
      </c>
      <c r="AE5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227495</v>
      </c>
      <c r="AF57" s="103">
        <v>0</v>
      </c>
      <c r="AG57" s="103">
        <v>0</v>
      </c>
      <c r="AH57" s="107">
        <v>0</v>
      </c>
      <c r="AI57" s="33">
        <v>1000</v>
      </c>
      <c r="AJ57" s="107">
        <v>0</v>
      </c>
      <c r="AK5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57" s="11">
        <f>Ohj.lask.[[#This Row],[Jaettava € 1]]+Ohj.lask.[[#This Row],[Harkinnanvarainen korotus yhteensä, €]]</f>
        <v>141840</v>
      </c>
      <c r="AM57" s="103">
        <f>Ohj.lask.[[#This Row],[Jaettava € 2]]</f>
        <v>44644</v>
      </c>
      <c r="AN57" s="11">
        <f>Ohj.lask.[[#This Row],[Jaettava € 3]]+Ohj.lask.[[#This Row],[Jaettava € 4]]+Ohj.lask.[[#This Row],[Jaettava € 5]]+Ohj.lask.[[#This Row],[Jaettava € 6]]+Ohj.lask.[[#This Row],[Jaettava € 7]]</f>
        <v>42011</v>
      </c>
      <c r="AO57" s="34">
        <f>Ohj.lask.[[#This Row],[Jaettava € 8]]+Ohj.lask.[[#This Row],[Harkinnanvarainen korotus yhteensä, €]]</f>
        <v>228495</v>
      </c>
      <c r="AP57" s="12">
        <v>20367</v>
      </c>
      <c r="AQ57" s="34">
        <f>Ohj.lask.[[#This Row],[Perus-, suoritus- ja vaikuttavuusrahoitus yhteensä, €]]+Ohj.lask.[[#This Row],[Alv-korvaus, €]]</f>
        <v>248862</v>
      </c>
    </row>
    <row r="58" spans="1:43" ht="12.75" x14ac:dyDescent="0.2">
      <c r="A58" s="4" t="s">
        <v>272</v>
      </c>
      <c r="B58" s="8" t="s">
        <v>57</v>
      </c>
      <c r="C58" s="8" t="s">
        <v>200</v>
      </c>
      <c r="D58" s="8" t="s">
        <v>326</v>
      </c>
      <c r="E58" s="8" t="s">
        <v>375</v>
      </c>
      <c r="F58" s="106">
        <v>97</v>
      </c>
      <c r="G58" s="33">
        <v>99</v>
      </c>
      <c r="H58" s="9">
        <f>IFERROR(VLOOKUP(Ohj.lask.[[#This Row],[Y-tunnus]],'2.1 Toteut. op.vuodet'!$A:$T,COLUMN('2.1 Toteut. op.vuodet'!S:S),FALSE),0)</f>
        <v>1.1832632912096486</v>
      </c>
      <c r="I58" s="74">
        <f t="shared" si="1"/>
        <v>117.1</v>
      </c>
      <c r="J58" s="10">
        <f>IFERROR(Ohj.lask.[[#This Row],[Painotetut opiskelija-vuodet]]/Ohj.lask.[[#Totals],[Painotetut opiskelija-vuodet]],0)</f>
        <v>5.6865087458601632E-4</v>
      </c>
      <c r="K58" s="11">
        <f>ROUND(IFERROR('1.1 Jakotaulu'!L$12*Ohj.lask.[[#This Row],[%-osuus 1]],0),0)</f>
        <v>808449</v>
      </c>
      <c r="L58" s="139">
        <f>IFERROR(ROUND(VLOOKUP(Ohj.lask.[[#This Row],[Y-tunnus]],'2.2 Tutk. ja osien pain. pist.'!$A:$Q,COLUMN('2.2 Tutk. ja osien pain. pist.'!O:O),FALSE),1),0)</f>
        <v>11767.2</v>
      </c>
      <c r="M58" s="10">
        <f>IFERROR(Ohj.lask.[[#This Row],[Painotetut pisteet 2]]/Ohj.lask.[[#Totals],[Painotetut pisteet 2]],0)</f>
        <v>7.4713237664172808E-4</v>
      </c>
      <c r="N58" s="17">
        <f>ROUND(IFERROR('1.1 Jakotaulu'!K$13*Ohj.lask.[[#This Row],[%-osuus 2]],0),0)</f>
        <v>308383</v>
      </c>
      <c r="O58" s="140">
        <f>IFERROR(ROUND(VLOOKUP(Ohj.lask.[[#This Row],[Y-tunnus]],'2.3 Työll. ja jatko-opisk.'!$A:$Y,COLUMN('2.3 Työll. ja jatko-opisk.'!L:L),FALSE),1),0)</f>
        <v>296.10000000000002</v>
      </c>
      <c r="P58" s="10">
        <f>IFERROR(Ohj.lask.[[#This Row],[Painotetut pisteet 3]]/Ohj.lask.[[#Totals],[Painotetut pisteet 3]],0)</f>
        <v>8.7726705093392953E-4</v>
      </c>
      <c r="Q58" s="11">
        <f>ROUND(IFERROR('1.1 Jakotaulu'!L$15*Ohj.lask.[[#This Row],[%-osuus 3]],0),0)</f>
        <v>126733</v>
      </c>
      <c r="R58" s="139">
        <f>IFERROR(ROUND(VLOOKUP(Ohj.lask.[[#This Row],[Y-tunnus]],'2.4 Aloittaneet palaute'!$A:$I,COLUMN('2.4 Aloittaneet palaute'!H:H),FALSE),1),0)</f>
        <v>1016.4</v>
      </c>
      <c r="S58" s="14">
        <f>IFERROR(Ohj.lask.[[#This Row],[Painotetut pisteet 4]]/Ohj.lask.[[#Totals],[Painotetut pisteet 4]],0)</f>
        <v>5.8459159426996719E-4</v>
      </c>
      <c r="T58" s="17">
        <f>ROUND(IFERROR('1.1 Jakotaulu'!M$17*Ohj.lask.[[#This Row],[%-osuus 4]],0),0)</f>
        <v>4524</v>
      </c>
      <c r="U58" s="139">
        <f>IFERROR(ROUND(VLOOKUP(Ohj.lask.[[#This Row],[Y-tunnus]],'2.5 Päättäneet palaute'!$A:$Y,COLUMN('2.5 Päättäneet palaute'!X:X),FALSE),1),0)</f>
        <v>9340.4</v>
      </c>
      <c r="V58" s="14">
        <f>IFERROR(Ohj.lask.[[#This Row],[Painotetut pisteet 5]]/Ohj.lask.[[#Totals],[Painotetut pisteet 5]],0)</f>
        <v>8.4172817597745746E-4</v>
      </c>
      <c r="W58" s="17">
        <f>ROUND(IFERROR('1.1 Jakotaulu'!M$18*Ohj.lask.[[#This Row],[%-osuus 5]],0),0)</f>
        <v>19543</v>
      </c>
      <c r="X58" s="139">
        <f>IFERROR(ROUND(VLOOKUP(Ohj.lask.[[#This Row],[Y-tunnus]],'2.6 Työpaikkaohjaajakysely'!A:I,COLUMN('2.6 Työpaikkaohjaajakysely'!H:H),FALSE),1),0)</f>
        <v>438794.7</v>
      </c>
      <c r="Y58" s="10">
        <f>IFERROR(Ohj.lask.[[#This Row],[Painotetut pisteet 6]]/Ohj.lask.[[#Totals],[Painotetut pisteet 6]],0)</f>
        <v>1.2786629464554334E-3</v>
      </c>
      <c r="Z58" s="17">
        <f>ROUND(IFERROR('1.1 Jakotaulu'!M$20*Ohj.lask.[[#This Row],[%-osuus 6]],0),0)</f>
        <v>29687</v>
      </c>
      <c r="AA58" s="139">
        <f>IFERROR(ROUND(VLOOKUP(Ohj.lask.[[#This Row],[Y-tunnus]],'2.7 Työpaikkakysely'!A:G,COLUMN('2.7 Työpaikkakysely'!F:F),FALSE),1),0)</f>
        <v>182292</v>
      </c>
      <c r="AB58" s="10">
        <f>IFERROR(Ohj.lask.[[#This Row],[Pisteet 7]]/Ohj.lask.[[#Totals],[Pisteet 7]],0)</f>
        <v>8.9075568809652368E-4</v>
      </c>
      <c r="AC58" s="17">
        <f>ROUND(IFERROR('1.1 Jakotaulu'!M$21*Ohj.lask.[[#This Row],[%-osuus 7]],0),0)</f>
        <v>6894</v>
      </c>
      <c r="AD58" s="13">
        <f>IFERROR(Ohj.lask.[[#This Row],[Jaettava € 8]]/Ohj.lask.[[#Totals],[Jaettava € 8]],"")</f>
        <v>6.3906040049549419E-4</v>
      </c>
      <c r="AE5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1304213</v>
      </c>
      <c r="AF58" s="103">
        <v>0</v>
      </c>
      <c r="AG58" s="103">
        <v>0</v>
      </c>
      <c r="AH58" s="107">
        <v>0</v>
      </c>
      <c r="AI58" s="33">
        <v>1000</v>
      </c>
      <c r="AJ58" s="107">
        <v>0</v>
      </c>
      <c r="AK5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58" s="11">
        <f>Ohj.lask.[[#This Row],[Jaettava € 1]]+Ohj.lask.[[#This Row],[Harkinnanvarainen korotus yhteensä, €]]</f>
        <v>809449</v>
      </c>
      <c r="AM58" s="103">
        <f>Ohj.lask.[[#This Row],[Jaettava € 2]]</f>
        <v>308383</v>
      </c>
      <c r="AN58" s="11">
        <f>Ohj.lask.[[#This Row],[Jaettava € 3]]+Ohj.lask.[[#This Row],[Jaettava € 4]]+Ohj.lask.[[#This Row],[Jaettava € 5]]+Ohj.lask.[[#This Row],[Jaettava € 6]]+Ohj.lask.[[#This Row],[Jaettava € 7]]</f>
        <v>187381</v>
      </c>
      <c r="AO58" s="34">
        <f>Ohj.lask.[[#This Row],[Jaettava € 8]]+Ohj.lask.[[#This Row],[Harkinnanvarainen korotus yhteensä, €]]</f>
        <v>1305213</v>
      </c>
      <c r="AP58" s="12">
        <v>58542</v>
      </c>
      <c r="AQ58" s="34">
        <f>Ohj.lask.[[#This Row],[Perus-, suoritus- ja vaikuttavuusrahoitus yhteensä, €]]+Ohj.lask.[[#This Row],[Alv-korvaus, €]]</f>
        <v>1363755</v>
      </c>
    </row>
    <row r="59" spans="1:43" ht="12.75" x14ac:dyDescent="0.2">
      <c r="A59" s="4" t="s">
        <v>271</v>
      </c>
      <c r="B59" s="8" t="s">
        <v>58</v>
      </c>
      <c r="C59" s="8" t="s">
        <v>188</v>
      </c>
      <c r="D59" s="8" t="s">
        <v>325</v>
      </c>
      <c r="E59" s="8" t="s">
        <v>375</v>
      </c>
      <c r="F59" s="106">
        <v>2316</v>
      </c>
      <c r="G59" s="33">
        <v>2214</v>
      </c>
      <c r="H59" s="9">
        <f>IFERROR(VLOOKUP(Ohj.lask.[[#This Row],[Y-tunnus]],'2.1 Toteut. op.vuodet'!$A:$T,COLUMN('2.1 Toteut. op.vuodet'!S:S),FALSE),0)</f>
        <v>1.0715444998465635</v>
      </c>
      <c r="I59" s="74">
        <f t="shared" si="1"/>
        <v>2372.4</v>
      </c>
      <c r="J59" s="10">
        <f>IFERROR(Ohj.lask.[[#This Row],[Painotetut opiskelija-vuodet]]/Ohj.lask.[[#Totals],[Painotetut opiskelija-vuodet]],0)</f>
        <v>1.152064333789808E-2</v>
      </c>
      <c r="K59" s="11">
        <f>ROUND(IFERROR('1.1 Jakotaulu'!L$12*Ohj.lask.[[#This Row],[%-osuus 1]],0),0)</f>
        <v>16378864</v>
      </c>
      <c r="L59" s="139">
        <f>IFERROR(ROUND(VLOOKUP(Ohj.lask.[[#This Row],[Y-tunnus]],'2.2 Tutk. ja osien pain. pist.'!$A:$Q,COLUMN('2.2 Tutk. ja osien pain. pist.'!O:O),FALSE),1),0)</f>
        <v>195954.4</v>
      </c>
      <c r="M59" s="10">
        <f>IFERROR(Ohj.lask.[[#This Row],[Painotetut pisteet 2]]/Ohj.lask.[[#Totals],[Painotetut pisteet 2]],0)</f>
        <v>1.2441691871082657E-2</v>
      </c>
      <c r="N59" s="17">
        <f>ROUND(IFERROR('1.1 Jakotaulu'!K$13*Ohj.lask.[[#This Row],[%-osuus 2]],0),0)</f>
        <v>5135371</v>
      </c>
      <c r="O59" s="140">
        <f>IFERROR(ROUND(VLOOKUP(Ohj.lask.[[#This Row],[Y-tunnus]],'2.3 Työll. ja jatko-opisk.'!$A:$Y,COLUMN('2.3 Työll. ja jatko-opisk.'!L:L),FALSE),1),0)</f>
        <v>4404.3999999999996</v>
      </c>
      <c r="P59" s="10">
        <f>IFERROR(Ohj.lask.[[#This Row],[Painotetut pisteet 3]]/Ohj.lask.[[#Totals],[Painotetut pisteet 3]],0)</f>
        <v>1.3049088142969938E-2</v>
      </c>
      <c r="Q59" s="11">
        <f>ROUND(IFERROR('1.1 Jakotaulu'!L$15*Ohj.lask.[[#This Row],[%-osuus 3]],0),0)</f>
        <v>1885122</v>
      </c>
      <c r="R59" s="139">
        <f>IFERROR(ROUND(VLOOKUP(Ohj.lask.[[#This Row],[Y-tunnus]],'2.4 Aloittaneet palaute'!$A:$I,COLUMN('2.4 Aloittaneet palaute'!H:H),FALSE),1),0)</f>
        <v>19779.7</v>
      </c>
      <c r="S59" s="14">
        <f>IFERROR(Ohj.lask.[[#This Row],[Painotetut pisteet 4]]/Ohj.lask.[[#Totals],[Painotetut pisteet 4]],0)</f>
        <v>1.137647221289027E-2</v>
      </c>
      <c r="T59" s="17">
        <f>ROUND(IFERROR('1.1 Jakotaulu'!M$17*Ohj.lask.[[#This Row],[%-osuus 4]],0),0)</f>
        <v>88044</v>
      </c>
      <c r="U59" s="139">
        <f>IFERROR(ROUND(VLOOKUP(Ohj.lask.[[#This Row],[Y-tunnus]],'2.5 Päättäneet palaute'!$A:$Y,COLUMN('2.5 Päättäneet palaute'!X:X),FALSE),1),0)</f>
        <v>161682.20000000001</v>
      </c>
      <c r="V59" s="14">
        <f>IFERROR(Ohj.lask.[[#This Row],[Painotetut pisteet 5]]/Ohj.lask.[[#Totals],[Painotetut pisteet 5]],0)</f>
        <v>1.4570303551670431E-2</v>
      </c>
      <c r="W59" s="17">
        <f>ROUND(IFERROR('1.1 Jakotaulu'!M$18*Ohj.lask.[[#This Row],[%-osuus 5]],0),0)</f>
        <v>338285</v>
      </c>
      <c r="X59" s="139">
        <f>IFERROR(ROUND(VLOOKUP(Ohj.lask.[[#This Row],[Y-tunnus]],'2.6 Työpaikkaohjaajakysely'!A:I,COLUMN('2.6 Työpaikkaohjaajakysely'!H:H),FALSE),1),0)</f>
        <v>4976648.5999999996</v>
      </c>
      <c r="Y59" s="10">
        <f>IFERROR(Ohj.lask.[[#This Row],[Painotetut pisteet 6]]/Ohj.lask.[[#Totals],[Painotetut pisteet 6]],0)</f>
        <v>1.4502126307244156E-2</v>
      </c>
      <c r="Z59" s="17">
        <f>ROUND(IFERROR('1.1 Jakotaulu'!M$20*Ohj.lask.[[#This Row],[%-osuus 6]],0),0)</f>
        <v>336702</v>
      </c>
      <c r="AA59" s="139">
        <f>IFERROR(ROUND(VLOOKUP(Ohj.lask.[[#This Row],[Y-tunnus]],'2.7 Työpaikkakysely'!A:G,COLUMN('2.7 Työpaikkakysely'!F:F),FALSE),1),0)</f>
        <v>3598922.1</v>
      </c>
      <c r="AB59" s="10">
        <f>IFERROR(Ohj.lask.[[#This Row],[Pisteet 7]]/Ohj.lask.[[#Totals],[Pisteet 7]],0)</f>
        <v>1.7585853090597976E-2</v>
      </c>
      <c r="AC59" s="17">
        <f>ROUND(IFERROR('1.1 Jakotaulu'!M$21*Ohj.lask.[[#This Row],[%-osuus 7]],0),0)</f>
        <v>136099</v>
      </c>
      <c r="AD59" s="13">
        <f>IFERROR(Ohj.lask.[[#This Row],[Jaettava € 8]]/Ohj.lask.[[#Totals],[Jaettava € 8]],"")</f>
        <v>1.1906184675091077E-2</v>
      </c>
      <c r="AE5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24298487</v>
      </c>
      <c r="AF59" s="103">
        <v>0</v>
      </c>
      <c r="AG59" s="103">
        <v>0</v>
      </c>
      <c r="AH59" s="107">
        <v>0</v>
      </c>
      <c r="AI59" s="33">
        <v>36000</v>
      </c>
      <c r="AJ59" s="107">
        <v>2000</v>
      </c>
      <c r="AK5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38000</v>
      </c>
      <c r="AL59" s="11">
        <f>Ohj.lask.[[#This Row],[Jaettava € 1]]+Ohj.lask.[[#This Row],[Harkinnanvarainen korotus yhteensä, €]]</f>
        <v>16416864</v>
      </c>
      <c r="AM59" s="103">
        <f>Ohj.lask.[[#This Row],[Jaettava € 2]]</f>
        <v>5135371</v>
      </c>
      <c r="AN59" s="11">
        <f>Ohj.lask.[[#This Row],[Jaettava € 3]]+Ohj.lask.[[#This Row],[Jaettava € 4]]+Ohj.lask.[[#This Row],[Jaettava € 5]]+Ohj.lask.[[#This Row],[Jaettava € 6]]+Ohj.lask.[[#This Row],[Jaettava € 7]]</f>
        <v>2784252</v>
      </c>
      <c r="AO59" s="34">
        <f>Ohj.lask.[[#This Row],[Jaettava € 8]]+Ohj.lask.[[#This Row],[Harkinnanvarainen korotus yhteensä, €]]</f>
        <v>24336487</v>
      </c>
      <c r="AP59" s="12">
        <v>0</v>
      </c>
      <c r="AQ59" s="34">
        <f>Ohj.lask.[[#This Row],[Perus-, suoritus- ja vaikuttavuusrahoitus yhteensä, €]]+Ohj.lask.[[#This Row],[Alv-korvaus, €]]</f>
        <v>24336487</v>
      </c>
    </row>
    <row r="60" spans="1:43" ht="12.75" x14ac:dyDescent="0.2">
      <c r="A60" s="4" t="s">
        <v>270</v>
      </c>
      <c r="B60" s="8" t="s">
        <v>59</v>
      </c>
      <c r="C60" s="8" t="s">
        <v>186</v>
      </c>
      <c r="D60" s="8" t="s">
        <v>325</v>
      </c>
      <c r="E60" s="8" t="s">
        <v>375</v>
      </c>
      <c r="F60" s="106">
        <v>5467</v>
      </c>
      <c r="G60" s="33">
        <v>5556</v>
      </c>
      <c r="H60" s="9">
        <f>IFERROR(VLOOKUP(Ohj.lask.[[#This Row],[Y-tunnus]],'2.1 Toteut. op.vuodet'!$A:$T,COLUMN('2.1 Toteut. op.vuodet'!S:S),FALSE),0)</f>
        <v>1.0786879262236451</v>
      </c>
      <c r="I60" s="74">
        <f t="shared" si="1"/>
        <v>5993.2</v>
      </c>
      <c r="J60" s="10">
        <f>IFERROR(Ohj.lask.[[#This Row],[Painotetut opiskelija-vuodet]]/Ohj.lask.[[#Totals],[Painotetut opiskelija-vuodet]],0)</f>
        <v>2.9103658595806259E-2</v>
      </c>
      <c r="K60" s="11">
        <f>ROUND(IFERROR('1.1 Jakotaulu'!L$12*Ohj.lask.[[#This Row],[%-osuus 1]],0),0)</f>
        <v>41376584</v>
      </c>
      <c r="L60" s="139">
        <f>IFERROR(ROUND(VLOOKUP(Ohj.lask.[[#This Row],[Y-tunnus]],'2.2 Tutk. ja osien pain. pist.'!$A:$Q,COLUMN('2.2 Tutk. ja osien pain. pist.'!O:O),FALSE),1),0)</f>
        <v>453542.8</v>
      </c>
      <c r="M60" s="10">
        <f>IFERROR(Ohj.lask.[[#This Row],[Painotetut pisteet 2]]/Ohj.lask.[[#Totals],[Painotetut pisteet 2]],0)</f>
        <v>2.8796698456110541E-2</v>
      </c>
      <c r="N60" s="17">
        <f>ROUND(IFERROR('1.1 Jakotaulu'!K$13*Ohj.lask.[[#This Row],[%-osuus 2]],0),0)</f>
        <v>11885981</v>
      </c>
      <c r="O60" s="140">
        <f>IFERROR(ROUND(VLOOKUP(Ohj.lask.[[#This Row],[Y-tunnus]],'2.3 Työll. ja jatko-opisk.'!$A:$Y,COLUMN('2.3 Työll. ja jatko-opisk.'!L:L),FALSE),1),0)</f>
        <v>10916.7</v>
      </c>
      <c r="P60" s="10">
        <f>IFERROR(Ohj.lask.[[#This Row],[Painotetut pisteet 3]]/Ohj.lask.[[#Totals],[Painotetut pisteet 3]],0)</f>
        <v>3.2343334059204421E-2</v>
      </c>
      <c r="Q60" s="11">
        <f>ROUND(IFERROR('1.1 Jakotaulu'!L$15*Ohj.lask.[[#This Row],[%-osuus 3]],0),0)</f>
        <v>4672444</v>
      </c>
      <c r="R60" s="139">
        <f>IFERROR(ROUND(VLOOKUP(Ohj.lask.[[#This Row],[Y-tunnus]],'2.4 Aloittaneet palaute'!$A:$I,COLUMN('2.4 Aloittaneet palaute'!H:H),FALSE),1),0)</f>
        <v>62576.9</v>
      </c>
      <c r="S60" s="14">
        <f>IFERROR(Ohj.lask.[[#This Row],[Painotetut pisteet 4]]/Ohj.lask.[[#Totals],[Painotetut pisteet 4]],0)</f>
        <v>3.5991666406407233E-2</v>
      </c>
      <c r="T60" s="17">
        <f>ROUND(IFERROR('1.1 Jakotaulu'!M$17*Ohj.lask.[[#This Row],[%-osuus 4]],0),0)</f>
        <v>278544</v>
      </c>
      <c r="U60" s="139">
        <f>IFERROR(ROUND(VLOOKUP(Ohj.lask.[[#This Row],[Y-tunnus]],'2.5 Päättäneet palaute'!$A:$Y,COLUMN('2.5 Päättäneet palaute'!X:X),FALSE),1),0)</f>
        <v>380072</v>
      </c>
      <c r="V60" s="14">
        <f>IFERROR(Ohj.lask.[[#This Row],[Painotetut pisteet 5]]/Ohj.lask.[[#Totals],[Painotetut pisteet 5]],0)</f>
        <v>3.4250921941255646E-2</v>
      </c>
      <c r="W60" s="17">
        <f>ROUND(IFERROR('1.1 Jakotaulu'!M$18*Ohj.lask.[[#This Row],[%-osuus 5]],0),0)</f>
        <v>795218</v>
      </c>
      <c r="X60" s="139">
        <f>IFERROR(ROUND(VLOOKUP(Ohj.lask.[[#This Row],[Y-tunnus]],'2.6 Työpaikkaohjaajakysely'!A:I,COLUMN('2.6 Työpaikkaohjaajakysely'!H:H),FALSE),1),0)</f>
        <v>16803452.399999999</v>
      </c>
      <c r="Y60" s="10">
        <f>IFERROR(Ohj.lask.[[#This Row],[Painotetut pisteet 6]]/Ohj.lask.[[#Totals],[Painotetut pisteet 6]],0)</f>
        <v>4.8965842013150164E-2</v>
      </c>
      <c r="Z60" s="17">
        <f>ROUND(IFERROR('1.1 Jakotaulu'!M$20*Ohj.lask.[[#This Row],[%-osuus 6]],0),0)</f>
        <v>1136860</v>
      </c>
      <c r="AA60" s="139">
        <f>IFERROR(ROUND(VLOOKUP(Ohj.lask.[[#This Row],[Y-tunnus]],'2.7 Työpaikkakysely'!A:G,COLUMN('2.7 Työpaikkakysely'!F:F),FALSE),1),0)</f>
        <v>15251121</v>
      </c>
      <c r="AB60" s="10">
        <f>IFERROR(Ohj.lask.[[#This Row],[Pisteet 7]]/Ohj.lask.[[#Totals],[Pisteet 7]],0)</f>
        <v>7.452341726789076E-2</v>
      </c>
      <c r="AC60" s="17">
        <f>ROUND(IFERROR('1.1 Jakotaulu'!M$21*Ohj.lask.[[#This Row],[%-osuus 7]],0),0)</f>
        <v>576747</v>
      </c>
      <c r="AD60" s="13">
        <f>IFERROR(Ohj.lask.[[#This Row],[Jaettava € 8]]/Ohj.lask.[[#Totals],[Jaettava € 8]],"")</f>
        <v>2.9753780405285625E-2</v>
      </c>
      <c r="AE6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60722378</v>
      </c>
      <c r="AF60" s="103">
        <v>0</v>
      </c>
      <c r="AG60" s="103">
        <v>0</v>
      </c>
      <c r="AH60" s="107">
        <v>0</v>
      </c>
      <c r="AI60" s="33">
        <v>104000</v>
      </c>
      <c r="AJ60" s="107">
        <v>35000</v>
      </c>
      <c r="AK6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139000</v>
      </c>
      <c r="AL60" s="11">
        <f>Ohj.lask.[[#This Row],[Jaettava € 1]]+Ohj.lask.[[#This Row],[Harkinnanvarainen korotus yhteensä, €]]</f>
        <v>41515584</v>
      </c>
      <c r="AM60" s="103">
        <f>Ohj.lask.[[#This Row],[Jaettava € 2]]</f>
        <v>11885981</v>
      </c>
      <c r="AN60" s="11">
        <f>Ohj.lask.[[#This Row],[Jaettava € 3]]+Ohj.lask.[[#This Row],[Jaettava € 4]]+Ohj.lask.[[#This Row],[Jaettava € 5]]+Ohj.lask.[[#This Row],[Jaettava € 6]]+Ohj.lask.[[#This Row],[Jaettava € 7]]</f>
        <v>7459813</v>
      </c>
      <c r="AO60" s="34">
        <f>Ohj.lask.[[#This Row],[Jaettava € 8]]+Ohj.lask.[[#This Row],[Harkinnanvarainen korotus yhteensä, €]]</f>
        <v>60861378</v>
      </c>
      <c r="AP60" s="12">
        <v>0</v>
      </c>
      <c r="AQ60" s="34">
        <f>Ohj.lask.[[#This Row],[Perus-, suoritus- ja vaikuttavuusrahoitus yhteensä, €]]+Ohj.lask.[[#This Row],[Alv-korvaus, €]]</f>
        <v>60861378</v>
      </c>
    </row>
    <row r="61" spans="1:43" ht="12.75" x14ac:dyDescent="0.2">
      <c r="A61" s="4" t="s">
        <v>230</v>
      </c>
      <c r="B61" s="8" t="s">
        <v>469</v>
      </c>
      <c r="C61" s="8" t="s">
        <v>181</v>
      </c>
      <c r="D61" s="8" t="s">
        <v>325</v>
      </c>
      <c r="E61" s="8" t="s">
        <v>375</v>
      </c>
      <c r="F61" s="106">
        <v>890</v>
      </c>
      <c r="G61" s="33">
        <v>1023</v>
      </c>
      <c r="H61" s="9">
        <f>IFERROR(VLOOKUP(Ohj.lask.[[#This Row],[Y-tunnus]],'2.1 Toteut. op.vuodet'!$A:$T,COLUMN('2.1 Toteut. op.vuodet'!S:S),FALSE),0)</f>
        <v>1.2413600743705044</v>
      </c>
      <c r="I61" s="74">
        <f t="shared" si="1"/>
        <v>1269.9000000000001</v>
      </c>
      <c r="J61" s="10">
        <f>IFERROR(Ohj.lask.[[#This Row],[Painotetut opiskelija-vuodet]]/Ohj.lask.[[#Totals],[Painotetut opiskelija-vuodet]],0)</f>
        <v>6.1667783572739729E-3</v>
      </c>
      <c r="K61" s="11">
        <f>ROUND(IFERROR('1.1 Jakotaulu'!L$12*Ohj.lask.[[#This Row],[%-osuus 1]],0),0)</f>
        <v>8767290</v>
      </c>
      <c r="L61" s="139">
        <f>IFERROR(ROUND(VLOOKUP(Ohj.lask.[[#This Row],[Y-tunnus]],'2.2 Tutk. ja osien pain. pist.'!$A:$Q,COLUMN('2.2 Tutk. ja osien pain. pist.'!O:O),FALSE),1),0)</f>
        <v>86644.2</v>
      </c>
      <c r="M61" s="10">
        <f>IFERROR(Ohj.lask.[[#This Row],[Painotetut pisteet 2]]/Ohj.lask.[[#Totals],[Painotetut pisteet 2]],0)</f>
        <v>5.5012821289874576E-3</v>
      </c>
      <c r="N61" s="17">
        <f>ROUND(IFERROR('1.1 Jakotaulu'!K$13*Ohj.lask.[[#This Row],[%-osuus 2]],0),0)</f>
        <v>2270682</v>
      </c>
      <c r="O61" s="140">
        <f>IFERROR(ROUND(VLOOKUP(Ohj.lask.[[#This Row],[Y-tunnus]],'2.3 Työll. ja jatko-opisk.'!$A:$Y,COLUMN('2.3 Työll. ja jatko-opisk.'!L:L),FALSE),1),0)</f>
        <v>1861.5</v>
      </c>
      <c r="P61" s="10">
        <f>IFERROR(Ohj.lask.[[#This Row],[Painotetut pisteet 3]]/Ohj.lask.[[#Totals],[Painotetut pisteet 3]],0)</f>
        <v>5.5151388561753114E-3</v>
      </c>
      <c r="Q61" s="11">
        <f>ROUND(IFERROR('1.1 Jakotaulu'!L$15*Ohj.lask.[[#This Row],[%-osuus 3]],0),0)</f>
        <v>796738</v>
      </c>
      <c r="R61" s="139">
        <f>IFERROR(ROUND(VLOOKUP(Ohj.lask.[[#This Row],[Y-tunnus]],'2.4 Aloittaneet palaute'!$A:$I,COLUMN('2.4 Aloittaneet palaute'!H:H),FALSE),1),0)</f>
        <v>10872.3</v>
      </c>
      <c r="S61" s="14">
        <f>IFERROR(Ohj.lask.[[#This Row],[Painotetut pisteet 4]]/Ohj.lask.[[#Totals],[Painotetut pisteet 4]],0)</f>
        <v>6.253301053110354E-3</v>
      </c>
      <c r="T61" s="17">
        <f>ROUND(IFERROR('1.1 Jakotaulu'!M$17*Ohj.lask.[[#This Row],[%-osuus 4]],0),0)</f>
        <v>48395</v>
      </c>
      <c r="U61" s="139">
        <f>IFERROR(ROUND(VLOOKUP(Ohj.lask.[[#This Row],[Y-tunnus]],'2.5 Päättäneet palaute'!$A:$Y,COLUMN('2.5 Päättäneet palaute'!X:X),FALSE),1),0)</f>
        <v>51403</v>
      </c>
      <c r="V61" s="14">
        <f>IFERROR(Ohj.lask.[[#This Row],[Painotetut pisteet 5]]/Ohj.lask.[[#Totals],[Painotetut pisteet 5]],0)</f>
        <v>4.6322805693299269E-3</v>
      </c>
      <c r="W61" s="17">
        <f>ROUND(IFERROR('1.1 Jakotaulu'!M$18*Ohj.lask.[[#This Row],[%-osuus 5]],0),0)</f>
        <v>107550</v>
      </c>
      <c r="X61" s="139">
        <f>IFERROR(ROUND(VLOOKUP(Ohj.lask.[[#This Row],[Y-tunnus]],'2.6 Työpaikkaohjaajakysely'!A:I,COLUMN('2.6 Työpaikkaohjaajakysely'!H:H),FALSE),1),0)</f>
        <v>1202626.5</v>
      </c>
      <c r="Y61" s="10">
        <f>IFERROR(Ohj.lask.[[#This Row],[Painotetut pisteet 6]]/Ohj.lask.[[#Totals],[Painotetut pisteet 6]],0)</f>
        <v>3.5044952547863164E-3</v>
      </c>
      <c r="Z61" s="17">
        <f>ROUND(IFERROR('1.1 Jakotaulu'!M$20*Ohj.lask.[[#This Row],[%-osuus 6]],0),0)</f>
        <v>81365</v>
      </c>
      <c r="AA61" s="139">
        <f>IFERROR(ROUND(VLOOKUP(Ohj.lask.[[#This Row],[Y-tunnus]],'2.7 Työpaikkakysely'!A:G,COLUMN('2.7 Työpaikkakysely'!F:F),FALSE),1),0)</f>
        <v>693998</v>
      </c>
      <c r="AB61" s="10">
        <f>IFERROR(Ohj.lask.[[#This Row],[Pisteet 7]]/Ohj.lask.[[#Totals],[Pisteet 7]],0)</f>
        <v>3.3911672812170107E-3</v>
      </c>
      <c r="AC61" s="17">
        <f>ROUND(IFERROR('1.1 Jakotaulu'!M$21*Ohj.lask.[[#This Row],[%-osuus 7]],0),0)</f>
        <v>26245</v>
      </c>
      <c r="AD61" s="13">
        <f>IFERROR(Ohj.lask.[[#This Row],[Jaettava € 8]]/Ohj.lask.[[#Totals],[Jaettava € 8]],"")</f>
        <v>5.928113027703772E-3</v>
      </c>
      <c r="AE6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12098265</v>
      </c>
      <c r="AF61" s="103">
        <v>0</v>
      </c>
      <c r="AG61" s="103">
        <v>0</v>
      </c>
      <c r="AH61" s="107">
        <v>0</v>
      </c>
      <c r="AI61" s="33">
        <v>7000</v>
      </c>
      <c r="AJ61" s="107">
        <v>0</v>
      </c>
      <c r="AK6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7000</v>
      </c>
      <c r="AL61" s="11">
        <f>Ohj.lask.[[#This Row],[Jaettava € 1]]+Ohj.lask.[[#This Row],[Harkinnanvarainen korotus yhteensä, €]]</f>
        <v>8774290</v>
      </c>
      <c r="AM61" s="103">
        <f>Ohj.lask.[[#This Row],[Jaettava € 2]]</f>
        <v>2270682</v>
      </c>
      <c r="AN61" s="11">
        <f>Ohj.lask.[[#This Row],[Jaettava € 3]]+Ohj.lask.[[#This Row],[Jaettava € 4]]+Ohj.lask.[[#This Row],[Jaettava € 5]]+Ohj.lask.[[#This Row],[Jaettava € 6]]+Ohj.lask.[[#This Row],[Jaettava € 7]]</f>
        <v>1060293</v>
      </c>
      <c r="AO61" s="34">
        <f>Ohj.lask.[[#This Row],[Jaettava € 8]]+Ohj.lask.[[#This Row],[Harkinnanvarainen korotus yhteensä, €]]</f>
        <v>12105265</v>
      </c>
      <c r="AP61" s="12">
        <v>0</v>
      </c>
      <c r="AQ61" s="34">
        <f>Ohj.lask.[[#This Row],[Perus-, suoritus- ja vaikuttavuusrahoitus yhteensä, €]]+Ohj.lask.[[#This Row],[Alv-korvaus, €]]</f>
        <v>12105265</v>
      </c>
    </row>
    <row r="62" spans="1:43" ht="12.75" customHeight="1" x14ac:dyDescent="0.2">
      <c r="A62" s="4" t="s">
        <v>244</v>
      </c>
      <c r="B62" s="8" t="s">
        <v>438</v>
      </c>
      <c r="C62" s="8" t="s">
        <v>181</v>
      </c>
      <c r="D62" s="8" t="s">
        <v>325</v>
      </c>
      <c r="E62" s="8" t="s">
        <v>375</v>
      </c>
      <c r="F62" s="106">
        <v>6490</v>
      </c>
      <c r="G62" s="33">
        <v>6443</v>
      </c>
      <c r="H62" s="9">
        <f>IFERROR(VLOOKUP(Ohj.lask.[[#This Row],[Y-tunnus]],'2.1 Toteut. op.vuodet'!$A:$T,COLUMN('2.1 Toteut. op.vuodet'!S:S),FALSE),0)</f>
        <v>1.1696397235247555</v>
      </c>
      <c r="I62" s="74">
        <f t="shared" si="1"/>
        <v>7536</v>
      </c>
      <c r="J62" s="10">
        <f>IFERROR(Ohj.lask.[[#This Row],[Painotetut opiskelija-vuodet]]/Ohj.lask.[[#Totals],[Painotetut opiskelija-vuodet]],0)</f>
        <v>3.6595670289327233E-2</v>
      </c>
      <c r="K62" s="11">
        <f>ROUND(IFERROR('1.1 Jakotaulu'!L$12*Ohj.lask.[[#This Row],[%-osuus 1]],0),0)</f>
        <v>52027955</v>
      </c>
      <c r="L62" s="139">
        <f>IFERROR(ROUND(VLOOKUP(Ohj.lask.[[#This Row],[Y-tunnus]],'2.2 Tutk. ja osien pain. pist.'!$A:$Q,COLUMN('2.2 Tutk. ja osien pain. pist.'!O:O),FALSE),1),0)</f>
        <v>632885</v>
      </c>
      <c r="M62" s="10">
        <f>IFERROR(Ohj.lask.[[#This Row],[Painotetut pisteet 2]]/Ohj.lask.[[#Totals],[Painotetut pisteet 2]],0)</f>
        <v>4.0183635375526897E-2</v>
      </c>
      <c r="N62" s="17">
        <f>ROUND(IFERROR('1.1 Jakotaulu'!K$13*Ohj.lask.[[#This Row],[%-osuus 2]],0),0)</f>
        <v>16585996</v>
      </c>
      <c r="O62" s="140">
        <f>IFERROR(ROUND(VLOOKUP(Ohj.lask.[[#This Row],[Y-tunnus]],'2.3 Työll. ja jatko-opisk.'!$A:$Y,COLUMN('2.3 Työll. ja jatko-opisk.'!L:L),FALSE),1),0)</f>
        <v>13622.4</v>
      </c>
      <c r="P62" s="10">
        <f>IFERROR(Ohj.lask.[[#This Row],[Painotetut pisteet 3]]/Ohj.lask.[[#Totals],[Painotetut pisteet 3]],0)</f>
        <v>4.035961727336157E-2</v>
      </c>
      <c r="Q62" s="11">
        <f>ROUND(IFERROR('1.1 Jakotaulu'!L$15*Ohj.lask.[[#This Row],[%-osuus 3]],0),0)</f>
        <v>5830508</v>
      </c>
      <c r="R62" s="139">
        <f>IFERROR(ROUND(VLOOKUP(Ohj.lask.[[#This Row],[Y-tunnus]],'2.4 Aloittaneet palaute'!$A:$I,COLUMN('2.4 Aloittaneet palaute'!H:H),FALSE),1),0)</f>
        <v>43233.5</v>
      </c>
      <c r="S62" s="14">
        <f>IFERROR(Ohj.lask.[[#This Row],[Painotetut pisteet 4]]/Ohj.lask.[[#Totals],[Painotetut pisteet 4]],0)</f>
        <v>2.4866136059494909E-2</v>
      </c>
      <c r="T62" s="17">
        <f>ROUND(IFERROR('1.1 Jakotaulu'!M$17*Ohj.lask.[[#This Row],[%-osuus 4]],0),0)</f>
        <v>192442</v>
      </c>
      <c r="U62" s="139">
        <f>IFERROR(ROUND(VLOOKUP(Ohj.lask.[[#This Row],[Y-tunnus]],'2.5 Päättäneet palaute'!$A:$Y,COLUMN('2.5 Päättäneet palaute'!X:X),FALSE),1),0)</f>
        <v>409891.9</v>
      </c>
      <c r="V62" s="14">
        <f>IFERROR(Ohj.lask.[[#This Row],[Painotetut pisteet 5]]/Ohj.lask.[[#Totals],[Painotetut pisteet 5]],0)</f>
        <v>3.6938199791757789E-2</v>
      </c>
      <c r="W62" s="17">
        <f>ROUND(IFERROR('1.1 Jakotaulu'!M$18*Ohj.lask.[[#This Row],[%-osuus 5]],0),0)</f>
        <v>857609</v>
      </c>
      <c r="X62" s="139">
        <f>IFERROR(ROUND(VLOOKUP(Ohj.lask.[[#This Row],[Y-tunnus]],'2.6 Työpaikkaohjaajakysely'!A:I,COLUMN('2.6 Työpaikkaohjaajakysely'!H:H),FALSE),1),0)</f>
        <v>14073934.699999999</v>
      </c>
      <c r="Y62" s="10">
        <f>IFERROR(Ohj.lask.[[#This Row],[Painotetut pisteet 6]]/Ohj.lask.[[#Totals],[Painotetut pisteet 6]],0)</f>
        <v>4.1011932942041841E-2</v>
      </c>
      <c r="Z62" s="17">
        <f>ROUND(IFERROR('1.1 Jakotaulu'!M$20*Ohj.lask.[[#This Row],[%-osuus 6]],0),0)</f>
        <v>952191</v>
      </c>
      <c r="AA62" s="139">
        <f>IFERROR(ROUND(VLOOKUP(Ohj.lask.[[#This Row],[Y-tunnus]],'2.7 Työpaikkakysely'!A:G,COLUMN('2.7 Työpaikkakysely'!F:F),FALSE),1),0)</f>
        <v>10685325.6</v>
      </c>
      <c r="AB62" s="10">
        <f>IFERROR(Ohj.lask.[[#This Row],[Pisteet 7]]/Ohj.lask.[[#Totals],[Pisteet 7]],0)</f>
        <v>5.2213012953741249E-2</v>
      </c>
      <c r="AC62" s="17">
        <f>ROUND(IFERROR('1.1 Jakotaulu'!M$21*Ohj.lask.[[#This Row],[%-osuus 7]],0),0)</f>
        <v>404084</v>
      </c>
      <c r="AD62" s="13">
        <f>IFERROR(Ohj.lask.[[#This Row],[Jaettava € 8]]/Ohj.lask.[[#Totals],[Jaettava € 8]],"")</f>
        <v>3.7656650746843587E-2</v>
      </c>
      <c r="AE6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76850785</v>
      </c>
      <c r="AF62" s="103">
        <v>0</v>
      </c>
      <c r="AG62" s="103">
        <v>0</v>
      </c>
      <c r="AH62" s="107">
        <v>0</v>
      </c>
      <c r="AI62" s="33">
        <v>84000</v>
      </c>
      <c r="AJ62" s="107">
        <v>51000</v>
      </c>
      <c r="AK6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135000</v>
      </c>
      <c r="AL62" s="11">
        <f>Ohj.lask.[[#This Row],[Jaettava € 1]]+Ohj.lask.[[#This Row],[Harkinnanvarainen korotus yhteensä, €]]</f>
        <v>52162955</v>
      </c>
      <c r="AM62" s="103">
        <f>Ohj.lask.[[#This Row],[Jaettava € 2]]</f>
        <v>16585996</v>
      </c>
      <c r="AN62" s="11">
        <f>Ohj.lask.[[#This Row],[Jaettava € 3]]+Ohj.lask.[[#This Row],[Jaettava € 4]]+Ohj.lask.[[#This Row],[Jaettava € 5]]+Ohj.lask.[[#This Row],[Jaettava € 6]]+Ohj.lask.[[#This Row],[Jaettava € 7]]</f>
        <v>8236834</v>
      </c>
      <c r="AO62" s="34">
        <f>Ohj.lask.[[#This Row],[Jaettava € 8]]+Ohj.lask.[[#This Row],[Harkinnanvarainen korotus yhteensä, €]]</f>
        <v>76985785</v>
      </c>
      <c r="AP62" s="12">
        <v>0</v>
      </c>
      <c r="AQ62" s="34">
        <f>Ohj.lask.[[#This Row],[Perus-, suoritus- ja vaikuttavuusrahoitus yhteensä, €]]+Ohj.lask.[[#This Row],[Alv-korvaus, €]]</f>
        <v>76985785</v>
      </c>
    </row>
    <row r="63" spans="1:43" ht="15" customHeight="1" x14ac:dyDescent="0.2">
      <c r="A63" s="4" t="s">
        <v>269</v>
      </c>
      <c r="B63" s="8" t="s">
        <v>60</v>
      </c>
      <c r="C63" s="8" t="s">
        <v>256</v>
      </c>
      <c r="D63" s="8" t="s">
        <v>325</v>
      </c>
      <c r="E63" s="8" t="s">
        <v>375</v>
      </c>
      <c r="F63" s="106">
        <v>2108</v>
      </c>
      <c r="G63" s="33">
        <v>2128</v>
      </c>
      <c r="H63" s="9">
        <f>IFERROR(VLOOKUP(Ohj.lask.[[#This Row],[Y-tunnus]],'2.1 Toteut. op.vuodet'!$A:$T,COLUMN('2.1 Toteut. op.vuodet'!S:S),FALSE),0)</f>
        <v>1.1090217200166996</v>
      </c>
      <c r="I63" s="74">
        <f t="shared" si="1"/>
        <v>2360</v>
      </c>
      <c r="J63" s="10">
        <f>IFERROR(Ohj.lask.[[#This Row],[Painotetut opiskelija-vuodet]]/Ohj.lask.[[#Totals],[Painotetut opiskelija-vuodet]],0)</f>
        <v>1.1460427532220312E-2</v>
      </c>
      <c r="K63" s="11">
        <f>ROUND(IFERROR('1.1 Jakotaulu'!L$12*Ohj.lask.[[#This Row],[%-osuus 1]],0),0)</f>
        <v>16293255</v>
      </c>
      <c r="L63" s="139">
        <f>IFERROR(ROUND(VLOOKUP(Ohj.lask.[[#This Row],[Y-tunnus]],'2.2 Tutk. ja osien pain. pist.'!$A:$Q,COLUMN('2.2 Tutk. ja osien pain. pist.'!O:O),FALSE),1),0)</f>
        <v>182737.5</v>
      </c>
      <c r="M63" s="10">
        <f>IFERROR(Ohj.lask.[[#This Row],[Painotetut pisteet 2]]/Ohj.lask.[[#Totals],[Painotetut pisteet 2]],0)</f>
        <v>1.1602513994541418E-2</v>
      </c>
      <c r="N63" s="17">
        <f>ROUND(IFERROR('1.1 Jakotaulu'!K$13*Ohj.lask.[[#This Row],[%-osuus 2]],0),0)</f>
        <v>4788996</v>
      </c>
      <c r="O63" s="140">
        <f>IFERROR(ROUND(VLOOKUP(Ohj.lask.[[#This Row],[Y-tunnus]],'2.3 Työll. ja jatko-opisk.'!$A:$Y,COLUMN('2.3 Työll. ja jatko-opisk.'!L:L),FALSE),1),0)</f>
        <v>4200.7</v>
      </c>
      <c r="P63" s="10">
        <f>IFERROR(Ohj.lask.[[#This Row],[Painotetut pisteet 3]]/Ohj.lask.[[#Totals],[Painotetut pisteet 3]],0)</f>
        <v>1.2445578185944469E-2</v>
      </c>
      <c r="Q63" s="11">
        <f>ROUND(IFERROR('1.1 Jakotaulu'!L$15*Ohj.lask.[[#This Row],[%-osuus 3]],0),0)</f>
        <v>1797937</v>
      </c>
      <c r="R63" s="139">
        <f>IFERROR(ROUND(VLOOKUP(Ohj.lask.[[#This Row],[Y-tunnus]],'2.4 Aloittaneet palaute'!$A:$I,COLUMN('2.4 Aloittaneet palaute'!H:H),FALSE),1),0)</f>
        <v>20222.099999999999</v>
      </c>
      <c r="S63" s="14">
        <f>IFERROR(Ohj.lask.[[#This Row],[Painotetut pisteet 4]]/Ohj.lask.[[#Totals],[Painotetut pisteet 4]],0)</f>
        <v>1.1630922548688217E-2</v>
      </c>
      <c r="T63" s="17">
        <f>ROUND(IFERROR('1.1 Jakotaulu'!M$17*Ohj.lask.[[#This Row],[%-osuus 4]],0),0)</f>
        <v>90013</v>
      </c>
      <c r="U63" s="139">
        <f>IFERROR(ROUND(VLOOKUP(Ohj.lask.[[#This Row],[Y-tunnus]],'2.5 Päättäneet palaute'!$A:$Y,COLUMN('2.5 Päättäneet palaute'!X:X),FALSE),1),0)</f>
        <v>131578.70000000001</v>
      </c>
      <c r="V63" s="14">
        <f>IFERROR(Ohj.lask.[[#This Row],[Painotetut pisteet 5]]/Ohj.lask.[[#Totals],[Painotetut pisteet 5]],0)</f>
        <v>1.1857468539729037E-2</v>
      </c>
      <c r="W63" s="17">
        <f>ROUND(IFERROR('1.1 Jakotaulu'!M$18*Ohj.lask.[[#This Row],[%-osuus 5]],0),0)</f>
        <v>275300</v>
      </c>
      <c r="X63" s="139">
        <f>IFERROR(ROUND(VLOOKUP(Ohj.lask.[[#This Row],[Y-tunnus]],'2.6 Työpaikkaohjaajakysely'!A:I,COLUMN('2.6 Työpaikkaohjaajakysely'!H:H),FALSE),1),0)</f>
        <v>4831762.5999999996</v>
      </c>
      <c r="Y63" s="10">
        <f>IFERROR(Ohj.lask.[[#This Row],[Painotetut pisteet 6]]/Ohj.lask.[[#Totals],[Painotetut pisteet 6]],0)</f>
        <v>1.4079923487428554E-2</v>
      </c>
      <c r="Z63" s="17">
        <f>ROUND(IFERROR('1.1 Jakotaulu'!M$20*Ohj.lask.[[#This Row],[%-osuus 6]],0),0)</f>
        <v>326899</v>
      </c>
      <c r="AA63" s="139">
        <f>IFERROR(ROUND(VLOOKUP(Ohj.lask.[[#This Row],[Y-tunnus]],'2.7 Työpaikkakysely'!A:G,COLUMN('2.7 Työpaikkakysely'!F:F),FALSE),1),0)</f>
        <v>2752046</v>
      </c>
      <c r="AB63" s="10">
        <f>IFERROR(Ohj.lask.[[#This Row],[Pisteet 7]]/Ohj.lask.[[#Totals],[Pisteet 7]],0)</f>
        <v>1.3447658857236115E-2</v>
      </c>
      <c r="AC63" s="17">
        <f>ROUND(IFERROR('1.1 Jakotaulu'!M$21*Ohj.lask.[[#This Row],[%-osuus 7]],0),0)</f>
        <v>104073</v>
      </c>
      <c r="AD63" s="13">
        <f>IFERROR(Ohj.lask.[[#This Row],[Jaettava € 8]]/Ohj.lask.[[#Totals],[Jaettava € 8]],"")</f>
        <v>1.1601399708253754E-2</v>
      </c>
      <c r="AE6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23676473</v>
      </c>
      <c r="AF63" s="103">
        <v>0</v>
      </c>
      <c r="AG63" s="103">
        <v>0</v>
      </c>
      <c r="AH63" s="107">
        <v>0</v>
      </c>
      <c r="AI63" s="33">
        <v>29000</v>
      </c>
      <c r="AJ63" s="107">
        <v>0</v>
      </c>
      <c r="AK6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29000</v>
      </c>
      <c r="AL63" s="11">
        <f>Ohj.lask.[[#This Row],[Jaettava € 1]]+Ohj.lask.[[#This Row],[Harkinnanvarainen korotus yhteensä, €]]</f>
        <v>16322255</v>
      </c>
      <c r="AM63" s="103">
        <f>Ohj.lask.[[#This Row],[Jaettava € 2]]</f>
        <v>4788996</v>
      </c>
      <c r="AN63" s="11">
        <f>Ohj.lask.[[#This Row],[Jaettava € 3]]+Ohj.lask.[[#This Row],[Jaettava € 4]]+Ohj.lask.[[#This Row],[Jaettava € 5]]+Ohj.lask.[[#This Row],[Jaettava € 6]]+Ohj.lask.[[#This Row],[Jaettava € 7]]</f>
        <v>2594222</v>
      </c>
      <c r="AO63" s="34">
        <f>Ohj.lask.[[#This Row],[Jaettava € 8]]+Ohj.lask.[[#This Row],[Harkinnanvarainen korotus yhteensä, €]]</f>
        <v>23705473</v>
      </c>
      <c r="AP63" s="12">
        <v>0</v>
      </c>
      <c r="AQ63" s="34">
        <f>Ohj.lask.[[#This Row],[Perus-, suoritus- ja vaikuttavuusrahoitus yhteensä, €]]+Ohj.lask.[[#This Row],[Alv-korvaus, €]]</f>
        <v>23705473</v>
      </c>
    </row>
    <row r="64" spans="1:43" ht="12.75" customHeight="1" x14ac:dyDescent="0.2">
      <c r="A64" s="4" t="s">
        <v>472</v>
      </c>
      <c r="B64" s="8" t="s">
        <v>473</v>
      </c>
      <c r="C64" s="8" t="s">
        <v>188</v>
      </c>
      <c r="D64" s="8" t="s">
        <v>326</v>
      </c>
      <c r="E64" s="8" t="s">
        <v>375</v>
      </c>
      <c r="F64" s="106">
        <v>2333</v>
      </c>
      <c r="G64" s="33">
        <v>2283</v>
      </c>
      <c r="H64" s="9">
        <f>IFERROR(VLOOKUP(Ohj.lask.[[#This Row],[Y-tunnus]],'2.1 Toteut. op.vuodet'!$A:$T,COLUMN('2.1 Toteut. op.vuodet'!S:S),FALSE),0)</f>
        <v>1.0648809826527783</v>
      </c>
      <c r="I64" s="74">
        <f t="shared" si="1"/>
        <v>2431.1</v>
      </c>
      <c r="J64" s="10">
        <f>IFERROR(Ohj.lask.[[#This Row],[Painotetut opiskelija-vuodet]]/Ohj.lask.[[#Totals],[Painotetut opiskelija-vuodet]],0)</f>
        <v>1.1805697192195255E-2</v>
      </c>
      <c r="K64" s="11">
        <f>ROUND(IFERROR('1.1 Jakotaulu'!L$12*Ohj.lask.[[#This Row],[%-osuus 1]],0),0)</f>
        <v>16784124</v>
      </c>
      <c r="L64" s="139">
        <f>IFERROR(ROUND(VLOOKUP(Ohj.lask.[[#This Row],[Y-tunnus]],'2.2 Tutk. ja osien pain. pist.'!$A:$Q,COLUMN('2.2 Tutk. ja osien pain. pist.'!O:O),FALSE),1),0)</f>
        <v>193090.8</v>
      </c>
      <c r="M64" s="10">
        <f>IFERROR(Ohj.lask.[[#This Row],[Painotetut pisteet 2]]/Ohj.lask.[[#Totals],[Painotetut pisteet 2]],0)</f>
        <v>1.2259873913220866E-2</v>
      </c>
      <c r="N64" s="17">
        <f>ROUND(IFERROR('1.1 Jakotaulu'!K$13*Ohj.lask.[[#This Row],[%-osuus 2]],0),0)</f>
        <v>5060324</v>
      </c>
      <c r="O64" s="140">
        <f>IFERROR(ROUND(VLOOKUP(Ohj.lask.[[#This Row],[Y-tunnus]],'2.3 Työll. ja jatko-opisk.'!$A:$Y,COLUMN('2.3 Työll. ja jatko-opisk.'!L:L),FALSE),1),0)</f>
        <v>4504</v>
      </c>
      <c r="P64" s="10">
        <f>IFERROR(Ohj.lask.[[#This Row],[Painotetut pisteet 3]]/Ohj.lask.[[#Totals],[Painotetut pisteet 3]],0)</f>
        <v>1.3344176958481656E-2</v>
      </c>
      <c r="Q64" s="11">
        <f>ROUND(IFERROR('1.1 Jakotaulu'!L$15*Ohj.lask.[[#This Row],[%-osuus 3]],0),0)</f>
        <v>1927752</v>
      </c>
      <c r="R64" s="139">
        <f>IFERROR(ROUND(VLOOKUP(Ohj.lask.[[#This Row],[Y-tunnus]],'2.4 Aloittaneet palaute'!$A:$I,COLUMN('2.4 Aloittaneet palaute'!H:H),FALSE),1),0)</f>
        <v>20338.7</v>
      </c>
      <c r="S64" s="14">
        <f>IFERROR(Ohj.lask.[[#This Row],[Painotetut pisteet 4]]/Ohj.lask.[[#Totals],[Painotetut pisteet 4]],0)</f>
        <v>1.1697986086559014E-2</v>
      </c>
      <c r="T64" s="17">
        <f>ROUND(IFERROR('1.1 Jakotaulu'!M$17*Ohj.lask.[[#This Row],[%-osuus 4]],0),0)</f>
        <v>90532</v>
      </c>
      <c r="U64" s="139">
        <f>IFERROR(ROUND(VLOOKUP(Ohj.lask.[[#This Row],[Y-tunnus]],'2.5 Päättäneet palaute'!$A:$Y,COLUMN('2.5 Päättäneet palaute'!X:X),FALSE),1),0)</f>
        <v>117950.9</v>
      </c>
      <c r="V64" s="14">
        <f>IFERROR(Ohj.lask.[[#This Row],[Painotetut pisteet 5]]/Ohj.lask.[[#Totals],[Painotetut pisteet 5]],0)</f>
        <v>1.0629373036690024E-2</v>
      </c>
      <c r="W64" s="17">
        <f>ROUND(IFERROR('1.1 Jakotaulu'!M$18*Ohj.lask.[[#This Row],[%-osuus 5]],0),0)</f>
        <v>246787</v>
      </c>
      <c r="X64" s="139">
        <f>IFERROR(ROUND(VLOOKUP(Ohj.lask.[[#This Row],[Y-tunnus]],'2.6 Työpaikkaohjaajakysely'!A:I,COLUMN('2.6 Työpaikkaohjaajakysely'!H:H),FALSE),1),0)</f>
        <v>6560940.5</v>
      </c>
      <c r="Y64" s="10">
        <f>IFERROR(Ohj.lask.[[#This Row],[Painotetut pisteet 6]]/Ohj.lask.[[#Totals],[Painotetut pisteet 6]],0)</f>
        <v>1.9118807750523843E-2</v>
      </c>
      <c r="Z64" s="17">
        <f>ROUND(IFERROR('1.1 Jakotaulu'!M$20*Ohj.lask.[[#This Row],[%-osuus 6]],0),0)</f>
        <v>443889</v>
      </c>
      <c r="AA64" s="139">
        <f>IFERROR(ROUND(VLOOKUP(Ohj.lask.[[#This Row],[Y-tunnus]],'2.7 Työpaikkakysely'!A:G,COLUMN('2.7 Työpaikkakysely'!F:F),FALSE),1),0)</f>
        <v>5788409.5</v>
      </c>
      <c r="AB64" s="10">
        <f>IFERROR(Ohj.lask.[[#This Row],[Pisteet 7]]/Ohj.lask.[[#Totals],[Pisteet 7]],0)</f>
        <v>2.8284613077682812E-2</v>
      </c>
      <c r="AC64" s="17">
        <f>ROUND(IFERROR('1.1 Jakotaulu'!M$21*Ohj.lask.[[#This Row],[%-osuus 7]],0),0)</f>
        <v>218899</v>
      </c>
      <c r="AD64" s="13">
        <f>IFERROR(Ohj.lask.[[#This Row],[Jaettava € 8]]/Ohj.lask.[[#Totals],[Jaettava € 8]],"")</f>
        <v>1.2138355032971863E-2</v>
      </c>
      <c r="AE6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24772307</v>
      </c>
      <c r="AF64" s="103">
        <v>0</v>
      </c>
      <c r="AG64" s="103">
        <v>20000</v>
      </c>
      <c r="AH64" s="107">
        <v>0</v>
      </c>
      <c r="AI64" s="33">
        <v>34000</v>
      </c>
      <c r="AJ64" s="107">
        <v>0</v>
      </c>
      <c r="AK6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54000</v>
      </c>
      <c r="AL64" s="11">
        <f>Ohj.lask.[[#This Row],[Jaettava € 1]]+Ohj.lask.[[#This Row],[Harkinnanvarainen korotus yhteensä, €]]</f>
        <v>16838124</v>
      </c>
      <c r="AM64" s="103">
        <f>Ohj.lask.[[#This Row],[Jaettava € 2]]</f>
        <v>5060324</v>
      </c>
      <c r="AN64" s="11">
        <f>Ohj.lask.[[#This Row],[Jaettava € 3]]+Ohj.lask.[[#This Row],[Jaettava € 4]]+Ohj.lask.[[#This Row],[Jaettava € 5]]+Ohj.lask.[[#This Row],[Jaettava € 6]]+Ohj.lask.[[#This Row],[Jaettava € 7]]</f>
        <v>2927859</v>
      </c>
      <c r="AO64" s="34">
        <f>Ohj.lask.[[#This Row],[Jaettava € 8]]+Ohj.lask.[[#This Row],[Harkinnanvarainen korotus yhteensä, €]]</f>
        <v>24826307</v>
      </c>
      <c r="AP64" s="12">
        <v>2346706</v>
      </c>
      <c r="AQ64" s="34">
        <f>Ohj.lask.[[#This Row],[Perus-, suoritus- ja vaikuttavuusrahoitus yhteensä, €]]+Ohj.lask.[[#This Row],[Alv-korvaus, €]]</f>
        <v>27173013</v>
      </c>
    </row>
    <row r="65" spans="1:43" ht="12.75" x14ac:dyDescent="0.2">
      <c r="A65" s="4" t="s">
        <v>265</v>
      </c>
      <c r="B65" s="8" t="s">
        <v>61</v>
      </c>
      <c r="C65" s="8" t="s">
        <v>181</v>
      </c>
      <c r="D65" s="8" t="s">
        <v>326</v>
      </c>
      <c r="E65" s="8" t="s">
        <v>375</v>
      </c>
      <c r="F65" s="106">
        <v>82</v>
      </c>
      <c r="G65" s="33">
        <v>73</v>
      </c>
      <c r="H65" s="9">
        <f>IFERROR(VLOOKUP(Ohj.lask.[[#This Row],[Y-tunnus]],'2.1 Toteut. op.vuodet'!$A:$T,COLUMN('2.1 Toteut. op.vuodet'!S:S),FALSE),0)</f>
        <v>0.93775702186223353</v>
      </c>
      <c r="I65" s="74">
        <f t="shared" si="1"/>
        <v>68.5</v>
      </c>
      <c r="J65" s="10">
        <f>IFERROR(Ohj.lask.[[#This Row],[Painotetut opiskelija-vuodet]]/Ohj.lask.[[#Totals],[Painotetut opiskelija-vuodet]],0)</f>
        <v>3.3264376523605565E-4</v>
      </c>
      <c r="K65" s="11">
        <f>ROUND(IFERROR('1.1 Jakotaulu'!L$12*Ohj.lask.[[#This Row],[%-osuus 1]],0),0)</f>
        <v>472919</v>
      </c>
      <c r="L65" s="139">
        <f>IFERROR(ROUND(VLOOKUP(Ohj.lask.[[#This Row],[Y-tunnus]],'2.2 Tutk. ja osien pain. pist.'!$A:$Q,COLUMN('2.2 Tutk. ja osien pain. pist.'!O:O),FALSE),1),0)</f>
        <v>4282.3999999999996</v>
      </c>
      <c r="M65" s="10">
        <f>IFERROR(Ohj.lask.[[#This Row],[Painotetut pisteet 2]]/Ohj.lask.[[#Totals],[Painotetut pisteet 2]],0)</f>
        <v>2.7190153050262898E-4</v>
      </c>
      <c r="N65" s="17">
        <f>ROUND(IFERROR('1.1 Jakotaulu'!K$13*Ohj.lask.[[#This Row],[%-osuus 2]],0),0)</f>
        <v>112229</v>
      </c>
      <c r="O65" s="140">
        <f>IFERROR(ROUND(VLOOKUP(Ohj.lask.[[#This Row],[Y-tunnus]],'2.3 Työll. ja jatko-opisk.'!$A:$Y,COLUMN('2.3 Työll. ja jatko-opisk.'!L:L),FALSE),1),0)</f>
        <v>135.69999999999999</v>
      </c>
      <c r="P65" s="10">
        <f>IFERROR(Ohj.lask.[[#This Row],[Painotetut pisteet 3]]/Ohj.lask.[[#Totals],[Painotetut pisteet 3]],0)</f>
        <v>4.0204369743915643E-4</v>
      </c>
      <c r="Q65" s="11">
        <f>ROUND(IFERROR('1.1 Jakotaulu'!L$15*Ohj.lask.[[#This Row],[%-osuus 3]],0),0)</f>
        <v>58081</v>
      </c>
      <c r="R65" s="139">
        <f>IFERROR(ROUND(VLOOKUP(Ohj.lask.[[#This Row],[Y-tunnus]],'2.4 Aloittaneet palaute'!$A:$I,COLUMN('2.4 Aloittaneet palaute'!H:H),FALSE),1),0)</f>
        <v>2135.9</v>
      </c>
      <c r="S65" s="14">
        <f>IFERROR(Ohj.lask.[[#This Row],[Painotetut pisteet 4]]/Ohj.lask.[[#Totals],[Painotetut pisteet 4]],0)</f>
        <v>1.2284820800877833E-3</v>
      </c>
      <c r="T65" s="17">
        <f>ROUND(IFERROR('1.1 Jakotaulu'!M$17*Ohj.lask.[[#This Row],[%-osuus 4]],0),0)</f>
        <v>9507</v>
      </c>
      <c r="U65" s="139">
        <f>IFERROR(ROUND(VLOOKUP(Ohj.lask.[[#This Row],[Y-tunnus]],'2.5 Päättäneet palaute'!$A:$Y,COLUMN('2.5 Päättäneet palaute'!X:X),FALSE),1),0)</f>
        <v>7691.5</v>
      </c>
      <c r="V65" s="14">
        <f>IFERROR(Ohj.lask.[[#This Row],[Painotetut pisteet 5]]/Ohj.lask.[[#Totals],[Painotetut pisteet 5]],0)</f>
        <v>6.9313436956989149E-4</v>
      </c>
      <c r="W65" s="17">
        <f>ROUND(IFERROR('1.1 Jakotaulu'!M$18*Ohj.lask.[[#This Row],[%-osuus 5]],0),0)</f>
        <v>16093</v>
      </c>
      <c r="X65" s="139">
        <f>IFERROR(ROUND(VLOOKUP(Ohj.lask.[[#This Row],[Y-tunnus]],'2.6 Työpaikkaohjaajakysely'!A:I,COLUMN('2.6 Työpaikkaohjaajakysely'!H:H),FALSE),1),0)</f>
        <v>151331</v>
      </c>
      <c r="Y65" s="10">
        <f>IFERROR(Ohj.lask.[[#This Row],[Painotetut pisteet 6]]/Ohj.lask.[[#Totals],[Painotetut pisteet 6]],0)</f>
        <v>4.4098377293537775E-4</v>
      </c>
      <c r="Z65" s="17">
        <f>ROUND(IFERROR('1.1 Jakotaulu'!M$20*Ohj.lask.[[#This Row],[%-osuus 6]],0),0)</f>
        <v>10239</v>
      </c>
      <c r="AA65" s="139">
        <f>IFERROR(ROUND(VLOOKUP(Ohj.lask.[[#This Row],[Y-tunnus]],'2.7 Työpaikkakysely'!A:G,COLUMN('2.7 Työpaikkakysely'!F:F),FALSE),1),0)</f>
        <v>62276.3</v>
      </c>
      <c r="AB65" s="10">
        <f>IFERROR(Ohj.lask.[[#This Row],[Pisteet 7]]/Ohj.lask.[[#Totals],[Pisteet 7]],0)</f>
        <v>3.043082990948892E-4</v>
      </c>
      <c r="AC65" s="17">
        <f>ROUND(IFERROR('1.1 Jakotaulu'!M$21*Ohj.lask.[[#This Row],[%-osuus 7]],0),0)</f>
        <v>2355</v>
      </c>
      <c r="AD65" s="13">
        <f>IFERROR(Ohj.lask.[[#This Row],[Jaettava € 8]]/Ohj.lask.[[#Totals],[Jaettava € 8]],"")</f>
        <v>3.3389519602000677E-4</v>
      </c>
      <c r="AE6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681423</v>
      </c>
      <c r="AF65" s="103">
        <v>0</v>
      </c>
      <c r="AG65" s="103">
        <v>0</v>
      </c>
      <c r="AH65" s="107">
        <v>0</v>
      </c>
      <c r="AI65" s="33">
        <v>2000</v>
      </c>
      <c r="AJ65" s="107">
        <v>0</v>
      </c>
      <c r="AK6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65" s="11">
        <f>Ohj.lask.[[#This Row],[Jaettava € 1]]+Ohj.lask.[[#This Row],[Harkinnanvarainen korotus yhteensä, €]]</f>
        <v>474919</v>
      </c>
      <c r="AM65" s="103">
        <f>Ohj.lask.[[#This Row],[Jaettava € 2]]</f>
        <v>112229</v>
      </c>
      <c r="AN65" s="11">
        <f>Ohj.lask.[[#This Row],[Jaettava € 3]]+Ohj.lask.[[#This Row],[Jaettava € 4]]+Ohj.lask.[[#This Row],[Jaettava € 5]]+Ohj.lask.[[#This Row],[Jaettava € 6]]+Ohj.lask.[[#This Row],[Jaettava € 7]]</f>
        <v>96275</v>
      </c>
      <c r="AO65" s="34">
        <f>Ohj.lask.[[#This Row],[Jaettava € 8]]+Ohj.lask.[[#This Row],[Harkinnanvarainen korotus yhteensä, €]]</f>
        <v>683423</v>
      </c>
      <c r="AP65" s="12">
        <v>50697</v>
      </c>
      <c r="AQ65" s="34">
        <f>Ohj.lask.[[#This Row],[Perus-, suoritus- ja vaikuttavuusrahoitus yhteensä, €]]+Ohj.lask.[[#This Row],[Alv-korvaus, €]]</f>
        <v>734120</v>
      </c>
    </row>
    <row r="66" spans="1:43" ht="12.75" x14ac:dyDescent="0.2">
      <c r="A66" s="4" t="s">
        <v>264</v>
      </c>
      <c r="B66" s="8" t="s">
        <v>496</v>
      </c>
      <c r="C66" s="8" t="s">
        <v>178</v>
      </c>
      <c r="D66" s="8" t="s">
        <v>326</v>
      </c>
      <c r="E66" s="8" t="s">
        <v>375</v>
      </c>
      <c r="F66" s="106">
        <v>48</v>
      </c>
      <c r="G66" s="33">
        <v>45</v>
      </c>
      <c r="H66" s="9">
        <f>IFERROR(VLOOKUP(Ohj.lask.[[#This Row],[Y-tunnus]],'2.1 Toteut. op.vuodet'!$A:$T,COLUMN('2.1 Toteut. op.vuodet'!S:S),FALSE),0)</f>
        <v>1.4941892246861712</v>
      </c>
      <c r="I66" s="74">
        <f t="shared" si="1"/>
        <v>67.2</v>
      </c>
      <c r="J66" s="10">
        <f>IFERROR(Ohj.lask.[[#This Row],[Painotetut opiskelija-vuodet]]/Ohj.lask.[[#Totals],[Painotetut opiskelija-vuodet]],0)</f>
        <v>3.2633081786661227E-4</v>
      </c>
      <c r="K66" s="11">
        <f>ROUND(IFERROR('1.1 Jakotaulu'!L$12*Ohj.lask.[[#This Row],[%-osuus 1]],0),0)</f>
        <v>463944</v>
      </c>
      <c r="L66" s="139">
        <f>IFERROR(ROUND(VLOOKUP(Ohj.lask.[[#This Row],[Y-tunnus]],'2.2 Tutk. ja osien pain. pist.'!$A:$Q,COLUMN('2.2 Tutk. ja osien pain. pist.'!O:O),FALSE),1),0)</f>
        <v>6183.5</v>
      </c>
      <c r="M66" s="10">
        <f>IFERROR(Ohj.lask.[[#This Row],[Painotetut pisteet 2]]/Ohj.lask.[[#Totals],[Painotetut pisteet 2]],0)</f>
        <v>3.9260767650453171E-4</v>
      </c>
      <c r="N66" s="17">
        <f>ROUND(IFERROR('1.1 Jakotaulu'!K$13*Ohj.lask.[[#This Row],[%-osuus 2]],0),0)</f>
        <v>162051</v>
      </c>
      <c r="O66" s="140">
        <f>IFERROR(ROUND(VLOOKUP(Ohj.lask.[[#This Row],[Y-tunnus]],'2.3 Työll. ja jatko-opisk.'!$A:$Y,COLUMN('2.3 Työll. ja jatko-opisk.'!L:L),FALSE),1),0)</f>
        <v>133.69999999999999</v>
      </c>
      <c r="P66" s="10">
        <f>IFERROR(Ohj.lask.[[#This Row],[Painotetut pisteet 3]]/Ohj.lask.[[#Totals],[Painotetut pisteet 3]],0)</f>
        <v>3.9611821921602954E-4</v>
      </c>
      <c r="Q66" s="11">
        <f>ROUND(IFERROR('1.1 Jakotaulu'!L$15*Ohj.lask.[[#This Row],[%-osuus 3]],0),0)</f>
        <v>57225</v>
      </c>
      <c r="R66" s="139">
        <f>IFERROR(ROUND(VLOOKUP(Ohj.lask.[[#This Row],[Y-tunnus]],'2.4 Aloittaneet palaute'!$A:$I,COLUMN('2.4 Aloittaneet palaute'!H:H),FALSE),1),0)</f>
        <v>427.4</v>
      </c>
      <c r="S66" s="14">
        <f>IFERROR(Ohj.lask.[[#This Row],[Painotetut pisteet 4]]/Ohj.lask.[[#Totals],[Painotetut pisteet 4]],0)</f>
        <v>2.4582295099467134E-4</v>
      </c>
      <c r="T66" s="17">
        <f>ROUND(IFERROR('1.1 Jakotaulu'!M$17*Ohj.lask.[[#This Row],[%-osuus 4]],0),0)</f>
        <v>1902</v>
      </c>
      <c r="U66" s="139">
        <f>IFERROR(ROUND(VLOOKUP(Ohj.lask.[[#This Row],[Y-tunnus]],'2.5 Päättäneet palaute'!$A:$Y,COLUMN('2.5 Päättäneet palaute'!X:X),FALSE),1),0)</f>
        <v>2459.8000000000002</v>
      </c>
      <c r="V66" s="14">
        <f>IFERROR(Ohj.lask.[[#This Row],[Painotetut pisteet 5]]/Ohj.lask.[[#Totals],[Painotetut pisteet 5]],0)</f>
        <v>2.2166962520548907E-4</v>
      </c>
      <c r="W66" s="17">
        <f>ROUND(IFERROR('1.1 Jakotaulu'!M$18*Ohj.lask.[[#This Row],[%-osuus 5]],0),0)</f>
        <v>5147</v>
      </c>
      <c r="X66" s="139">
        <f>IFERROR(ROUND(VLOOKUP(Ohj.lask.[[#This Row],[Y-tunnus]],'2.6 Työpaikkaohjaajakysely'!A:I,COLUMN('2.6 Työpaikkaohjaajakysely'!H:H),FALSE),1),0)</f>
        <v>2107.6</v>
      </c>
      <c r="Y66" s="10">
        <f>IFERROR(Ohj.lask.[[#This Row],[Painotetut pisteet 6]]/Ohj.lask.[[#Totals],[Painotetut pisteet 6]],0)</f>
        <v>6.1416193631086962E-6</v>
      </c>
      <c r="Z66" s="17">
        <f>ROUND(IFERROR('1.1 Jakotaulu'!M$20*Ohj.lask.[[#This Row],[%-osuus 6]],0),0)</f>
        <v>143</v>
      </c>
      <c r="AA66" s="139">
        <f>IFERROR(ROUND(VLOOKUP(Ohj.lask.[[#This Row],[Y-tunnus]],'2.7 Työpaikkakysely'!A:G,COLUMN('2.7 Työpaikkakysely'!F:F),FALSE),1),0)</f>
        <v>1064</v>
      </c>
      <c r="AB66" s="10">
        <f>IFERROR(Ohj.lask.[[#This Row],[Pisteet 7]]/Ohj.lask.[[#Totals],[Pisteet 7]],0)</f>
        <v>5.1991532932586246E-6</v>
      </c>
      <c r="AC66" s="17">
        <f>ROUND(IFERROR('1.1 Jakotaulu'!M$21*Ohj.lask.[[#This Row],[%-osuus 7]],0),0)</f>
        <v>40</v>
      </c>
      <c r="AD66" s="13">
        <f>IFERROR(Ohj.lask.[[#This Row],[Jaettava € 8]]/Ohj.lask.[[#Totals],[Jaettava € 8]],"")</f>
        <v>3.3831937853932978E-4</v>
      </c>
      <c r="AE6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690452</v>
      </c>
      <c r="AF66" s="103">
        <v>0</v>
      </c>
      <c r="AG66" s="103">
        <v>0</v>
      </c>
      <c r="AH66" s="107">
        <v>0</v>
      </c>
      <c r="AI66" s="33">
        <v>1000</v>
      </c>
      <c r="AJ66" s="107">
        <v>0</v>
      </c>
      <c r="AK6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66" s="11">
        <f>Ohj.lask.[[#This Row],[Jaettava € 1]]+Ohj.lask.[[#This Row],[Harkinnanvarainen korotus yhteensä, €]]</f>
        <v>464944</v>
      </c>
      <c r="AM66" s="103">
        <f>Ohj.lask.[[#This Row],[Jaettava € 2]]</f>
        <v>162051</v>
      </c>
      <c r="AN66" s="11">
        <f>Ohj.lask.[[#This Row],[Jaettava € 3]]+Ohj.lask.[[#This Row],[Jaettava € 4]]+Ohj.lask.[[#This Row],[Jaettava € 5]]+Ohj.lask.[[#This Row],[Jaettava € 6]]+Ohj.lask.[[#This Row],[Jaettava € 7]]</f>
        <v>64457</v>
      </c>
      <c r="AO66" s="34">
        <f>Ohj.lask.[[#This Row],[Jaettava € 8]]+Ohj.lask.[[#This Row],[Harkinnanvarainen korotus yhteensä, €]]</f>
        <v>691452</v>
      </c>
      <c r="AP66" s="12">
        <v>21041</v>
      </c>
      <c r="AQ66" s="34">
        <f>Ohj.lask.[[#This Row],[Perus-, suoritus- ja vaikuttavuusrahoitus yhteensä, €]]+Ohj.lask.[[#This Row],[Alv-korvaus, €]]</f>
        <v>712493</v>
      </c>
    </row>
    <row r="67" spans="1:43" ht="12.75" x14ac:dyDescent="0.2">
      <c r="A67" s="4" t="s">
        <v>263</v>
      </c>
      <c r="B67" s="8" t="s">
        <v>359</v>
      </c>
      <c r="C67" s="8" t="s">
        <v>178</v>
      </c>
      <c r="D67" s="8" t="s">
        <v>326</v>
      </c>
      <c r="E67" s="8" t="s">
        <v>375</v>
      </c>
      <c r="F67" s="106">
        <v>83</v>
      </c>
      <c r="G67" s="33">
        <v>96</v>
      </c>
      <c r="H67" s="9">
        <f>IFERROR(VLOOKUP(Ohj.lask.[[#This Row],[Y-tunnus]],'2.1 Toteut. op.vuodet'!$A:$T,COLUMN('2.1 Toteut. op.vuodet'!S:S),FALSE),0)</f>
        <v>1.0802720333979974</v>
      </c>
      <c r="I67" s="74">
        <f t="shared" si="1"/>
        <v>103.7</v>
      </c>
      <c r="J67" s="10">
        <f>IFERROR(Ohj.lask.[[#This Row],[Painotetut opiskelija-vuodet]]/Ohj.lask.[[#Totals],[Painotetut opiskelija-vuodet]],0)</f>
        <v>5.0357895554713835E-4</v>
      </c>
      <c r="K67" s="11">
        <f>ROUND(IFERROR('1.1 Jakotaulu'!L$12*Ohj.lask.[[#This Row],[%-osuus 1]],0),0)</f>
        <v>715937</v>
      </c>
      <c r="L67" s="139">
        <f>IFERROR(ROUND(VLOOKUP(Ohj.lask.[[#This Row],[Y-tunnus]],'2.2 Tutk. ja osien pain. pist.'!$A:$Q,COLUMN('2.2 Tutk. ja osien pain. pist.'!O:O),FALSE),1),0)</f>
        <v>8700.2000000000007</v>
      </c>
      <c r="M67" s="10">
        <f>IFERROR(Ohj.lask.[[#This Row],[Painotetut pisteet 2]]/Ohj.lask.[[#Totals],[Painotetut pisteet 2]],0)</f>
        <v>5.5239998498014505E-4</v>
      </c>
      <c r="N67" s="17">
        <f>ROUND(IFERROR('1.1 Jakotaulu'!K$13*Ohj.lask.[[#This Row],[%-osuus 2]],0),0)</f>
        <v>228006</v>
      </c>
      <c r="O67" s="140">
        <f>IFERROR(ROUND(VLOOKUP(Ohj.lask.[[#This Row],[Y-tunnus]],'2.3 Työll. ja jatko-opisk.'!$A:$Y,COLUMN('2.3 Työll. ja jatko-opisk.'!L:L),FALSE),1),0)</f>
        <v>198.4</v>
      </c>
      <c r="P67" s="10">
        <f>IFERROR(Ohj.lask.[[#This Row],[Painotetut pisteet 3]]/Ohj.lask.[[#Totals],[Painotetut pisteet 3]],0)</f>
        <v>5.8780743973418307E-4</v>
      </c>
      <c r="Q67" s="11">
        <f>ROUND(IFERROR('1.1 Jakotaulu'!L$15*Ohj.lask.[[#This Row],[%-osuus 3]],0),0)</f>
        <v>84917</v>
      </c>
      <c r="R67" s="139">
        <f>IFERROR(ROUND(VLOOKUP(Ohj.lask.[[#This Row],[Y-tunnus]],'2.4 Aloittaneet palaute'!$A:$I,COLUMN('2.4 Aloittaneet palaute'!H:H),FALSE),1),0)</f>
        <v>1326.6</v>
      </c>
      <c r="S67" s="14">
        <f>IFERROR(Ohj.lask.[[#This Row],[Painotetut pisteet 4]]/Ohj.lask.[[#Totals],[Painotetut pisteet 4]],0)</f>
        <v>7.6300591200171035E-4</v>
      </c>
      <c r="T67" s="17">
        <f>ROUND(IFERROR('1.1 Jakotaulu'!M$17*Ohj.lask.[[#This Row],[%-osuus 4]],0),0)</f>
        <v>5905</v>
      </c>
      <c r="U67" s="139">
        <f>IFERROR(ROUND(VLOOKUP(Ohj.lask.[[#This Row],[Y-tunnus]],'2.5 Päättäneet palaute'!$A:$Y,COLUMN('2.5 Päättäneet palaute'!X:X),FALSE),1),0)</f>
        <v>5344.7</v>
      </c>
      <c r="V67" s="14">
        <f>IFERROR(Ohj.lask.[[#This Row],[Painotetut pisteet 5]]/Ohj.lask.[[#Totals],[Painotetut pisteet 5]],0)</f>
        <v>4.8164795749076238E-4</v>
      </c>
      <c r="W67" s="17">
        <f>ROUND(IFERROR('1.1 Jakotaulu'!M$18*Ohj.lask.[[#This Row],[%-osuus 5]],0),0)</f>
        <v>11183</v>
      </c>
      <c r="X67" s="139">
        <f>IFERROR(ROUND(VLOOKUP(Ohj.lask.[[#This Row],[Y-tunnus]],'2.6 Työpaikkaohjaajakysely'!A:I,COLUMN('2.6 Työpaikkaohjaajakysely'!H:H),FALSE),1),0)</f>
        <v>170825.4</v>
      </c>
      <c r="Y67" s="10">
        <f>IFERROR(Ohj.lask.[[#This Row],[Painotetut pisteet 6]]/Ohj.lask.[[#Totals],[Painotetut pisteet 6]],0)</f>
        <v>4.9779112941297603E-4</v>
      </c>
      <c r="Z67" s="17">
        <f>ROUND(IFERROR('1.1 Jakotaulu'!M$20*Ohj.lask.[[#This Row],[%-osuus 6]],0),0)</f>
        <v>11557</v>
      </c>
      <c r="AA67" s="139">
        <f>IFERROR(ROUND(VLOOKUP(Ohj.lask.[[#This Row],[Y-tunnus]],'2.7 Työpaikkakysely'!A:G,COLUMN('2.7 Työpaikkakysely'!F:F),FALSE),1),0)</f>
        <v>81721</v>
      </c>
      <c r="AB67" s="10">
        <f>IFERROR(Ohj.lask.[[#This Row],[Pisteet 7]]/Ohj.lask.[[#Totals],[Pisteet 7]],0)</f>
        <v>3.9932331417141738E-4</v>
      </c>
      <c r="AC67" s="17">
        <f>ROUND(IFERROR('1.1 Jakotaulu'!M$21*Ohj.lask.[[#This Row],[%-osuus 7]],0),0)</f>
        <v>3090</v>
      </c>
      <c r="AD67" s="13">
        <f>IFERROR(Ohj.lask.[[#This Row],[Jaettava € 8]]/Ohj.lask.[[#Totals],[Jaettava € 8]],"")</f>
        <v>5.1968832197157877E-4</v>
      </c>
      <c r="AE6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1060595</v>
      </c>
      <c r="AF67" s="103">
        <v>0</v>
      </c>
      <c r="AG67" s="103">
        <v>0</v>
      </c>
      <c r="AH67" s="107">
        <v>0</v>
      </c>
      <c r="AI67" s="33">
        <v>1000</v>
      </c>
      <c r="AJ67" s="107">
        <v>0</v>
      </c>
      <c r="AK6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67" s="11">
        <f>Ohj.lask.[[#This Row],[Jaettava € 1]]+Ohj.lask.[[#This Row],[Harkinnanvarainen korotus yhteensä, €]]</f>
        <v>716937</v>
      </c>
      <c r="AM67" s="103">
        <f>Ohj.lask.[[#This Row],[Jaettava € 2]]</f>
        <v>228006</v>
      </c>
      <c r="AN67" s="11">
        <f>Ohj.lask.[[#This Row],[Jaettava € 3]]+Ohj.lask.[[#This Row],[Jaettava € 4]]+Ohj.lask.[[#This Row],[Jaettava € 5]]+Ohj.lask.[[#This Row],[Jaettava € 6]]+Ohj.lask.[[#This Row],[Jaettava € 7]]</f>
        <v>116652</v>
      </c>
      <c r="AO67" s="34">
        <f>Ohj.lask.[[#This Row],[Jaettava € 8]]+Ohj.lask.[[#This Row],[Harkinnanvarainen korotus yhteensä, €]]</f>
        <v>1061595</v>
      </c>
      <c r="AP67" s="12">
        <v>87428</v>
      </c>
      <c r="AQ67" s="34">
        <f>Ohj.lask.[[#This Row],[Perus-, suoritus- ja vaikuttavuusrahoitus yhteensä, €]]+Ohj.lask.[[#This Row],[Alv-korvaus, €]]</f>
        <v>1149023</v>
      </c>
    </row>
    <row r="68" spans="1:43" ht="12.75" x14ac:dyDescent="0.2">
      <c r="A68" s="4" t="s">
        <v>262</v>
      </c>
      <c r="B68" s="8" t="s">
        <v>64</v>
      </c>
      <c r="C68" s="8" t="s">
        <v>200</v>
      </c>
      <c r="D68" s="8" t="s">
        <v>326</v>
      </c>
      <c r="E68" s="8" t="s">
        <v>375</v>
      </c>
      <c r="F68" s="106">
        <v>139</v>
      </c>
      <c r="G68" s="33">
        <v>148</v>
      </c>
      <c r="H68" s="9">
        <f>IFERROR(VLOOKUP(Ohj.lask.[[#This Row],[Y-tunnus]],'2.1 Toteut. op.vuodet'!$A:$T,COLUMN('2.1 Toteut. op.vuodet'!S:S),FALSE),0)</f>
        <v>1.318711854603948</v>
      </c>
      <c r="I68" s="74">
        <f t="shared" si="1"/>
        <v>195.2</v>
      </c>
      <c r="J68" s="10">
        <f>IFERROR(Ohj.lask.[[#This Row],[Painotetut opiskelija-vuodet]]/Ohj.lask.[[#Totals],[Painotetut opiskelija-vuodet]],0)</f>
        <v>9.4791332808873087E-4</v>
      </c>
      <c r="K68" s="11">
        <f>ROUND(IFERROR('1.1 Jakotaulu'!L$12*Ohj.lask.[[#This Row],[%-osuus 1]],0),0)</f>
        <v>1347646</v>
      </c>
      <c r="L68" s="139">
        <f>IFERROR(ROUND(VLOOKUP(Ohj.lask.[[#This Row],[Y-tunnus]],'2.2 Tutk. ja osien pain. pist.'!$A:$Q,COLUMN('2.2 Tutk. ja osien pain. pist.'!O:O),FALSE),1),0)</f>
        <v>13524.9</v>
      </c>
      <c r="M68" s="10">
        <f>IFERROR(Ohj.lask.[[#This Row],[Painotetut pisteet 2]]/Ohj.lask.[[#Totals],[Painotetut pisteet 2]],0)</f>
        <v>8.5873365633640187E-4</v>
      </c>
      <c r="N68" s="17">
        <f>ROUND(IFERROR('1.1 Jakotaulu'!K$13*Ohj.lask.[[#This Row],[%-osuus 2]],0),0)</f>
        <v>354447</v>
      </c>
      <c r="O68" s="140">
        <f>IFERROR(ROUND(VLOOKUP(Ohj.lask.[[#This Row],[Y-tunnus]],'2.3 Työll. ja jatko-opisk.'!$A:$Y,COLUMN('2.3 Työll. ja jatko-opisk.'!L:L),FALSE),1),0)</f>
        <v>363.3</v>
      </c>
      <c r="P68" s="10">
        <f>IFERROR(Ohj.lask.[[#This Row],[Painotetut pisteet 3]]/Ohj.lask.[[#Totals],[Painotetut pisteet 3]],0)</f>
        <v>1.0763631192309915E-3</v>
      </c>
      <c r="Q68" s="11">
        <f>ROUND(IFERROR('1.1 Jakotaulu'!L$15*Ohj.lask.[[#This Row],[%-osuus 3]],0),0)</f>
        <v>155496</v>
      </c>
      <c r="R68" s="139">
        <f>IFERROR(ROUND(VLOOKUP(Ohj.lask.[[#This Row],[Y-tunnus]],'2.4 Aloittaneet palaute'!$A:$I,COLUMN('2.4 Aloittaneet palaute'!H:H),FALSE),1),0)</f>
        <v>1410.1</v>
      </c>
      <c r="S68" s="14">
        <f>IFERROR(Ohj.lask.[[#This Row],[Painotetut pisteet 4]]/Ohj.lask.[[#Totals],[Painotetut pisteet 4]],0)</f>
        <v>8.1103168740661224E-4</v>
      </c>
      <c r="T68" s="17">
        <f>ROUND(IFERROR('1.1 Jakotaulu'!M$17*Ohj.lask.[[#This Row],[%-osuus 4]],0),0)</f>
        <v>6277</v>
      </c>
      <c r="U68" s="139">
        <f>IFERROR(ROUND(VLOOKUP(Ohj.lask.[[#This Row],[Y-tunnus]],'2.5 Päättäneet palaute'!$A:$Y,COLUMN('2.5 Päättäneet palaute'!X:X),FALSE),1),0)</f>
        <v>13118.3</v>
      </c>
      <c r="V68" s="14">
        <f>IFERROR(Ohj.lask.[[#This Row],[Painotetut pisteet 5]]/Ohj.lask.[[#Totals],[Painotetut pisteet 5]],0)</f>
        <v>1.1821809270400711E-3</v>
      </c>
      <c r="W68" s="17">
        <f>ROUND(IFERROR('1.1 Jakotaulu'!M$18*Ohj.lask.[[#This Row],[%-osuus 5]],0),0)</f>
        <v>27447</v>
      </c>
      <c r="X68" s="139">
        <f>IFERROR(ROUND(VLOOKUP(Ohj.lask.[[#This Row],[Y-tunnus]],'2.6 Työpaikkaohjaajakysely'!A:I,COLUMN('2.6 Työpaikkaohjaajakysely'!H:H),FALSE),1),0)</f>
        <v>93937.4</v>
      </c>
      <c r="Y68" s="10">
        <f>IFERROR(Ohj.lask.[[#This Row],[Painotetut pisteet 6]]/Ohj.lask.[[#Totals],[Painotetut pisteet 6]],0)</f>
        <v>2.7373683562349917E-4</v>
      </c>
      <c r="Z68" s="17">
        <f>ROUND(IFERROR('1.1 Jakotaulu'!M$20*Ohj.lask.[[#This Row],[%-osuus 6]],0),0)</f>
        <v>6355</v>
      </c>
      <c r="AA68" s="139">
        <f>IFERROR(ROUND(VLOOKUP(Ohj.lask.[[#This Row],[Y-tunnus]],'2.7 Työpaikkakysely'!A:G,COLUMN('2.7 Työpaikkakysely'!F:F),FALSE),1),0)</f>
        <v>47193</v>
      </c>
      <c r="AB68" s="10">
        <f>IFERROR(Ohj.lask.[[#This Row],[Pisteet 7]]/Ohj.lask.[[#Totals],[Pisteet 7]],0)</f>
        <v>2.3060492609845327E-4</v>
      </c>
      <c r="AC68" s="17">
        <f>ROUND(IFERROR('1.1 Jakotaulu'!M$21*Ohj.lask.[[#This Row],[%-osuus 7]],0),0)</f>
        <v>1785</v>
      </c>
      <c r="AD68" s="13">
        <f>IFERROR(Ohj.lask.[[#This Row],[Jaettava € 8]]/Ohj.lask.[[#Totals],[Jaettava € 8]],"")</f>
        <v>9.3072618882219995E-4</v>
      </c>
      <c r="AE6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1899453</v>
      </c>
      <c r="AF68" s="103">
        <v>0</v>
      </c>
      <c r="AG68" s="103">
        <v>0</v>
      </c>
      <c r="AH68" s="107">
        <v>0</v>
      </c>
      <c r="AI68" s="33">
        <v>0</v>
      </c>
      <c r="AJ68" s="107">
        <v>0</v>
      </c>
      <c r="AK6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68" s="11">
        <f>Ohj.lask.[[#This Row],[Jaettava € 1]]+Ohj.lask.[[#This Row],[Harkinnanvarainen korotus yhteensä, €]]</f>
        <v>1347646</v>
      </c>
      <c r="AM68" s="103">
        <f>Ohj.lask.[[#This Row],[Jaettava € 2]]</f>
        <v>354447</v>
      </c>
      <c r="AN68" s="11">
        <f>Ohj.lask.[[#This Row],[Jaettava € 3]]+Ohj.lask.[[#This Row],[Jaettava € 4]]+Ohj.lask.[[#This Row],[Jaettava € 5]]+Ohj.lask.[[#This Row],[Jaettava € 6]]+Ohj.lask.[[#This Row],[Jaettava € 7]]</f>
        <v>197360</v>
      </c>
      <c r="AO68" s="34">
        <f>Ohj.lask.[[#This Row],[Jaettava € 8]]+Ohj.lask.[[#This Row],[Harkinnanvarainen korotus yhteensä, €]]</f>
        <v>1899453</v>
      </c>
      <c r="AP68" s="12">
        <v>281234</v>
      </c>
      <c r="AQ68" s="34">
        <f>Ohj.lask.[[#This Row],[Perus-, suoritus- ja vaikuttavuusrahoitus yhteensä, €]]+Ohj.lask.[[#This Row],[Alv-korvaus, €]]</f>
        <v>2180687</v>
      </c>
    </row>
    <row r="69" spans="1:43" ht="12.75" x14ac:dyDescent="0.2">
      <c r="A69" s="4" t="s">
        <v>260</v>
      </c>
      <c r="B69" s="8" t="s">
        <v>144</v>
      </c>
      <c r="C69" s="8" t="s">
        <v>180</v>
      </c>
      <c r="D69" s="8" t="s">
        <v>325</v>
      </c>
      <c r="E69" s="8" t="s">
        <v>376</v>
      </c>
      <c r="F69" s="106">
        <v>29</v>
      </c>
      <c r="G69" s="33">
        <v>27</v>
      </c>
      <c r="H69" s="9">
        <f>IFERROR(VLOOKUP(Ohj.lask.[[#This Row],[Y-tunnus]],'2.1 Toteut. op.vuodet'!$A:$T,COLUMN('2.1 Toteut. op.vuodet'!S:S),FALSE),0)</f>
        <v>0.9983373060988513</v>
      </c>
      <c r="I69" s="74">
        <f t="shared" ref="I69:I99" si="2">IFERROR(ROUND(G69*H69,1),0)</f>
        <v>27</v>
      </c>
      <c r="J69" s="10">
        <f>IFERROR(Ohj.lask.[[#This Row],[Painotetut opiskelija-vuodet]]/Ohj.lask.[[#Totals],[Painotetut opiskelija-vuodet]],0)</f>
        <v>1.3111506074997814E-4</v>
      </c>
      <c r="K69" s="11">
        <f>ROUND(IFERROR('1.1 Jakotaulu'!L$12*Ohj.lask.[[#This Row],[%-osuus 1]],0),0)</f>
        <v>186406</v>
      </c>
      <c r="L69" s="139">
        <f>IFERROR(ROUND(VLOOKUP(Ohj.lask.[[#This Row],[Y-tunnus]],'2.2 Tutk. ja osien pain. pist.'!$A:$Q,COLUMN('2.2 Tutk. ja osien pain. pist.'!O:O),FALSE),1),0)</f>
        <v>1923.8</v>
      </c>
      <c r="M69" s="10">
        <f>IFERROR(Ohj.lask.[[#This Row],[Painotetut pisteet 2]]/Ohj.lask.[[#Totals],[Painotetut pisteet 2]],0)</f>
        <v>1.2214743236992287E-4</v>
      </c>
      <c r="N69" s="17">
        <f>ROUND(IFERROR('1.1 Jakotaulu'!K$13*Ohj.lask.[[#This Row],[%-osuus 2]],0),0)</f>
        <v>50417</v>
      </c>
      <c r="O69" s="140">
        <f>IFERROR(ROUND(VLOOKUP(Ohj.lask.[[#This Row],[Y-tunnus]],'2.3 Työll. ja jatko-opisk.'!$A:$Y,COLUMN('2.3 Työll. ja jatko-opisk.'!L:L),FALSE),1),0)</f>
        <v>37.799999999999997</v>
      </c>
      <c r="P69" s="10">
        <f>IFERROR(Ohj.lask.[[#This Row],[Painotetut pisteet 3]]/Ohj.lask.[[#Totals],[Painotetut pisteet 3]],0)</f>
        <v>1.1199153841709737E-4</v>
      </c>
      <c r="Q69" s="11">
        <f>ROUND(IFERROR('1.1 Jakotaulu'!L$15*Ohj.lask.[[#This Row],[%-osuus 3]],0),0)</f>
        <v>16179</v>
      </c>
      <c r="R69" s="139">
        <f>IFERROR(ROUND(VLOOKUP(Ohj.lask.[[#This Row],[Y-tunnus]],'2.4 Aloittaneet palaute'!$A:$I,COLUMN('2.4 Aloittaneet palaute'!H:H),FALSE),1),0)</f>
        <v>270.89999999999998</v>
      </c>
      <c r="S69" s="14">
        <f>IFERROR(Ohj.lask.[[#This Row],[Painotetut pisteet 4]]/Ohj.lask.[[#Totals],[Painotetut pisteet 4]],0)</f>
        <v>1.5581056954716067E-4</v>
      </c>
      <c r="T69" s="17">
        <f>ROUND(IFERROR('1.1 Jakotaulu'!M$17*Ohj.lask.[[#This Row],[%-osuus 4]],0),0)</f>
        <v>1206</v>
      </c>
      <c r="U69" s="139">
        <f>IFERROR(ROUND(VLOOKUP(Ohj.lask.[[#This Row],[Y-tunnus]],'2.5 Päättäneet palaute'!$A:$Y,COLUMN('2.5 Päättäneet palaute'!X:X),FALSE),1),0)</f>
        <v>2514.5</v>
      </c>
      <c r="V69" s="14">
        <f>IFERROR(Ohj.lask.[[#This Row],[Painotetut pisteet 5]]/Ohj.lask.[[#Totals],[Painotetut pisteet 5]],0)</f>
        <v>2.2659902129408985E-4</v>
      </c>
      <c r="W69" s="17">
        <f>ROUND(IFERROR('1.1 Jakotaulu'!M$18*Ohj.lask.[[#This Row],[%-osuus 5]],0),0)</f>
        <v>5261</v>
      </c>
      <c r="X69" s="139">
        <f>IFERROR(ROUND(VLOOKUP(Ohj.lask.[[#This Row],[Y-tunnus]],'2.6 Työpaikkaohjaajakysely'!A:I,COLUMN('2.6 Työpaikkaohjaajakysely'!H:H),FALSE),1),0)</f>
        <v>11660.5</v>
      </c>
      <c r="Y69" s="10">
        <f>IFERROR(Ohj.lask.[[#This Row],[Painotetut pisteet 6]]/Ohj.lask.[[#Totals],[Painotetut pisteet 6]],0)</f>
        <v>3.3979100675426533E-5</v>
      </c>
      <c r="Z69" s="17">
        <f>ROUND(IFERROR('1.1 Jakotaulu'!M$20*Ohj.lask.[[#This Row],[%-osuus 6]],0),0)</f>
        <v>789</v>
      </c>
      <c r="AA69" s="139">
        <f>IFERROR(ROUND(VLOOKUP(Ohj.lask.[[#This Row],[Y-tunnus]],'2.7 Työpaikkakysely'!A:G,COLUMN('2.7 Työpaikkakysely'!F:F),FALSE),1),0)</f>
        <v>3119</v>
      </c>
      <c r="AB69" s="10">
        <f>IFERROR(Ohj.lask.[[#This Row],[Pisteet 7]]/Ohj.lask.[[#Totals],[Pisteet 7]],0)</f>
        <v>1.524075105420456E-5</v>
      </c>
      <c r="AC69" s="17">
        <f>ROUND(IFERROR('1.1 Jakotaulu'!M$21*Ohj.lask.[[#This Row],[%-osuus 7]],0),0)</f>
        <v>118</v>
      </c>
      <c r="AD69" s="13">
        <f>IFERROR(Ohj.lask.[[#This Row],[Jaettava € 8]]/Ohj.lask.[[#Totals],[Jaettava € 8]],"")</f>
        <v>1.2758344751924325E-4</v>
      </c>
      <c r="AE6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260376</v>
      </c>
      <c r="AF69" s="103">
        <v>0</v>
      </c>
      <c r="AG69" s="103">
        <v>0</v>
      </c>
      <c r="AH69" s="107">
        <v>0</v>
      </c>
      <c r="AI69" s="33">
        <v>0</v>
      </c>
      <c r="AJ69" s="107">
        <v>0</v>
      </c>
      <c r="AK6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69" s="11">
        <f>Ohj.lask.[[#This Row],[Jaettava € 1]]+Ohj.lask.[[#This Row],[Harkinnanvarainen korotus yhteensä, €]]</f>
        <v>186406</v>
      </c>
      <c r="AM69" s="103">
        <f>Ohj.lask.[[#This Row],[Jaettava € 2]]</f>
        <v>50417</v>
      </c>
      <c r="AN69" s="11">
        <f>Ohj.lask.[[#This Row],[Jaettava € 3]]+Ohj.lask.[[#This Row],[Jaettava € 4]]+Ohj.lask.[[#This Row],[Jaettava € 5]]+Ohj.lask.[[#This Row],[Jaettava € 6]]+Ohj.lask.[[#This Row],[Jaettava € 7]]</f>
        <v>23553</v>
      </c>
      <c r="AO69" s="34">
        <f>Ohj.lask.[[#This Row],[Jaettava € 8]]+Ohj.lask.[[#This Row],[Harkinnanvarainen korotus yhteensä, €]]</f>
        <v>260376</v>
      </c>
      <c r="AP69" s="12">
        <v>0</v>
      </c>
      <c r="AQ69" s="34">
        <f>Ohj.lask.[[#This Row],[Perus-, suoritus- ja vaikuttavuusrahoitus yhteensä, €]]+Ohj.lask.[[#This Row],[Alv-korvaus, €]]</f>
        <v>260376</v>
      </c>
    </row>
    <row r="70" spans="1:43" ht="12.75" x14ac:dyDescent="0.2">
      <c r="A70" s="4" t="s">
        <v>299</v>
      </c>
      <c r="B70" s="8" t="s">
        <v>65</v>
      </c>
      <c r="C70" s="8" t="s">
        <v>174</v>
      </c>
      <c r="D70" s="8" t="s">
        <v>326</v>
      </c>
      <c r="E70" s="8" t="s">
        <v>375</v>
      </c>
      <c r="F70" s="106">
        <v>37</v>
      </c>
      <c r="G70" s="33">
        <v>36</v>
      </c>
      <c r="H70" s="9">
        <f>IFERROR(VLOOKUP(Ohj.lask.[[#This Row],[Y-tunnus]],'2.1 Toteut. op.vuodet'!$A:$T,COLUMN('2.1 Toteut. op.vuodet'!S:S),FALSE),0)</f>
        <v>0.73922706994608223</v>
      </c>
      <c r="I70" s="74">
        <f t="shared" si="2"/>
        <v>26.6</v>
      </c>
      <c r="J70" s="10">
        <f>IFERROR(Ohj.lask.[[#This Row],[Painotetut opiskelija-vuodet]]/Ohj.lask.[[#Totals],[Painotetut opiskelija-vuodet]],0)</f>
        <v>1.2917261540553403E-4</v>
      </c>
      <c r="K70" s="11">
        <f>ROUND(IFERROR('1.1 Jakotaulu'!L$12*Ohj.lask.[[#This Row],[%-osuus 1]],0),0)</f>
        <v>183644</v>
      </c>
      <c r="L70" s="139">
        <f>IFERROR(ROUND(VLOOKUP(Ohj.lask.[[#This Row],[Y-tunnus]],'2.2 Tutk. ja osien pain. pist.'!$A:$Q,COLUMN('2.2 Tutk. ja osien pain. pist.'!O:O),FALSE),1),0)</f>
        <v>2499</v>
      </c>
      <c r="M70" s="10">
        <f>IFERROR(Ohj.lask.[[#This Row],[Painotetut pisteet 2]]/Ohj.lask.[[#Totals],[Painotetut pisteet 2]],0)</f>
        <v>1.5866848606530681E-4</v>
      </c>
      <c r="N70" s="17">
        <f>ROUND(IFERROR('1.1 Jakotaulu'!K$13*Ohj.lask.[[#This Row],[%-osuus 2]],0),0)</f>
        <v>65491</v>
      </c>
      <c r="O70" s="140">
        <f>IFERROR(ROUND(VLOOKUP(Ohj.lask.[[#This Row],[Y-tunnus]],'2.3 Työll. ja jatko-opisk.'!$A:$Y,COLUMN('2.3 Työll. ja jatko-opisk.'!L:L),FALSE),1),0)</f>
        <v>106.1</v>
      </c>
      <c r="P70" s="10">
        <f>IFERROR(Ohj.lask.[[#This Row],[Painotetut pisteet 3]]/Ohj.lask.[[#Totals],[Painotetut pisteet 3]],0)</f>
        <v>3.1434661973687913E-4</v>
      </c>
      <c r="Q70" s="11">
        <f>ROUND(IFERROR('1.1 Jakotaulu'!L$15*Ohj.lask.[[#This Row],[%-osuus 3]],0),0)</f>
        <v>45412</v>
      </c>
      <c r="R70" s="139">
        <f>IFERROR(ROUND(VLOOKUP(Ohj.lask.[[#This Row],[Y-tunnus]],'2.4 Aloittaneet palaute'!$A:$I,COLUMN('2.4 Aloittaneet palaute'!H:H),FALSE),1),0)</f>
        <v>440.7</v>
      </c>
      <c r="S70" s="14">
        <f>IFERROR(Ohj.lask.[[#This Row],[Painotetut pisteet 4]]/Ohj.lask.[[#Totals],[Painotetut pisteet 4]],0)</f>
        <v>2.5347256552024253E-4</v>
      </c>
      <c r="T70" s="17">
        <f>ROUND(IFERROR('1.1 Jakotaulu'!M$17*Ohj.lask.[[#This Row],[%-osuus 4]],0),0)</f>
        <v>1962</v>
      </c>
      <c r="U70" s="139">
        <f>IFERROR(ROUND(VLOOKUP(Ohj.lask.[[#This Row],[Y-tunnus]],'2.5 Päättäneet palaute'!$A:$Y,COLUMN('2.5 Päättäneet palaute'!X:X),FALSE),1),0)</f>
        <v>3099.8</v>
      </c>
      <c r="V70" s="14">
        <f>IFERROR(Ohj.lask.[[#This Row],[Painotetut pisteet 5]]/Ohj.lask.[[#Totals],[Painotetut pisteet 5]],0)</f>
        <v>2.7934446061142167E-4</v>
      </c>
      <c r="W70" s="17">
        <f>ROUND(IFERROR('1.1 Jakotaulu'!M$18*Ohj.lask.[[#This Row],[%-osuus 5]],0),0)</f>
        <v>6486</v>
      </c>
      <c r="X70" s="139">
        <f>IFERROR(ROUND(VLOOKUP(Ohj.lask.[[#This Row],[Y-tunnus]],'2.6 Työpaikkaohjaajakysely'!A:I,COLUMN('2.6 Työpaikkaohjaajakysely'!H:H),FALSE),1),0)</f>
        <v>86079.9</v>
      </c>
      <c r="Y70" s="10">
        <f>IFERROR(Ohj.lask.[[#This Row],[Painotetut pisteet 6]]/Ohj.lask.[[#Totals],[Painotetut pisteet 6]],0)</f>
        <v>2.5083980860431782E-4</v>
      </c>
      <c r="Z70" s="17">
        <f>ROUND(IFERROR('1.1 Jakotaulu'!M$20*Ohj.lask.[[#This Row],[%-osuus 6]],0),0)</f>
        <v>5824</v>
      </c>
      <c r="AA70" s="139">
        <f>IFERROR(ROUND(VLOOKUP(Ohj.lask.[[#This Row],[Y-tunnus]],'2.7 Työpaikkakysely'!A:G,COLUMN('2.7 Työpaikkakysely'!F:F),FALSE),1),0)</f>
        <v>55673</v>
      </c>
      <c r="AB70" s="10">
        <f>IFERROR(Ohj.lask.[[#This Row],[Pisteet 7]]/Ohj.lask.[[#Totals],[Pisteet 7]],0)</f>
        <v>2.7204178693194305E-4</v>
      </c>
      <c r="AC70" s="17">
        <f>ROUND(IFERROR('1.1 Jakotaulu'!M$21*Ohj.lask.[[#This Row],[%-osuus 7]],0),0)</f>
        <v>2105</v>
      </c>
      <c r="AD70" s="13">
        <f>IFERROR(Ohj.lask.[[#This Row],[Jaettava € 8]]/Ohj.lask.[[#Totals],[Jaettava € 8]],"")</f>
        <v>1.5235181367127994E-4</v>
      </c>
      <c r="AE7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310924</v>
      </c>
      <c r="AF70" s="103">
        <v>0</v>
      </c>
      <c r="AG70" s="103">
        <v>0</v>
      </c>
      <c r="AH70" s="107">
        <v>0</v>
      </c>
      <c r="AI70" s="33">
        <v>1000</v>
      </c>
      <c r="AJ70" s="107">
        <v>0</v>
      </c>
      <c r="AK7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70" s="11">
        <f>Ohj.lask.[[#This Row],[Jaettava € 1]]+Ohj.lask.[[#This Row],[Harkinnanvarainen korotus yhteensä, €]]</f>
        <v>184644</v>
      </c>
      <c r="AM70" s="103">
        <f>Ohj.lask.[[#This Row],[Jaettava € 2]]</f>
        <v>65491</v>
      </c>
      <c r="AN70" s="11">
        <f>Ohj.lask.[[#This Row],[Jaettava € 3]]+Ohj.lask.[[#This Row],[Jaettava € 4]]+Ohj.lask.[[#This Row],[Jaettava € 5]]+Ohj.lask.[[#This Row],[Jaettava € 6]]+Ohj.lask.[[#This Row],[Jaettava € 7]]</f>
        <v>61789</v>
      </c>
      <c r="AO70" s="34">
        <f>Ohj.lask.[[#This Row],[Jaettava € 8]]+Ohj.lask.[[#This Row],[Harkinnanvarainen korotus yhteensä, €]]</f>
        <v>311924</v>
      </c>
      <c r="AP70" s="12">
        <v>13125</v>
      </c>
      <c r="AQ70" s="34">
        <f>Ohj.lask.[[#This Row],[Perus-, suoritus- ja vaikuttavuusrahoitus yhteensä, €]]+Ohj.lask.[[#This Row],[Alv-korvaus, €]]</f>
        <v>325049</v>
      </c>
    </row>
    <row r="71" spans="1:43" ht="12.75" x14ac:dyDescent="0.2">
      <c r="A71" s="4" t="s">
        <v>259</v>
      </c>
      <c r="B71" s="8" t="s">
        <v>66</v>
      </c>
      <c r="C71" s="8" t="s">
        <v>186</v>
      </c>
      <c r="D71" s="8" t="s">
        <v>326</v>
      </c>
      <c r="E71" s="8" t="s">
        <v>375</v>
      </c>
      <c r="F71" s="106">
        <v>24</v>
      </c>
      <c r="G71" s="33">
        <v>23</v>
      </c>
      <c r="H71" s="9">
        <f>IFERROR(VLOOKUP(Ohj.lask.[[#This Row],[Y-tunnus]],'2.1 Toteut. op.vuodet'!$A:$T,COLUMN('2.1 Toteut. op.vuodet'!S:S),FALSE),0)</f>
        <v>0.74181856580589478</v>
      </c>
      <c r="I71" s="74">
        <f t="shared" si="2"/>
        <v>17.100000000000001</v>
      </c>
      <c r="J71" s="10">
        <f>IFERROR(Ohj.lask.[[#This Row],[Painotetut opiskelija-vuodet]]/Ohj.lask.[[#Totals],[Painotetut opiskelija-vuodet]],0)</f>
        <v>8.303953847498616E-5</v>
      </c>
      <c r="K71" s="11">
        <f>ROUND(IFERROR('1.1 Jakotaulu'!L$12*Ohj.lask.[[#This Row],[%-osuus 1]],0),0)</f>
        <v>118057</v>
      </c>
      <c r="L71" s="139">
        <f>IFERROR(ROUND(VLOOKUP(Ohj.lask.[[#This Row],[Y-tunnus]],'2.2 Tutk. ja osien pain. pist.'!$A:$Q,COLUMN('2.2 Tutk. ja osien pain. pist.'!O:O),FALSE),1),0)</f>
        <v>1716.7</v>
      </c>
      <c r="M71" s="10">
        <f>IFERROR(Ohj.lask.[[#This Row],[Painotetut pisteet 2]]/Ohj.lask.[[#Totals],[Painotetut pisteet 2]],0)</f>
        <v>1.0899807524142145E-4</v>
      </c>
      <c r="N71" s="17">
        <f>ROUND(IFERROR('1.1 Jakotaulu'!K$13*Ohj.lask.[[#This Row],[%-osuus 2]],0),0)</f>
        <v>44990</v>
      </c>
      <c r="O71" s="140">
        <f>IFERROR(ROUND(VLOOKUP(Ohj.lask.[[#This Row],[Y-tunnus]],'2.3 Työll. ja jatko-opisk.'!$A:$Y,COLUMN('2.3 Työll. ja jatko-opisk.'!L:L),FALSE),1),0)</f>
        <v>56.8</v>
      </c>
      <c r="P71" s="10">
        <f>IFERROR(Ohj.lask.[[#This Row],[Painotetut pisteet 3]]/Ohj.lask.[[#Totals],[Painotetut pisteet 3]],0)</f>
        <v>1.6828358153680238E-4</v>
      </c>
      <c r="Q71" s="11">
        <f>ROUND(IFERROR('1.1 Jakotaulu'!L$15*Ohj.lask.[[#This Row],[%-osuus 3]],0),0)</f>
        <v>24311</v>
      </c>
      <c r="R71" s="139">
        <f>IFERROR(ROUND(VLOOKUP(Ohj.lask.[[#This Row],[Y-tunnus]],'2.4 Aloittaneet palaute'!$A:$I,COLUMN('2.4 Aloittaneet palaute'!H:H),FALSE),1),0)</f>
        <v>512</v>
      </c>
      <c r="S71" s="14">
        <f>IFERROR(Ohj.lask.[[#This Row],[Painotetut pisteet 4]]/Ohj.lask.[[#Totals],[Painotetut pisteet 4]],0)</f>
        <v>2.944814012851468E-4</v>
      </c>
      <c r="T71" s="17">
        <f>ROUND(IFERROR('1.1 Jakotaulu'!M$17*Ohj.lask.[[#This Row],[%-osuus 4]],0),0)</f>
        <v>2279</v>
      </c>
      <c r="U71" s="139">
        <f>IFERROR(ROUND(VLOOKUP(Ohj.lask.[[#This Row],[Y-tunnus]],'2.5 Päättäneet palaute'!$A:$Y,COLUMN('2.5 Päättäneet palaute'!X:X),FALSE),1),0)</f>
        <v>2558.6</v>
      </c>
      <c r="V71" s="14">
        <f>IFERROR(Ohj.lask.[[#This Row],[Painotetut pisteet 5]]/Ohj.lask.[[#Totals],[Painotetut pisteet 5]],0)</f>
        <v>2.305731779212799E-4</v>
      </c>
      <c r="W71" s="17">
        <f>ROUND(IFERROR('1.1 Jakotaulu'!M$18*Ohj.lask.[[#This Row],[%-osuus 5]],0),0)</f>
        <v>5353</v>
      </c>
      <c r="X71" s="139">
        <f>IFERROR(ROUND(VLOOKUP(Ohj.lask.[[#This Row],[Y-tunnus]],'2.6 Työpaikkaohjaajakysely'!A:I,COLUMN('2.6 Työpaikkaohjaajakysely'!H:H),FALSE),1),0)</f>
        <v>79718.399999999994</v>
      </c>
      <c r="Y71" s="10">
        <f>IFERROR(Ohj.lask.[[#This Row],[Painotetut pisteet 6]]/Ohj.lask.[[#Totals],[Painotetut pisteet 6]],0)</f>
        <v>2.3230217737523452E-4</v>
      </c>
      <c r="Z71" s="17">
        <f>ROUND(IFERROR('1.1 Jakotaulu'!M$20*Ohj.lask.[[#This Row],[%-osuus 6]],0),0)</f>
        <v>5393</v>
      </c>
      <c r="AA71" s="139">
        <f>IFERROR(ROUND(VLOOKUP(Ohj.lask.[[#This Row],[Y-tunnus]],'2.7 Työpaikkakysely'!A:G,COLUMN('2.7 Työpaikkakysely'!F:F),FALSE),1),0)</f>
        <v>69731.3</v>
      </c>
      <c r="AB71" s="10">
        <f>IFERROR(Ohj.lask.[[#This Row],[Pisteet 7]]/Ohj.lask.[[#Totals],[Pisteet 7]],0)</f>
        <v>3.4073657710357631E-4</v>
      </c>
      <c r="AC71" s="17">
        <f>ROUND(IFERROR('1.1 Jakotaulu'!M$21*Ohj.lask.[[#This Row],[%-osuus 7]],0),0)</f>
        <v>2637</v>
      </c>
      <c r="AD71" s="13">
        <f>IFERROR(Ohj.lask.[[#This Row],[Jaettava € 8]]/Ohj.lask.[[#Totals],[Jaettava € 8]],"")</f>
        <v>9.9479182088044838E-5</v>
      </c>
      <c r="AE7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203020</v>
      </c>
      <c r="AF71" s="103">
        <v>0</v>
      </c>
      <c r="AG71" s="103">
        <v>0</v>
      </c>
      <c r="AH71" s="107">
        <v>0</v>
      </c>
      <c r="AI71" s="33">
        <v>1000</v>
      </c>
      <c r="AJ71" s="107">
        <v>0</v>
      </c>
      <c r="AK7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71" s="11">
        <f>Ohj.lask.[[#This Row],[Jaettava € 1]]+Ohj.lask.[[#This Row],[Harkinnanvarainen korotus yhteensä, €]]</f>
        <v>119057</v>
      </c>
      <c r="AM71" s="103">
        <f>Ohj.lask.[[#This Row],[Jaettava € 2]]</f>
        <v>44990</v>
      </c>
      <c r="AN71" s="11">
        <f>Ohj.lask.[[#This Row],[Jaettava € 3]]+Ohj.lask.[[#This Row],[Jaettava € 4]]+Ohj.lask.[[#This Row],[Jaettava € 5]]+Ohj.lask.[[#This Row],[Jaettava € 6]]+Ohj.lask.[[#This Row],[Jaettava € 7]]</f>
        <v>39973</v>
      </c>
      <c r="AO71" s="34">
        <f>Ohj.lask.[[#This Row],[Jaettava € 8]]+Ohj.lask.[[#This Row],[Harkinnanvarainen korotus yhteensä, €]]</f>
        <v>204020</v>
      </c>
      <c r="AP71" s="12">
        <v>4989</v>
      </c>
      <c r="AQ71" s="34">
        <f>Ohj.lask.[[#This Row],[Perus-, suoritus- ja vaikuttavuusrahoitus yhteensä, €]]+Ohj.lask.[[#This Row],[Alv-korvaus, €]]</f>
        <v>209009</v>
      </c>
    </row>
    <row r="72" spans="1:43" ht="12.75" x14ac:dyDescent="0.2">
      <c r="A72" s="4" t="s">
        <v>258</v>
      </c>
      <c r="B72" s="8" t="s">
        <v>67</v>
      </c>
      <c r="C72" s="8" t="s">
        <v>186</v>
      </c>
      <c r="D72" s="8" t="s">
        <v>326</v>
      </c>
      <c r="E72" s="8" t="s">
        <v>375</v>
      </c>
      <c r="F72" s="106">
        <v>41</v>
      </c>
      <c r="G72" s="33">
        <v>37</v>
      </c>
      <c r="H72" s="9">
        <f>IFERROR(VLOOKUP(Ohj.lask.[[#This Row],[Y-tunnus]],'2.1 Toteut. op.vuodet'!$A:$T,COLUMN('2.1 Toteut. op.vuodet'!S:S),FALSE),0)</f>
        <v>1.4341525812003946</v>
      </c>
      <c r="I72" s="74">
        <f t="shared" si="2"/>
        <v>53.1</v>
      </c>
      <c r="J72" s="10">
        <f>IFERROR(Ohj.lask.[[#This Row],[Painotetut opiskelija-vuodet]]/Ohj.lask.[[#Totals],[Painotetut opiskelija-vuodet]],0)</f>
        <v>2.5785961947495705E-4</v>
      </c>
      <c r="K72" s="11">
        <f>ROUND(IFERROR('1.1 Jakotaulu'!L$12*Ohj.lask.[[#This Row],[%-osuus 1]],0),0)</f>
        <v>366598</v>
      </c>
      <c r="L72" s="139">
        <f>IFERROR(ROUND(VLOOKUP(Ohj.lask.[[#This Row],[Y-tunnus]],'2.2 Tutk. ja osien pain. pist.'!$A:$Q,COLUMN('2.2 Tutk. ja osien pain. pist.'!O:O),FALSE),1),0)</f>
        <v>6619.5</v>
      </c>
      <c r="M72" s="10">
        <f>IFERROR(Ohj.lask.[[#This Row],[Painotetut pisteet 2]]/Ohj.lask.[[#Totals],[Painotetut pisteet 2]],0)</f>
        <v>4.2029053361716627E-4</v>
      </c>
      <c r="N72" s="17">
        <f>ROUND(IFERROR('1.1 Jakotaulu'!K$13*Ohj.lask.[[#This Row],[%-osuus 2]],0),0)</f>
        <v>173477</v>
      </c>
      <c r="O72" s="140">
        <f>IFERROR(ROUND(VLOOKUP(Ohj.lask.[[#This Row],[Y-tunnus]],'2.3 Työll. ja jatko-opisk.'!$A:$Y,COLUMN('2.3 Työll. ja jatko-opisk.'!L:L),FALSE),1),0)</f>
        <v>85.5</v>
      </c>
      <c r="P72" s="10">
        <f>IFERROR(Ohj.lask.[[#This Row],[Painotetut pisteet 3]]/Ohj.lask.[[#Totals],[Painotetut pisteet 3]],0)</f>
        <v>2.5331419403867264E-4</v>
      </c>
      <c r="Q72" s="11">
        <f>ROUND(IFERROR('1.1 Jakotaulu'!L$15*Ohj.lask.[[#This Row],[%-osuus 3]],0),0)</f>
        <v>36595</v>
      </c>
      <c r="R72" s="139">
        <f>IFERROR(ROUND(VLOOKUP(Ohj.lask.[[#This Row],[Y-tunnus]],'2.4 Aloittaneet palaute'!$A:$I,COLUMN('2.4 Aloittaneet palaute'!H:H),FALSE),1),0)</f>
        <v>397.2</v>
      </c>
      <c r="S72" s="14">
        <f>IFERROR(Ohj.lask.[[#This Row],[Painotetut pisteet 4]]/Ohj.lask.[[#Totals],[Painotetut pisteet 4]],0)</f>
        <v>2.2845314959074278E-4</v>
      </c>
      <c r="T72" s="17">
        <f>ROUND(IFERROR('1.1 Jakotaulu'!M$17*Ohj.lask.[[#This Row],[%-osuus 4]],0),0)</f>
        <v>1768</v>
      </c>
      <c r="U72" s="139">
        <f>IFERROR(ROUND(VLOOKUP(Ohj.lask.[[#This Row],[Y-tunnus]],'2.5 Päättäneet palaute'!$A:$Y,COLUMN('2.5 Päättäneet palaute'!X:X),FALSE),1),0)</f>
        <v>2984.8</v>
      </c>
      <c r="V72" s="14">
        <f>IFERROR(Ohj.lask.[[#This Row],[Painotetut pisteet 5]]/Ohj.lask.[[#Totals],[Painotetut pisteet 5]],0)</f>
        <v>2.6898101362441817E-4</v>
      </c>
      <c r="W72" s="17">
        <f>ROUND(IFERROR('1.1 Jakotaulu'!M$18*Ohj.lask.[[#This Row],[%-osuus 5]],0),0)</f>
        <v>6245</v>
      </c>
      <c r="X72" s="139">
        <f>IFERROR(ROUND(VLOOKUP(Ohj.lask.[[#This Row],[Y-tunnus]],'2.6 Työpaikkaohjaajakysely'!A:I,COLUMN('2.6 Työpaikkaohjaajakysely'!H:H),FALSE),1),0)</f>
        <v>19047.400000000001</v>
      </c>
      <c r="Y72" s="10">
        <f>IFERROR(Ohj.lask.[[#This Row],[Painotetut pisteet 6]]/Ohj.lask.[[#Totals],[Painotetut pisteet 6]],0)</f>
        <v>5.5504783002883183E-5</v>
      </c>
      <c r="Z72" s="17">
        <f>ROUND(IFERROR('1.1 Jakotaulu'!M$20*Ohj.lask.[[#This Row],[%-osuus 6]],0),0)</f>
        <v>1289</v>
      </c>
      <c r="AA72" s="139">
        <f>IFERROR(ROUND(VLOOKUP(Ohj.lask.[[#This Row],[Y-tunnus]],'2.7 Työpaikkakysely'!A:G,COLUMN('2.7 Työpaikkakysely'!F:F),FALSE),1),0)</f>
        <v>15002</v>
      </c>
      <c r="AB72" s="10">
        <f>IFERROR(Ohj.lask.[[#This Row],[Pisteet 7]]/Ohj.lask.[[#Totals],[Pisteet 7]],0)</f>
        <v>7.3306106866039366E-5</v>
      </c>
      <c r="AC72" s="17">
        <f>ROUND(IFERROR('1.1 Jakotaulu'!M$21*Ohj.lask.[[#This Row],[%-osuus 7]],0),0)</f>
        <v>567</v>
      </c>
      <c r="AD72" s="13">
        <f>IFERROR(Ohj.lask.[[#This Row],[Jaettava € 8]]/Ohj.lask.[[#Totals],[Jaettava € 8]],"")</f>
        <v>2.8740232480908151E-4</v>
      </c>
      <c r="AE7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586539</v>
      </c>
      <c r="AF72" s="103">
        <v>0</v>
      </c>
      <c r="AG72" s="103">
        <v>0</v>
      </c>
      <c r="AH72" s="107">
        <v>0</v>
      </c>
      <c r="AI72" s="33">
        <v>0</v>
      </c>
      <c r="AJ72" s="107">
        <v>0</v>
      </c>
      <c r="AK7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72" s="11">
        <f>Ohj.lask.[[#This Row],[Jaettava € 1]]+Ohj.lask.[[#This Row],[Harkinnanvarainen korotus yhteensä, €]]</f>
        <v>366598</v>
      </c>
      <c r="AM72" s="103">
        <f>Ohj.lask.[[#This Row],[Jaettava € 2]]</f>
        <v>173477</v>
      </c>
      <c r="AN72" s="11">
        <f>Ohj.lask.[[#This Row],[Jaettava € 3]]+Ohj.lask.[[#This Row],[Jaettava € 4]]+Ohj.lask.[[#This Row],[Jaettava € 5]]+Ohj.lask.[[#This Row],[Jaettava € 6]]+Ohj.lask.[[#This Row],[Jaettava € 7]]</f>
        <v>46464</v>
      </c>
      <c r="AO72" s="34">
        <f>Ohj.lask.[[#This Row],[Jaettava € 8]]+Ohj.lask.[[#This Row],[Harkinnanvarainen korotus yhteensä, €]]</f>
        <v>586539</v>
      </c>
      <c r="AP72" s="12">
        <v>16816</v>
      </c>
      <c r="AQ72" s="34">
        <f>Ohj.lask.[[#This Row],[Perus-, suoritus- ja vaikuttavuusrahoitus yhteensä, €]]+Ohj.lask.[[#This Row],[Alv-korvaus, €]]</f>
        <v>603355</v>
      </c>
    </row>
    <row r="73" spans="1:43" ht="12.75" x14ac:dyDescent="0.2">
      <c r="A73" s="4" t="s">
        <v>296</v>
      </c>
      <c r="B73" s="8" t="s">
        <v>468</v>
      </c>
      <c r="C73" s="8" t="s">
        <v>174</v>
      </c>
      <c r="D73" s="8" t="s">
        <v>326</v>
      </c>
      <c r="E73" s="8" t="s">
        <v>375</v>
      </c>
      <c r="F73" s="106">
        <v>893</v>
      </c>
      <c r="G73" s="33">
        <v>1057</v>
      </c>
      <c r="H73" s="9">
        <f>IFERROR(VLOOKUP(Ohj.lask.[[#This Row],[Y-tunnus]],'2.1 Toteut. op.vuodet'!$A:$T,COLUMN('2.1 Toteut. op.vuodet'!S:S),FALSE),0)</f>
        <v>5.262951870436325</v>
      </c>
      <c r="I73" s="74">
        <f t="shared" si="2"/>
        <v>5562.9</v>
      </c>
      <c r="J73" s="10">
        <f>IFERROR(Ohj.lask.[[#This Row],[Painotetut opiskelija-vuodet]]/Ohj.lask.[[#Totals],[Painotetut opiskelija-vuodet]],0)</f>
        <v>2.7014073016520496E-2</v>
      </c>
      <c r="K73" s="11">
        <f>ROUND(IFERROR('1.1 Jakotaulu'!L$12*Ohj.lask.[[#This Row],[%-osuus 1]],0),0)</f>
        <v>38405827</v>
      </c>
      <c r="L73" s="139">
        <f>IFERROR(ROUND(VLOOKUP(Ohj.lask.[[#This Row],[Y-tunnus]],'2.2 Tutk. ja osien pain. pist.'!$A:$Q,COLUMN('2.2 Tutk. ja osien pain. pist.'!O:O),FALSE),1),0)</f>
        <v>176854.9</v>
      </c>
      <c r="M73" s="10">
        <f>IFERROR(Ohj.lask.[[#This Row],[Painotetut pisteet 2]]/Ohj.lask.[[#Totals],[Painotetut pisteet 2]],0)</f>
        <v>1.1229011299012097E-2</v>
      </c>
      <c r="N73" s="17">
        <f>ROUND(IFERROR('1.1 Jakotaulu'!K$13*Ohj.lask.[[#This Row],[%-osuus 2]],0),0)</f>
        <v>4634831</v>
      </c>
      <c r="O73" s="140">
        <f>IFERROR(ROUND(VLOOKUP(Ohj.lask.[[#This Row],[Y-tunnus]],'2.3 Työll. ja jatko-opisk.'!$A:$Y,COLUMN('2.3 Työll. ja jatko-opisk.'!L:L),FALSE),1),0)</f>
        <v>838.9</v>
      </c>
      <c r="P73" s="10">
        <f>IFERROR(Ohj.lask.[[#This Row],[Painotetut pisteet 3]]/Ohj.lask.[[#Totals],[Painotetut pisteet 3]],0)</f>
        <v>2.4854418406905551E-3</v>
      </c>
      <c r="Q73" s="11">
        <f>ROUND(IFERROR('1.1 Jakotaulu'!L$15*Ohj.lask.[[#This Row],[%-osuus 3]],0),0)</f>
        <v>359057</v>
      </c>
      <c r="R73" s="139">
        <f>IFERROR(ROUND(VLOOKUP(Ohj.lask.[[#This Row],[Y-tunnus]],'2.4 Aloittaneet palaute'!$A:$I,COLUMN('2.4 Aloittaneet palaute'!H:H),FALSE),1),0)</f>
        <v>5078.6000000000004</v>
      </c>
      <c r="S73" s="14">
        <f>IFERROR(Ohj.lask.[[#This Row],[Painotetut pisteet 4]]/Ohj.lask.[[#Totals],[Painotetut pisteet 4]],0)</f>
        <v>2.9210024307944268E-3</v>
      </c>
      <c r="T73" s="17">
        <f>ROUND(IFERROR('1.1 Jakotaulu'!M$17*Ohj.lask.[[#This Row],[%-osuus 4]],0),0)</f>
        <v>22606</v>
      </c>
      <c r="U73" s="139">
        <f>IFERROR(ROUND(VLOOKUP(Ohj.lask.[[#This Row],[Y-tunnus]],'2.5 Päättäneet palaute'!$A:$Y,COLUMN('2.5 Päättäneet palaute'!X:X),FALSE),1),0)</f>
        <v>26583.9</v>
      </c>
      <c r="V73" s="14">
        <f>IFERROR(Ohj.lask.[[#This Row],[Painotetut pisteet 5]]/Ohj.lask.[[#Totals],[Painotetut pisteet 5]],0)</f>
        <v>2.3956594639808933E-3</v>
      </c>
      <c r="W73" s="17">
        <f>ROUND(IFERROR('1.1 Jakotaulu'!M$18*Ohj.lask.[[#This Row],[%-osuus 5]],0),0)</f>
        <v>55621</v>
      </c>
      <c r="X73" s="139">
        <f>IFERROR(ROUND(VLOOKUP(Ohj.lask.[[#This Row],[Y-tunnus]],'2.6 Työpaikkaohjaajakysely'!A:I,COLUMN('2.6 Työpaikkaohjaajakysely'!H:H),FALSE),1),0)</f>
        <v>699392.2</v>
      </c>
      <c r="Y73" s="10">
        <f>IFERROR(Ohj.lask.[[#This Row],[Painotetut pisteet 6]]/Ohj.lask.[[#Totals],[Painotetut pisteet 6]],0)</f>
        <v>2.0380530830931818E-3</v>
      </c>
      <c r="Z73" s="17">
        <f>ROUND(IFERROR('1.1 Jakotaulu'!M$20*Ohj.lask.[[#This Row],[%-osuus 6]],0),0)</f>
        <v>47318</v>
      </c>
      <c r="AA73" s="139">
        <f>IFERROR(ROUND(VLOOKUP(Ohj.lask.[[#This Row],[Y-tunnus]],'2.7 Työpaikkakysely'!A:G,COLUMN('2.7 Työpaikkakysely'!F:F),FALSE),1),0)</f>
        <v>204699</v>
      </c>
      <c r="AB73" s="10">
        <f>IFERROR(Ohj.lask.[[#This Row],[Pisteet 7]]/Ohj.lask.[[#Totals],[Pisteet 7]],0)</f>
        <v>1.0002457518578452E-3</v>
      </c>
      <c r="AC73" s="17">
        <f>ROUND(IFERROR('1.1 Jakotaulu'!M$21*Ohj.lask.[[#This Row],[%-osuus 7]],0),0)</f>
        <v>7741</v>
      </c>
      <c r="AD73" s="13">
        <f>IFERROR(Ohj.lask.[[#This Row],[Jaettava € 8]]/Ohj.lask.[[#Totals],[Jaettava € 8]],"")</f>
        <v>2.1331037992897438E-2</v>
      </c>
      <c r="AE7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43533001</v>
      </c>
      <c r="AF73" s="103">
        <v>0</v>
      </c>
      <c r="AG73" s="103">
        <v>0</v>
      </c>
      <c r="AH73" s="107">
        <v>0</v>
      </c>
      <c r="AI73" s="33">
        <v>8000</v>
      </c>
      <c r="AJ73" s="107">
        <v>0</v>
      </c>
      <c r="AK7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8000</v>
      </c>
      <c r="AL73" s="11">
        <f>Ohj.lask.[[#This Row],[Jaettava € 1]]+Ohj.lask.[[#This Row],[Harkinnanvarainen korotus yhteensä, €]]</f>
        <v>38413827</v>
      </c>
      <c r="AM73" s="103">
        <f>Ohj.lask.[[#This Row],[Jaettava € 2]]</f>
        <v>4634831</v>
      </c>
      <c r="AN73" s="11">
        <f>Ohj.lask.[[#This Row],[Jaettava € 3]]+Ohj.lask.[[#This Row],[Jaettava € 4]]+Ohj.lask.[[#This Row],[Jaettava € 5]]+Ohj.lask.[[#This Row],[Jaettava € 6]]+Ohj.lask.[[#This Row],[Jaettava € 7]]</f>
        <v>492343</v>
      </c>
      <c r="AO73" s="34">
        <f>Ohj.lask.[[#This Row],[Jaettava € 8]]+Ohj.lask.[[#This Row],[Harkinnanvarainen korotus yhteensä, €]]</f>
        <v>43541001</v>
      </c>
      <c r="AP73" s="12">
        <v>1502939</v>
      </c>
      <c r="AQ73" s="34">
        <f>Ohj.lask.[[#This Row],[Perus-, suoritus- ja vaikuttavuusrahoitus yhteensä, €]]+Ohj.lask.[[#This Row],[Alv-korvaus, €]]</f>
        <v>45043940</v>
      </c>
    </row>
    <row r="74" spans="1:43" ht="12.75" x14ac:dyDescent="0.2">
      <c r="A74" s="4" t="s">
        <v>257</v>
      </c>
      <c r="B74" s="8" t="s">
        <v>68</v>
      </c>
      <c r="C74" s="8" t="s">
        <v>256</v>
      </c>
      <c r="D74" s="8" t="s">
        <v>325</v>
      </c>
      <c r="E74" s="8" t="s">
        <v>375</v>
      </c>
      <c r="F74" s="106">
        <v>1130</v>
      </c>
      <c r="G74" s="33">
        <v>1179</v>
      </c>
      <c r="H74" s="9">
        <f>IFERROR(VLOOKUP(Ohj.lask.[[#This Row],[Y-tunnus]],'2.1 Toteut. op.vuodet'!$A:$T,COLUMN('2.1 Toteut. op.vuodet'!S:S),FALSE),0)</f>
        <v>1.0712227767148359</v>
      </c>
      <c r="I74" s="74">
        <f t="shared" si="2"/>
        <v>1263</v>
      </c>
      <c r="J74" s="10">
        <f>IFERROR(Ohj.lask.[[#This Row],[Painotetut opiskelija-vuodet]]/Ohj.lask.[[#Totals],[Painotetut opiskelija-vuodet]],0)</f>
        <v>6.1332711750823115E-3</v>
      </c>
      <c r="K74" s="11">
        <f>ROUND(IFERROR('1.1 Jakotaulu'!L$12*Ohj.lask.[[#This Row],[%-osuus 1]],0),0)</f>
        <v>8719653</v>
      </c>
      <c r="L74" s="139">
        <f>IFERROR(ROUND(VLOOKUP(Ohj.lask.[[#This Row],[Y-tunnus]],'2.2 Tutk. ja osien pain. pist.'!$A:$Q,COLUMN('2.2 Tutk. ja osien pain. pist.'!O:O),FALSE),1),0)</f>
        <v>100035.1</v>
      </c>
      <c r="M74" s="10">
        <f>IFERROR(Ohj.lask.[[#This Row],[Painotetut pisteet 2]]/Ohj.lask.[[#Totals],[Painotetut pisteet 2]],0)</f>
        <v>6.3515077512571331E-3</v>
      </c>
      <c r="N74" s="17">
        <f>ROUND(IFERROR('1.1 Jakotaulu'!K$13*Ohj.lask.[[#This Row],[%-osuus 2]],0),0)</f>
        <v>2621617</v>
      </c>
      <c r="O74" s="140">
        <f>IFERROR(ROUND(VLOOKUP(Ohj.lask.[[#This Row],[Y-tunnus]],'2.3 Työll. ja jatko-opisk.'!$A:$Y,COLUMN('2.3 Työll. ja jatko-opisk.'!L:L),FALSE),1),0)</f>
        <v>2424.8000000000002</v>
      </c>
      <c r="P74" s="10">
        <f>IFERROR(Ohj.lask.[[#This Row],[Painotetut pisteet 3]]/Ohj.lask.[[#Totals],[Painotetut pisteet 3]],0)</f>
        <v>7.1840497977189877E-3</v>
      </c>
      <c r="Q74" s="11">
        <f>ROUND(IFERROR('1.1 Jakotaulu'!L$15*Ohj.lask.[[#This Row],[%-osuus 3]],0),0)</f>
        <v>1037836</v>
      </c>
      <c r="R74" s="139">
        <f>IFERROR(ROUND(VLOOKUP(Ohj.lask.[[#This Row],[Y-tunnus]],'2.4 Aloittaneet palaute'!$A:$I,COLUMN('2.4 Aloittaneet palaute'!H:H),FALSE),1),0)</f>
        <v>12360.3</v>
      </c>
      <c r="S74" s="14">
        <f>IFERROR(Ohj.lask.[[#This Row],[Painotetut pisteet 4]]/Ohj.lask.[[#Totals],[Painotetut pisteet 4]],0)</f>
        <v>7.1091376255953114E-3</v>
      </c>
      <c r="T74" s="17">
        <f>ROUND(IFERROR('1.1 Jakotaulu'!M$17*Ohj.lask.[[#This Row],[%-osuus 4]],0),0)</f>
        <v>55019</v>
      </c>
      <c r="U74" s="139">
        <f>IFERROR(ROUND(VLOOKUP(Ohj.lask.[[#This Row],[Y-tunnus]],'2.5 Päättäneet palaute'!$A:$Y,COLUMN('2.5 Päättäneet palaute'!X:X),FALSE),1),0)</f>
        <v>82967.600000000006</v>
      </c>
      <c r="V74" s="14">
        <f>IFERROR(Ohj.lask.[[#This Row],[Painotetut pisteet 5]]/Ohj.lask.[[#Totals],[Painotetut pisteet 5]],0)</f>
        <v>7.4767854281644584E-3</v>
      </c>
      <c r="W74" s="17">
        <f>ROUND(IFERROR('1.1 Jakotaulu'!M$18*Ohj.lask.[[#This Row],[%-osuus 5]],0),0)</f>
        <v>173592</v>
      </c>
      <c r="X74" s="139">
        <f>IFERROR(ROUND(VLOOKUP(Ohj.lask.[[#This Row],[Y-tunnus]],'2.6 Työpaikkaohjaajakysely'!A:I,COLUMN('2.6 Työpaikkaohjaajakysely'!H:H),FALSE),1),0)</f>
        <v>2761375</v>
      </c>
      <c r="Y74" s="10">
        <f>IFERROR(Ohj.lask.[[#This Row],[Painotetut pisteet 6]]/Ohj.lask.[[#Totals],[Painotetut pisteet 6]],0)</f>
        <v>8.0467423461777748E-3</v>
      </c>
      <c r="Z74" s="17">
        <f>ROUND(IFERROR('1.1 Jakotaulu'!M$20*Ohj.lask.[[#This Row],[%-osuus 6]],0),0)</f>
        <v>186825</v>
      </c>
      <c r="AA74" s="139">
        <f>IFERROR(ROUND(VLOOKUP(Ohj.lask.[[#This Row],[Y-tunnus]],'2.7 Työpaikkakysely'!A:G,COLUMN('2.7 Työpaikkakysely'!F:F),FALSE),1),0)</f>
        <v>1063923.6000000001</v>
      </c>
      <c r="AB74" s="10">
        <f>IFERROR(Ohj.lask.[[#This Row],[Pisteet 7]]/Ohj.lask.[[#Totals],[Pisteet 7]],0)</f>
        <v>5.1987799705973427E-3</v>
      </c>
      <c r="AC74" s="17">
        <f>ROUND(IFERROR('1.1 Jakotaulu'!M$21*Ohj.lask.[[#This Row],[%-osuus 7]],0),0)</f>
        <v>40234</v>
      </c>
      <c r="AD74" s="13">
        <f>IFERROR(Ohj.lask.[[#This Row],[Jaettava € 8]]/Ohj.lask.[[#Totals],[Jaettava € 8]],"")</f>
        <v>6.2890011760578651E-3</v>
      </c>
      <c r="AE7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12834776</v>
      </c>
      <c r="AF74" s="103">
        <v>0</v>
      </c>
      <c r="AG74" s="103">
        <v>120000</v>
      </c>
      <c r="AH74" s="107">
        <v>0</v>
      </c>
      <c r="AI74" s="33">
        <v>21000</v>
      </c>
      <c r="AJ74" s="107">
        <v>0</v>
      </c>
      <c r="AK7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141000</v>
      </c>
      <c r="AL74" s="11">
        <f>Ohj.lask.[[#This Row],[Jaettava € 1]]+Ohj.lask.[[#This Row],[Harkinnanvarainen korotus yhteensä, €]]</f>
        <v>8860653</v>
      </c>
      <c r="AM74" s="103">
        <f>Ohj.lask.[[#This Row],[Jaettava € 2]]</f>
        <v>2621617</v>
      </c>
      <c r="AN74" s="11">
        <f>Ohj.lask.[[#This Row],[Jaettava € 3]]+Ohj.lask.[[#This Row],[Jaettava € 4]]+Ohj.lask.[[#This Row],[Jaettava € 5]]+Ohj.lask.[[#This Row],[Jaettava € 6]]+Ohj.lask.[[#This Row],[Jaettava € 7]]</f>
        <v>1493506</v>
      </c>
      <c r="AO74" s="34">
        <f>Ohj.lask.[[#This Row],[Jaettava € 8]]+Ohj.lask.[[#This Row],[Harkinnanvarainen korotus yhteensä, €]]</f>
        <v>12975776</v>
      </c>
      <c r="AP74" s="12">
        <v>0</v>
      </c>
      <c r="AQ74" s="34">
        <f>Ohj.lask.[[#This Row],[Perus-, suoritus- ja vaikuttavuusrahoitus yhteensä, €]]+Ohj.lask.[[#This Row],[Alv-korvaus, €]]</f>
        <v>12975776</v>
      </c>
    </row>
    <row r="75" spans="1:43" ht="12.75" x14ac:dyDescent="0.2">
      <c r="A75" s="4" t="s">
        <v>255</v>
      </c>
      <c r="B75" s="8" t="s">
        <v>69</v>
      </c>
      <c r="C75" s="8" t="s">
        <v>187</v>
      </c>
      <c r="D75" s="8" t="s">
        <v>325</v>
      </c>
      <c r="E75" s="8" t="s">
        <v>375</v>
      </c>
      <c r="F75" s="106">
        <v>1604</v>
      </c>
      <c r="G75" s="33">
        <v>1595</v>
      </c>
      <c r="H75" s="9">
        <f>IFERROR(VLOOKUP(Ohj.lask.[[#This Row],[Y-tunnus]],'2.1 Toteut. op.vuodet'!$A:$T,COLUMN('2.1 Toteut. op.vuodet'!S:S),FALSE),0)</f>
        <v>1.1258812150783517</v>
      </c>
      <c r="I75" s="74">
        <f t="shared" si="2"/>
        <v>1795.8</v>
      </c>
      <c r="J75" s="10">
        <f>IFERROR(Ohj.lask.[[#This Row],[Painotetut opiskelija-vuodet]]/Ohj.lask.[[#Totals],[Painotetut opiskelija-vuodet]],0)</f>
        <v>8.7206083738818798E-3</v>
      </c>
      <c r="K75" s="11">
        <f>ROUND(IFERROR('1.1 Jakotaulu'!L$12*Ohj.lask.[[#This Row],[%-osuus 1]],0),0)</f>
        <v>12398063</v>
      </c>
      <c r="L75" s="139">
        <f>IFERROR(ROUND(VLOOKUP(Ohj.lask.[[#This Row],[Y-tunnus]],'2.2 Tutk. ja osien pain. pist.'!$A:$Q,COLUMN('2.2 Tutk. ja osien pain. pist.'!O:O),FALSE),1),0)</f>
        <v>148735.1</v>
      </c>
      <c r="M75" s="10">
        <f>IFERROR(Ohj.lask.[[#This Row],[Painotetut pisteet 2]]/Ohj.lask.[[#Totals],[Painotetut pisteet 2]],0)</f>
        <v>9.4436066993885629E-3</v>
      </c>
      <c r="N75" s="17">
        <f>ROUND(IFERROR('1.1 Jakotaulu'!K$13*Ohj.lask.[[#This Row],[%-osuus 2]],0),0)</f>
        <v>3897896</v>
      </c>
      <c r="O75" s="140">
        <f>IFERROR(ROUND(VLOOKUP(Ohj.lask.[[#This Row],[Y-tunnus]],'2.3 Työll. ja jatko-opisk.'!$A:$Y,COLUMN('2.3 Työll. ja jatko-opisk.'!L:L),FALSE),1),0)</f>
        <v>4027.2</v>
      </c>
      <c r="P75" s="10">
        <f>IFERROR(Ohj.lask.[[#This Row],[Painotetut pisteet 3]]/Ohj.lask.[[#Totals],[Painotetut pisteet 3]],0)</f>
        <v>1.1931542950088215E-2</v>
      </c>
      <c r="Q75" s="11">
        <f>ROUND(IFERROR('1.1 Jakotaulu'!L$15*Ohj.lask.[[#This Row],[%-osuus 3]],0),0)</f>
        <v>1723677</v>
      </c>
      <c r="R75" s="139">
        <f>IFERROR(ROUND(VLOOKUP(Ohj.lask.[[#This Row],[Y-tunnus]],'2.4 Aloittaneet palaute'!$A:$I,COLUMN('2.4 Aloittaneet palaute'!H:H),FALSE),1),0)</f>
        <v>18055.599999999999</v>
      </c>
      <c r="S75" s="14">
        <f>IFERROR(Ohj.lask.[[#This Row],[Painotetut pisteet 4]]/Ohj.lask.[[#Totals],[Painotetut pisteet 4]],0)</f>
        <v>1.038484060360175E-2</v>
      </c>
      <c r="T75" s="17">
        <f>ROUND(IFERROR('1.1 Jakotaulu'!M$17*Ohj.lask.[[#This Row],[%-osuus 4]],0),0)</f>
        <v>80370</v>
      </c>
      <c r="U75" s="139">
        <f>IFERROR(ROUND(VLOOKUP(Ohj.lask.[[#This Row],[Y-tunnus]],'2.5 Päättäneet palaute'!$A:$Y,COLUMN('2.5 Päättäneet palaute'!X:X),FALSE),1),0)</f>
        <v>100497.1</v>
      </c>
      <c r="V75" s="14">
        <f>IFERROR(Ohj.lask.[[#This Row],[Painotetut pisteet 5]]/Ohj.lask.[[#Totals],[Painotetut pisteet 5]],0)</f>
        <v>9.0564901582399198E-3</v>
      </c>
      <c r="W75" s="17">
        <f>ROUND(IFERROR('1.1 Jakotaulu'!M$18*Ohj.lask.[[#This Row],[%-osuus 5]],0),0)</f>
        <v>210268</v>
      </c>
      <c r="X75" s="139">
        <f>IFERROR(ROUND(VLOOKUP(Ohj.lask.[[#This Row],[Y-tunnus]],'2.6 Työpaikkaohjaajakysely'!A:I,COLUMN('2.6 Työpaikkaohjaajakysely'!H:H),FALSE),1),0)</f>
        <v>3553030.8</v>
      </c>
      <c r="Y75" s="10">
        <f>IFERROR(Ohj.lask.[[#This Row],[Painotetut pisteet 6]]/Ohj.lask.[[#Totals],[Painotetut pisteet 6]],0)</f>
        <v>1.035365475374909E-2</v>
      </c>
      <c r="Z75" s="17">
        <f>ROUND(IFERROR('1.1 Jakotaulu'!M$20*Ohj.lask.[[#This Row],[%-osuus 6]],0),0)</f>
        <v>240385</v>
      </c>
      <c r="AA75" s="139">
        <f>IFERROR(ROUND(VLOOKUP(Ohj.lask.[[#This Row],[Y-tunnus]],'2.7 Työpaikkakysely'!A:G,COLUMN('2.7 Työpaikkakysely'!F:F),FALSE),1),0)</f>
        <v>1347823.8</v>
      </c>
      <c r="AB75" s="10">
        <f>IFERROR(Ohj.lask.[[#This Row],[Pisteet 7]]/Ohj.lask.[[#Totals],[Pisteet 7]],0)</f>
        <v>6.5860362297954457E-3</v>
      </c>
      <c r="AC75" s="17">
        <f>ROUND(IFERROR('1.1 Jakotaulu'!M$21*Ohj.lask.[[#This Row],[%-osuus 7]],0),0)</f>
        <v>50970</v>
      </c>
      <c r="AD75" s="13">
        <f>IFERROR(Ohj.lask.[[#This Row],[Jaettava € 8]]/Ohj.lask.[[#Totals],[Jaettava € 8]],"")</f>
        <v>9.1147415940560309E-3</v>
      </c>
      <c r="AE7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18601629</v>
      </c>
      <c r="AF75" s="103">
        <v>0</v>
      </c>
      <c r="AG75" s="103">
        <v>0</v>
      </c>
      <c r="AH75" s="107">
        <v>0</v>
      </c>
      <c r="AI75" s="33">
        <v>20000</v>
      </c>
      <c r="AJ75" s="107">
        <v>0</v>
      </c>
      <c r="AK7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20000</v>
      </c>
      <c r="AL75" s="11">
        <f>Ohj.lask.[[#This Row],[Jaettava € 1]]+Ohj.lask.[[#This Row],[Harkinnanvarainen korotus yhteensä, €]]</f>
        <v>12418063</v>
      </c>
      <c r="AM75" s="103">
        <f>Ohj.lask.[[#This Row],[Jaettava € 2]]</f>
        <v>3897896</v>
      </c>
      <c r="AN75" s="11">
        <f>Ohj.lask.[[#This Row],[Jaettava € 3]]+Ohj.lask.[[#This Row],[Jaettava € 4]]+Ohj.lask.[[#This Row],[Jaettava € 5]]+Ohj.lask.[[#This Row],[Jaettava € 6]]+Ohj.lask.[[#This Row],[Jaettava € 7]]</f>
        <v>2305670</v>
      </c>
      <c r="AO75" s="34">
        <f>Ohj.lask.[[#This Row],[Jaettava € 8]]+Ohj.lask.[[#This Row],[Harkinnanvarainen korotus yhteensä, €]]</f>
        <v>18621629</v>
      </c>
      <c r="AP75" s="12">
        <v>0</v>
      </c>
      <c r="AQ75" s="34">
        <f>Ohj.lask.[[#This Row],[Perus-, suoritus- ja vaikuttavuusrahoitus yhteensä, €]]+Ohj.lask.[[#This Row],[Alv-korvaus, €]]</f>
        <v>18621629</v>
      </c>
    </row>
    <row r="76" spans="1:43" ht="12.75" x14ac:dyDescent="0.2">
      <c r="A76" s="4" t="s">
        <v>254</v>
      </c>
      <c r="B76" s="8" t="s">
        <v>70</v>
      </c>
      <c r="C76" s="8" t="s">
        <v>174</v>
      </c>
      <c r="D76" s="8" t="s">
        <v>325</v>
      </c>
      <c r="E76" s="8" t="s">
        <v>375</v>
      </c>
      <c r="F76" s="106">
        <v>2470</v>
      </c>
      <c r="G76" s="33">
        <v>2553</v>
      </c>
      <c r="H76" s="9">
        <f>IFERROR(VLOOKUP(Ohj.lask.[[#This Row],[Y-tunnus]],'2.1 Toteut. op.vuodet'!$A:$T,COLUMN('2.1 Toteut. op.vuodet'!S:S),FALSE),0)</f>
        <v>1.1231108217028341</v>
      </c>
      <c r="I76" s="74">
        <f t="shared" si="2"/>
        <v>2867.3</v>
      </c>
      <c r="J76" s="10">
        <f>IFERROR(Ohj.lask.[[#This Row],[Painotetut opiskelija-vuodet]]/Ohj.lask.[[#Totals],[Painotetut opiskelija-vuodet]],0)</f>
        <v>1.392393384031157E-2</v>
      </c>
      <c r="K76" s="11">
        <f>ROUND(IFERROR('1.1 Jakotaulu'!L$12*Ohj.lask.[[#This Row],[%-osuus 1]],0),0)</f>
        <v>19795615</v>
      </c>
      <c r="L76" s="139">
        <f>IFERROR(ROUND(VLOOKUP(Ohj.lask.[[#This Row],[Y-tunnus]],'2.2 Tutk. ja osien pain. pist.'!$A:$Q,COLUMN('2.2 Tutk. ja osien pain. pist.'!O:O),FALSE),1),0)</f>
        <v>201872.5</v>
      </c>
      <c r="M76" s="10">
        <f>IFERROR(Ohj.lask.[[#This Row],[Painotetut pisteet 2]]/Ohj.lask.[[#Totals],[Painotetut pisteet 2]],0)</f>
        <v>1.2817448560711745E-2</v>
      </c>
      <c r="N76" s="17">
        <f>ROUND(IFERROR('1.1 Jakotaulu'!K$13*Ohj.lask.[[#This Row],[%-osuus 2]],0),0)</f>
        <v>5290466</v>
      </c>
      <c r="O76" s="140">
        <f>IFERROR(ROUND(VLOOKUP(Ohj.lask.[[#This Row],[Y-tunnus]],'2.3 Työll. ja jatko-opisk.'!$A:$Y,COLUMN('2.3 Työll. ja jatko-opisk.'!L:L),FALSE),1),0)</f>
        <v>5267.6</v>
      </c>
      <c r="P76" s="10">
        <f>IFERROR(Ohj.lask.[[#This Row],[Painotetut pisteet 3]]/Ohj.lask.[[#Totals],[Painotetut pisteet 3]],0)</f>
        <v>1.5606524544071486E-2</v>
      </c>
      <c r="Q76" s="11">
        <f>ROUND(IFERROR('1.1 Jakotaulu'!L$15*Ohj.lask.[[#This Row],[%-osuus 3]],0),0)</f>
        <v>2254579</v>
      </c>
      <c r="R76" s="139">
        <f>IFERROR(ROUND(VLOOKUP(Ohj.lask.[[#This Row],[Y-tunnus]],'2.4 Aloittaneet palaute'!$A:$I,COLUMN('2.4 Aloittaneet palaute'!H:H),FALSE),1),0)</f>
        <v>18020.2</v>
      </c>
      <c r="S76" s="14">
        <f>IFERROR(Ohj.lask.[[#This Row],[Painotetut pisteet 4]]/Ohj.lask.[[#Totals],[Painotetut pisteet 4]],0)</f>
        <v>1.036447997546602E-2</v>
      </c>
      <c r="T76" s="17">
        <f>ROUND(IFERROR('1.1 Jakotaulu'!M$17*Ohj.lask.[[#This Row],[%-osuus 4]],0),0)</f>
        <v>80212</v>
      </c>
      <c r="U76" s="139">
        <f>IFERROR(ROUND(VLOOKUP(Ohj.lask.[[#This Row],[Y-tunnus]],'2.5 Päättäneet palaute'!$A:$Y,COLUMN('2.5 Päättäneet palaute'!X:X),FALSE),1),0)</f>
        <v>147537.9</v>
      </c>
      <c r="V76" s="14">
        <f>IFERROR(Ohj.lask.[[#This Row],[Painotetut pisteet 5]]/Ohj.lask.[[#Totals],[Painotetut pisteet 5]],0)</f>
        <v>1.3295662654120223E-2</v>
      </c>
      <c r="W76" s="17">
        <f>ROUND(IFERROR('1.1 Jakotaulu'!M$18*Ohj.lask.[[#This Row],[%-osuus 5]],0),0)</f>
        <v>308691</v>
      </c>
      <c r="X76" s="139">
        <f>IFERROR(ROUND(VLOOKUP(Ohj.lask.[[#This Row],[Y-tunnus]],'2.6 Työpaikkaohjaajakysely'!A:I,COLUMN('2.6 Työpaikkaohjaajakysely'!H:H),FALSE),1),0)</f>
        <v>3856537.6000000001</v>
      </c>
      <c r="Y76" s="10">
        <f>IFERROR(Ohj.lask.[[#This Row],[Painotetut pisteet 6]]/Ohj.lask.[[#Totals],[Painotetut pisteet 6]],0)</f>
        <v>1.1238084076066019E-2</v>
      </c>
      <c r="Z76" s="17">
        <f>ROUND(IFERROR('1.1 Jakotaulu'!M$20*Ohj.lask.[[#This Row],[%-osuus 6]],0),0)</f>
        <v>260919</v>
      </c>
      <c r="AA76" s="139">
        <f>IFERROR(ROUND(VLOOKUP(Ohj.lask.[[#This Row],[Y-tunnus]],'2.7 Työpaikkakysely'!A:G,COLUMN('2.7 Työpaikkakysely'!F:F),FALSE),1),0)</f>
        <v>1426635.6</v>
      </c>
      <c r="AB76" s="10">
        <f>IFERROR(Ohj.lask.[[#This Row],[Pisteet 7]]/Ohj.lask.[[#Totals],[Pisteet 7]],0)</f>
        <v>6.971143964304506E-3</v>
      </c>
      <c r="AC76" s="17">
        <f>ROUND(IFERROR('1.1 Jakotaulu'!M$21*Ohj.lask.[[#This Row],[%-osuus 7]],0),0)</f>
        <v>53951</v>
      </c>
      <c r="AD76" s="13">
        <f>IFERROR(Ohj.lask.[[#This Row],[Jaettava € 8]]/Ohj.lask.[[#Totals],[Jaettava € 8]],"")</f>
        <v>1.3741686813924606E-2</v>
      </c>
      <c r="AE7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28044433</v>
      </c>
      <c r="AF76" s="103">
        <v>0</v>
      </c>
      <c r="AG76" s="103">
        <v>0</v>
      </c>
      <c r="AH76" s="107">
        <v>0</v>
      </c>
      <c r="AI76" s="33">
        <v>27000</v>
      </c>
      <c r="AJ76" s="107">
        <v>0</v>
      </c>
      <c r="AK7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27000</v>
      </c>
      <c r="AL76" s="11">
        <f>Ohj.lask.[[#This Row],[Jaettava € 1]]+Ohj.lask.[[#This Row],[Harkinnanvarainen korotus yhteensä, €]]</f>
        <v>19822615</v>
      </c>
      <c r="AM76" s="103">
        <f>Ohj.lask.[[#This Row],[Jaettava € 2]]</f>
        <v>5290466</v>
      </c>
      <c r="AN76" s="11">
        <f>Ohj.lask.[[#This Row],[Jaettava € 3]]+Ohj.lask.[[#This Row],[Jaettava € 4]]+Ohj.lask.[[#This Row],[Jaettava € 5]]+Ohj.lask.[[#This Row],[Jaettava € 6]]+Ohj.lask.[[#This Row],[Jaettava € 7]]</f>
        <v>2958352</v>
      </c>
      <c r="AO76" s="34">
        <f>Ohj.lask.[[#This Row],[Jaettava € 8]]+Ohj.lask.[[#This Row],[Harkinnanvarainen korotus yhteensä, €]]</f>
        <v>28071433</v>
      </c>
      <c r="AP76" s="12">
        <v>0</v>
      </c>
      <c r="AQ76" s="34">
        <f>Ohj.lask.[[#This Row],[Perus-, suoritus- ja vaikuttavuusrahoitus yhteensä, €]]+Ohj.lask.[[#This Row],[Alv-korvaus, €]]</f>
        <v>28071433</v>
      </c>
    </row>
    <row r="77" spans="1:43" ht="12.75" x14ac:dyDescent="0.2">
      <c r="A77" s="4" t="s">
        <v>253</v>
      </c>
      <c r="B77" s="8" t="s">
        <v>71</v>
      </c>
      <c r="C77" s="8" t="s">
        <v>215</v>
      </c>
      <c r="D77" s="8" t="s">
        <v>326</v>
      </c>
      <c r="E77" s="8" t="s">
        <v>375</v>
      </c>
      <c r="F77" s="106">
        <v>4267</v>
      </c>
      <c r="G77" s="33">
        <v>4311</v>
      </c>
      <c r="H77" s="9">
        <f>IFERROR(VLOOKUP(Ohj.lask.[[#This Row],[Y-tunnus]],'2.1 Toteut. op.vuodet'!$A:$T,COLUMN('2.1 Toteut. op.vuodet'!S:S),FALSE),0)</f>
        <v>1.0688106027334292</v>
      </c>
      <c r="I77" s="74">
        <f t="shared" si="2"/>
        <v>4607.6000000000004</v>
      </c>
      <c r="J77" s="10">
        <f>IFERROR(Ohj.lask.[[#This Row],[Painotetut opiskelija-vuodet]]/Ohj.lask.[[#Totals],[Painotetut opiskelija-vuodet]],0)</f>
        <v>2.2375027922651829E-2</v>
      </c>
      <c r="K77" s="11">
        <f>ROUND(IFERROR('1.1 Jakotaulu'!L$12*Ohj.lask.[[#This Row],[%-osuus 1]],0),0)</f>
        <v>31810510</v>
      </c>
      <c r="L77" s="139">
        <f>IFERROR(ROUND(VLOOKUP(Ohj.lask.[[#This Row],[Y-tunnus]],'2.2 Tutk. ja osien pain. pist.'!$A:$Q,COLUMN('2.2 Tutk. ja osien pain. pist.'!O:O),FALSE),1),0)</f>
        <v>393880.1</v>
      </c>
      <c r="M77" s="10">
        <f>IFERROR(Ohj.lask.[[#This Row],[Painotetut pisteet 2]]/Ohj.lask.[[#Totals],[Painotetut pisteet 2]],0)</f>
        <v>2.5008547082133514E-2</v>
      </c>
      <c r="N77" s="17">
        <f>ROUND(IFERROR('1.1 Jakotaulu'!K$13*Ohj.lask.[[#This Row],[%-osuus 2]],0),0)</f>
        <v>10322403</v>
      </c>
      <c r="O77" s="140">
        <f>IFERROR(ROUND(VLOOKUP(Ohj.lask.[[#This Row],[Y-tunnus]],'2.3 Työll. ja jatko-opisk.'!$A:$Y,COLUMN('2.3 Työll. ja jatko-opisk.'!L:L),FALSE),1),0)</f>
        <v>8344.7999999999993</v>
      </c>
      <c r="P77" s="10">
        <f>IFERROR(Ohj.lask.[[#This Row],[Painotetut pisteet 3]]/Ohj.lask.[[#Totals],[Painotetut pisteet 3]],0)</f>
        <v>2.4723465338174447E-2</v>
      </c>
      <c r="Q77" s="11">
        <f>ROUND(IFERROR('1.1 Jakotaulu'!L$15*Ohj.lask.[[#This Row],[%-osuus 3]],0),0)</f>
        <v>3571648</v>
      </c>
      <c r="R77" s="139">
        <f>IFERROR(ROUND(VLOOKUP(Ohj.lask.[[#This Row],[Y-tunnus]],'2.4 Aloittaneet palaute'!$A:$I,COLUMN('2.4 Aloittaneet palaute'!H:H),FALSE),1),0)</f>
        <v>49340.9</v>
      </c>
      <c r="S77" s="14">
        <f>IFERROR(Ohj.lask.[[#This Row],[Painotetut pisteet 4]]/Ohj.lask.[[#Totals],[Painotetut pisteet 4]],0)</f>
        <v>2.8378862055996681E-2</v>
      </c>
      <c r="T77" s="17">
        <f>ROUND(IFERROR('1.1 Jakotaulu'!M$17*Ohj.lask.[[#This Row],[%-osuus 4]],0),0)</f>
        <v>219628</v>
      </c>
      <c r="U77" s="139">
        <f>IFERROR(ROUND(VLOOKUP(Ohj.lask.[[#This Row],[Y-tunnus]],'2.5 Päättäneet palaute'!$A:$Y,COLUMN('2.5 Päättäneet palaute'!X:X),FALSE),1),0)</f>
        <v>329276.90000000002</v>
      </c>
      <c r="V77" s="14">
        <f>IFERROR(Ohj.lask.[[#This Row],[Painotetut pisteet 5]]/Ohj.lask.[[#Totals],[Painotetut pisteet 5]],0)</f>
        <v>2.9673423453868326E-2</v>
      </c>
      <c r="W77" s="17">
        <f>ROUND(IFERROR('1.1 Jakotaulu'!M$18*Ohj.lask.[[#This Row],[%-osuus 5]],0),0)</f>
        <v>688940</v>
      </c>
      <c r="X77" s="139">
        <f>IFERROR(ROUND(VLOOKUP(Ohj.lask.[[#This Row],[Y-tunnus]],'2.6 Työpaikkaohjaajakysely'!A:I,COLUMN('2.6 Työpaikkaohjaajakysely'!H:H),FALSE),1),0)</f>
        <v>7798312.7999999998</v>
      </c>
      <c r="Y77" s="10">
        <f>IFERROR(Ohj.lask.[[#This Row],[Painotetut pisteet 6]]/Ohj.lask.[[#Totals],[Painotetut pisteet 6]],0)</f>
        <v>2.272455346937673E-2</v>
      </c>
      <c r="Z77" s="17">
        <f>ROUND(IFERROR('1.1 Jakotaulu'!M$20*Ohj.lask.[[#This Row],[%-osuus 6]],0),0)</f>
        <v>527605</v>
      </c>
      <c r="AA77" s="139">
        <f>IFERROR(ROUND(VLOOKUP(Ohj.lask.[[#This Row],[Y-tunnus]],'2.7 Työpaikkakysely'!A:G,COLUMN('2.7 Työpaikkakysely'!F:F),FALSE),1),0)</f>
        <v>10247368.300000001</v>
      </c>
      <c r="AB77" s="10">
        <f>IFERROR(Ohj.lask.[[#This Row],[Pisteet 7]]/Ohj.lask.[[#Totals],[Pisteet 7]],0)</f>
        <v>5.0072968650544211E-2</v>
      </c>
      <c r="AC77" s="17">
        <f>ROUND(IFERROR('1.1 Jakotaulu'!M$21*Ohj.lask.[[#This Row],[%-osuus 7]],0),0)</f>
        <v>387522</v>
      </c>
      <c r="AD77" s="13">
        <f>IFERROR(Ohj.lask.[[#This Row],[Jaettava € 8]]/Ohj.lask.[[#Totals],[Jaettava € 8]],"")</f>
        <v>2.3288700782933748E-2</v>
      </c>
      <c r="AE7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47528256</v>
      </c>
      <c r="AF77" s="103">
        <v>0</v>
      </c>
      <c r="AG77" s="103">
        <v>20000</v>
      </c>
      <c r="AH77" s="107">
        <v>0</v>
      </c>
      <c r="AI77" s="33">
        <v>65000</v>
      </c>
      <c r="AJ77" s="107">
        <v>0</v>
      </c>
      <c r="AK7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85000</v>
      </c>
      <c r="AL77" s="11">
        <f>Ohj.lask.[[#This Row],[Jaettava € 1]]+Ohj.lask.[[#This Row],[Harkinnanvarainen korotus yhteensä, €]]</f>
        <v>31895510</v>
      </c>
      <c r="AM77" s="103">
        <f>Ohj.lask.[[#This Row],[Jaettava € 2]]</f>
        <v>10322403</v>
      </c>
      <c r="AN77" s="11">
        <f>Ohj.lask.[[#This Row],[Jaettava € 3]]+Ohj.lask.[[#This Row],[Jaettava € 4]]+Ohj.lask.[[#This Row],[Jaettava € 5]]+Ohj.lask.[[#This Row],[Jaettava € 6]]+Ohj.lask.[[#This Row],[Jaettava € 7]]</f>
        <v>5395343</v>
      </c>
      <c r="AO77" s="34">
        <f>Ohj.lask.[[#This Row],[Jaettava € 8]]+Ohj.lask.[[#This Row],[Harkinnanvarainen korotus yhteensä, €]]</f>
        <v>47613256</v>
      </c>
      <c r="AP77" s="12">
        <v>3871701</v>
      </c>
      <c r="AQ77" s="34">
        <f>Ohj.lask.[[#This Row],[Perus-, suoritus- ja vaikuttavuusrahoitus yhteensä, €]]+Ohj.lask.[[#This Row],[Alv-korvaus, €]]</f>
        <v>51484957</v>
      </c>
    </row>
    <row r="78" spans="1:43" ht="12.75" x14ac:dyDescent="0.2">
      <c r="A78" s="4" t="s">
        <v>251</v>
      </c>
      <c r="B78" s="8" t="s">
        <v>497</v>
      </c>
      <c r="C78" s="97" t="s">
        <v>174</v>
      </c>
      <c r="D78" s="97" t="s">
        <v>326</v>
      </c>
      <c r="E78" s="97" t="s">
        <v>375</v>
      </c>
      <c r="F78" s="105">
        <v>199</v>
      </c>
      <c r="G78" s="33">
        <v>213</v>
      </c>
      <c r="H78" s="9">
        <f>IFERROR(VLOOKUP(Ohj.lask.[[#This Row],[Y-tunnus]],'2.1 Toteut. op.vuodet'!$A:$T,COLUMN('2.1 Toteut. op.vuodet'!S:S),FALSE),0)</f>
        <v>1.1366376214514422</v>
      </c>
      <c r="I78" s="74">
        <f t="shared" si="2"/>
        <v>242.1</v>
      </c>
      <c r="J78" s="10">
        <f>IFERROR(Ohj.lask.[[#This Row],[Painotetut opiskelija-vuodet]]/Ohj.lask.[[#Totals],[Painotetut opiskelija-vuodet]],0)</f>
        <v>1.1756650447248039E-3</v>
      </c>
      <c r="K78" s="11">
        <f>ROUND(IFERROR('1.1 Jakotaulu'!L$12*Ohj.lask.[[#This Row],[%-osuus 1]],0),0)</f>
        <v>1671439</v>
      </c>
      <c r="L78" s="139">
        <f>IFERROR(ROUND(VLOOKUP(Ohj.lask.[[#This Row],[Y-tunnus]],'2.2 Tutk. ja osien pain. pist.'!$A:$Q,COLUMN('2.2 Tutk. ja osien pain. pist.'!O:O),FALSE),1),0)</f>
        <v>31818.6</v>
      </c>
      <c r="M78" s="10">
        <f>IFERROR(Ohj.lask.[[#This Row],[Painotetut pisteet 2]]/Ohj.lask.[[#Totals],[Painotetut pisteet 2]],0)</f>
        <v>2.0202517369818213E-3</v>
      </c>
      <c r="N78" s="17">
        <f>ROUND(IFERROR('1.1 Jakotaulu'!K$13*Ohj.lask.[[#This Row],[%-osuus 2]],0),0)</f>
        <v>833869</v>
      </c>
      <c r="O78" s="140">
        <f>IFERROR(ROUND(VLOOKUP(Ohj.lask.[[#This Row],[Y-tunnus]],'2.3 Työll. ja jatko-opisk.'!$A:$Y,COLUMN('2.3 Työll. ja jatko-opisk.'!L:L),FALSE),1),0)</f>
        <v>409.7</v>
      </c>
      <c r="P78" s="14">
        <f>IFERROR(Ohj.lask.[[#This Row],[Painotetut pisteet 3]]/Ohj.lask.[[#Totals],[Painotetut pisteet 3]],0)</f>
        <v>1.2138342140075341E-3</v>
      </c>
      <c r="Q78" s="11">
        <f>ROUND(IFERROR('1.1 Jakotaulu'!L$15*Ohj.lask.[[#This Row],[%-osuus 3]],0),0)</f>
        <v>175355</v>
      </c>
      <c r="R78" s="139">
        <f>IFERROR(ROUND(VLOOKUP(Ohj.lask.[[#This Row],[Y-tunnus]],'2.4 Aloittaneet palaute'!$A:$I,COLUMN('2.4 Aloittaneet palaute'!H:H),FALSE),1),0)</f>
        <v>2380.1</v>
      </c>
      <c r="S78" s="14">
        <f>IFERROR(Ohj.lask.[[#This Row],[Painotetut pisteet 4]]/Ohj.lask.[[#Totals],[Painotetut pisteet 4]],0)</f>
        <v>1.368935904685113E-3</v>
      </c>
      <c r="T78" s="17">
        <f>ROUND(IFERROR('1.1 Jakotaulu'!M$17*Ohj.lask.[[#This Row],[%-osuus 4]],0),0)</f>
        <v>10594</v>
      </c>
      <c r="U78" s="139">
        <f>IFERROR(ROUND(VLOOKUP(Ohj.lask.[[#This Row],[Y-tunnus]],'2.5 Päättäneet palaute'!$A:$Y,COLUMN('2.5 Päättäneet palaute'!X:X),FALSE),1),0)</f>
        <v>18247.7</v>
      </c>
      <c r="V78" s="14">
        <f>IFERROR(Ohj.lask.[[#This Row],[Painotetut pisteet 5]]/Ohj.lask.[[#Totals],[Painotetut pisteet 5]],0)</f>
        <v>1.6444267094325566E-3</v>
      </c>
      <c r="W78" s="17">
        <f>ROUND(IFERROR('1.1 Jakotaulu'!M$18*Ohj.lask.[[#This Row],[%-osuus 5]],0),0)</f>
        <v>38179</v>
      </c>
      <c r="X78" s="139">
        <f>IFERROR(ROUND(VLOOKUP(Ohj.lask.[[#This Row],[Y-tunnus]],'2.6 Työpaikkaohjaajakysely'!A:I,COLUMN('2.6 Työpaikkaohjaajakysely'!H:H),FALSE),1),0)</f>
        <v>177516.5</v>
      </c>
      <c r="Y78" s="10">
        <f>IFERROR(Ohj.lask.[[#This Row],[Painotetut pisteet 6]]/Ohj.lask.[[#Totals],[Painotetut pisteet 6]],0)</f>
        <v>5.1728922645249812E-4</v>
      </c>
      <c r="Z78" s="17">
        <f>ROUND(IFERROR('1.1 Jakotaulu'!M$20*Ohj.lask.[[#This Row],[%-osuus 6]],0),0)</f>
        <v>12010</v>
      </c>
      <c r="AA78" s="139">
        <f>IFERROR(ROUND(VLOOKUP(Ohj.lask.[[#This Row],[Y-tunnus]],'2.7 Työpaikkakysely'!A:G,COLUMN('2.7 Työpaikkakysely'!F:F),FALSE),1),0)</f>
        <v>182388</v>
      </c>
      <c r="AB78" s="10">
        <f>IFERROR(Ohj.lask.[[#This Row],[Pisteet 7]]/Ohj.lask.[[#Totals],[Pisteet 7]],0)</f>
        <v>8.9122478463426135E-4</v>
      </c>
      <c r="AC78" s="17">
        <f>ROUND(IFERROR('1.1 Jakotaulu'!M$21*Ohj.lask.[[#This Row],[%-osuus 7]],0),0)</f>
        <v>6897</v>
      </c>
      <c r="AD78" s="13">
        <f>IFERROR(Ohj.lask.[[#This Row],[Jaettava € 8]]/Ohj.lask.[[#Totals],[Jaettava € 8]],"")</f>
        <v>1.3466797051394119E-3</v>
      </c>
      <c r="AE7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2748343</v>
      </c>
      <c r="AF78" s="103">
        <v>0</v>
      </c>
      <c r="AG78" s="103">
        <v>0</v>
      </c>
      <c r="AH78" s="107">
        <v>0</v>
      </c>
      <c r="AI78" s="33">
        <v>3000</v>
      </c>
      <c r="AJ78" s="107">
        <v>0</v>
      </c>
      <c r="AK7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3000</v>
      </c>
      <c r="AL78" s="11">
        <f>Ohj.lask.[[#This Row],[Jaettava € 1]]+Ohj.lask.[[#This Row],[Harkinnanvarainen korotus yhteensä, €]]</f>
        <v>1674439</v>
      </c>
      <c r="AM78" s="103">
        <f>Ohj.lask.[[#This Row],[Jaettava € 2]]</f>
        <v>833869</v>
      </c>
      <c r="AN78" s="11">
        <f>Ohj.lask.[[#This Row],[Jaettava € 3]]+Ohj.lask.[[#This Row],[Jaettava € 4]]+Ohj.lask.[[#This Row],[Jaettava € 5]]+Ohj.lask.[[#This Row],[Jaettava € 6]]+Ohj.lask.[[#This Row],[Jaettava € 7]]</f>
        <v>243035</v>
      </c>
      <c r="AO78" s="34">
        <f>Ohj.lask.[[#This Row],[Jaettava € 8]]+Ohj.lask.[[#This Row],[Harkinnanvarainen korotus yhteensä, €]]</f>
        <v>2751343</v>
      </c>
      <c r="AP78" s="12">
        <v>128167</v>
      </c>
      <c r="AQ78" s="34">
        <f>Ohj.lask.[[#This Row],[Perus-, suoritus- ja vaikuttavuusrahoitus yhteensä, €]]+Ohj.lask.[[#This Row],[Alv-korvaus, €]]</f>
        <v>2879510</v>
      </c>
    </row>
    <row r="79" spans="1:43" ht="12.75" x14ac:dyDescent="0.2">
      <c r="A79" s="4" t="s">
        <v>247</v>
      </c>
      <c r="B79" s="8" t="s">
        <v>73</v>
      </c>
      <c r="C79" s="8" t="s">
        <v>174</v>
      </c>
      <c r="D79" s="8" t="s">
        <v>326</v>
      </c>
      <c r="E79" s="8" t="s">
        <v>375</v>
      </c>
      <c r="F79" s="106">
        <v>73</v>
      </c>
      <c r="G79" s="33">
        <v>67</v>
      </c>
      <c r="H79" s="9">
        <f>IFERROR(VLOOKUP(Ohj.lask.[[#This Row],[Y-tunnus]],'2.1 Toteut. op.vuodet'!$A:$T,COLUMN('2.1 Toteut. op.vuodet'!S:S),FALSE),0)</f>
        <v>0.727008291327085</v>
      </c>
      <c r="I79" s="74">
        <f t="shared" si="2"/>
        <v>48.7</v>
      </c>
      <c r="J79" s="10">
        <f>IFERROR(Ohj.lask.[[#This Row],[Painotetut opiskelija-vuodet]]/Ohj.lask.[[#Totals],[Painotetut opiskelija-vuodet]],0)</f>
        <v>2.364927206860717E-4</v>
      </c>
      <c r="K79" s="11">
        <f>ROUND(IFERROR('1.1 Jakotaulu'!L$12*Ohj.lask.[[#This Row],[%-osuus 1]],0),0)</f>
        <v>336221</v>
      </c>
      <c r="L79" s="139">
        <f>IFERROR(ROUND(VLOOKUP(Ohj.lask.[[#This Row],[Y-tunnus]],'2.2 Tutk. ja osien pain. pist.'!$A:$Q,COLUMN('2.2 Tutk. ja osien pain. pist.'!O:O),FALSE),1),0)</f>
        <v>6093.1</v>
      </c>
      <c r="M79" s="10">
        <f>IFERROR(Ohj.lask.[[#This Row],[Painotetut pisteet 2]]/Ohj.lask.[[#Totals],[Painotetut pisteet 2]],0)</f>
        <v>3.8686792814906807E-4</v>
      </c>
      <c r="N79" s="17">
        <f>ROUND(IFERROR('1.1 Jakotaulu'!K$13*Ohj.lask.[[#This Row],[%-osuus 2]],0),0)</f>
        <v>159682</v>
      </c>
      <c r="O79" s="140">
        <f>IFERROR(ROUND(VLOOKUP(Ohj.lask.[[#This Row],[Y-tunnus]],'2.3 Työll. ja jatko-opisk.'!$A:$Y,COLUMN('2.3 Työll. ja jatko-opisk.'!L:L),FALSE),1),0)</f>
        <v>293.39999999999998</v>
      </c>
      <c r="P79" s="10">
        <f>IFERROR(Ohj.lask.[[#This Row],[Painotetut pisteet 3]]/Ohj.lask.[[#Totals],[Painotetut pisteet 3]],0)</f>
        <v>8.6926765533270809E-4</v>
      </c>
      <c r="Q79" s="11">
        <f>ROUND(IFERROR('1.1 Jakotaulu'!L$15*Ohj.lask.[[#This Row],[%-osuus 3]],0),0)</f>
        <v>125578</v>
      </c>
      <c r="R79" s="139">
        <f>IFERROR(ROUND(VLOOKUP(Ohj.lask.[[#This Row],[Y-tunnus]],'2.4 Aloittaneet palaute'!$A:$I,COLUMN('2.4 Aloittaneet palaute'!H:H),FALSE),1),0)</f>
        <v>1807.5</v>
      </c>
      <c r="S79" s="14">
        <f>IFERROR(Ohj.lask.[[#This Row],[Painotetut pisteet 4]]/Ohj.lask.[[#Totals],[Painotetut pisteet 4]],0)</f>
        <v>1.0395998687947321E-3</v>
      </c>
      <c r="T79" s="17">
        <f>ROUND(IFERROR('1.1 Jakotaulu'!M$17*Ohj.lask.[[#This Row],[%-osuus 4]],0),0)</f>
        <v>8046</v>
      </c>
      <c r="U79" s="139">
        <f>IFERROR(ROUND(VLOOKUP(Ohj.lask.[[#This Row],[Y-tunnus]],'2.5 Päättäneet palaute'!$A:$Y,COLUMN('2.5 Päättäneet palaute'!X:X),FALSE),1),0)</f>
        <v>15440.6</v>
      </c>
      <c r="V79" s="14">
        <f>IFERROR(Ohj.lask.[[#This Row],[Painotetut pisteet 5]]/Ohj.lask.[[#Totals],[Painotetut pisteet 5]],0)</f>
        <v>1.391459474326317E-3</v>
      </c>
      <c r="W79" s="17">
        <f>ROUND(IFERROR('1.1 Jakotaulu'!M$18*Ohj.lask.[[#This Row],[%-osuus 5]],0),0)</f>
        <v>32306</v>
      </c>
      <c r="X79" s="139">
        <f>IFERROR(ROUND(VLOOKUP(Ohj.lask.[[#This Row],[Y-tunnus]],'2.6 Työpaikkaohjaajakysely'!A:I,COLUMN('2.6 Työpaikkaohjaajakysely'!H:H),FALSE),1),0)</f>
        <v>830206.7</v>
      </c>
      <c r="Y79" s="10">
        <f>IFERROR(Ohj.lask.[[#This Row],[Painotetut pisteet 6]]/Ohj.lask.[[#Totals],[Painotetut pisteet 6]],0)</f>
        <v>2.4192510647668307E-3</v>
      </c>
      <c r="Z79" s="17">
        <f>ROUND(IFERROR('1.1 Jakotaulu'!M$20*Ohj.lask.[[#This Row],[%-osuus 6]],0),0)</f>
        <v>56169</v>
      </c>
      <c r="AA79" s="139">
        <f>IFERROR(ROUND(VLOOKUP(Ohj.lask.[[#This Row],[Y-tunnus]],'2.7 Työpaikkakysely'!A:G,COLUMN('2.7 Työpaikkakysely'!F:F),FALSE),1),0)</f>
        <v>274897.8</v>
      </c>
      <c r="AB79" s="10">
        <f>IFERROR(Ohj.lask.[[#This Row],[Pisteet 7]]/Ohj.lask.[[#Totals],[Pisteet 7]],0)</f>
        <v>1.3432667313717582E-3</v>
      </c>
      <c r="AC79" s="17">
        <f>ROUND(IFERROR('1.1 Jakotaulu'!M$21*Ohj.lask.[[#This Row],[%-osuus 7]],0),0)</f>
        <v>10396</v>
      </c>
      <c r="AD79" s="13">
        <f>IFERROR(Ohj.lask.[[#This Row],[Jaettava € 8]]/Ohj.lask.[[#Totals],[Jaettava € 8]],"")</f>
        <v>3.5691280304683126E-4</v>
      </c>
      <c r="AE7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728398</v>
      </c>
      <c r="AF79" s="103">
        <v>0</v>
      </c>
      <c r="AG79" s="103">
        <v>0</v>
      </c>
      <c r="AH79" s="107">
        <v>0</v>
      </c>
      <c r="AI79" s="33">
        <v>4000</v>
      </c>
      <c r="AJ79" s="107">
        <v>0</v>
      </c>
      <c r="AK7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79" s="11">
        <f>Ohj.lask.[[#This Row],[Jaettava € 1]]+Ohj.lask.[[#This Row],[Harkinnanvarainen korotus yhteensä, €]]</f>
        <v>340221</v>
      </c>
      <c r="AM79" s="103">
        <f>Ohj.lask.[[#This Row],[Jaettava € 2]]</f>
        <v>159682</v>
      </c>
      <c r="AN79" s="11">
        <f>Ohj.lask.[[#This Row],[Jaettava € 3]]+Ohj.lask.[[#This Row],[Jaettava € 4]]+Ohj.lask.[[#This Row],[Jaettava € 5]]+Ohj.lask.[[#This Row],[Jaettava € 6]]+Ohj.lask.[[#This Row],[Jaettava € 7]]</f>
        <v>232495</v>
      </c>
      <c r="AO79" s="34">
        <f>Ohj.lask.[[#This Row],[Jaettava € 8]]+Ohj.lask.[[#This Row],[Harkinnanvarainen korotus yhteensä, €]]</f>
        <v>732398</v>
      </c>
      <c r="AP79" s="12">
        <v>230913</v>
      </c>
      <c r="AQ79" s="34">
        <f>Ohj.lask.[[#This Row],[Perus-, suoritus- ja vaikuttavuusrahoitus yhteensä, €]]+Ohj.lask.[[#This Row],[Alv-korvaus, €]]</f>
        <v>963311</v>
      </c>
    </row>
    <row r="80" spans="1:43" ht="12.75" x14ac:dyDescent="0.2">
      <c r="A80" s="4" t="s">
        <v>249</v>
      </c>
      <c r="B80" s="8" t="s">
        <v>74</v>
      </c>
      <c r="C80" s="97" t="s">
        <v>181</v>
      </c>
      <c r="D80" s="97" t="s">
        <v>326</v>
      </c>
      <c r="E80" s="97" t="s">
        <v>375</v>
      </c>
      <c r="F80" s="105">
        <v>153</v>
      </c>
      <c r="G80" s="33">
        <v>166</v>
      </c>
      <c r="H80" s="9">
        <f>IFERROR(VLOOKUP(Ohj.lask.[[#This Row],[Y-tunnus]],'2.1 Toteut. op.vuodet'!$A:$T,COLUMN('2.1 Toteut. op.vuodet'!S:S),FALSE),0)</f>
        <v>1.0158214642495225</v>
      </c>
      <c r="I80" s="74">
        <f t="shared" si="2"/>
        <v>168.6</v>
      </c>
      <c r="J80" s="10">
        <f>IFERROR(Ohj.lask.[[#This Row],[Painotetut opiskelija-vuodet]]/Ohj.lask.[[#Totals],[Painotetut opiskelija-vuodet]],0)</f>
        <v>8.1874071268319684E-4</v>
      </c>
      <c r="K80" s="11">
        <f>ROUND(IFERROR('1.1 Jakotaulu'!L$12*Ohj.lask.[[#This Row],[%-osuus 1]],0),0)</f>
        <v>1164001</v>
      </c>
      <c r="L80" s="139">
        <f>IFERROR(ROUND(VLOOKUP(Ohj.lask.[[#This Row],[Y-tunnus]],'2.2 Tutk. ja osien pain. pist.'!$A:$Q,COLUMN('2.2 Tutk. ja osien pain. pist.'!O:O),FALSE),1),0)</f>
        <v>16179.3</v>
      </c>
      <c r="M80" s="10">
        <f>IFERROR(Ohj.lask.[[#This Row],[Painotetut pisteet 2]]/Ohj.lask.[[#Totals],[Painotetut pisteet 2]],0)</f>
        <v>1.0272689222074504E-3</v>
      </c>
      <c r="N80" s="17">
        <f>ROUND(IFERROR('1.1 Jakotaulu'!K$13*Ohj.lask.[[#This Row],[%-osuus 2]],0),0)</f>
        <v>424010</v>
      </c>
      <c r="O80" s="140">
        <f>IFERROR(ROUND(VLOOKUP(Ohj.lask.[[#This Row],[Y-tunnus]],'2.3 Työll. ja jatko-opisk.'!$A:$Y,COLUMN('2.3 Työll. ja jatko-opisk.'!L:L),FALSE),1),0)</f>
        <v>394.6</v>
      </c>
      <c r="P80" s="14">
        <f>IFERROR(Ohj.lask.[[#This Row],[Painotetut pisteet 3]]/Ohj.lask.[[#Totals],[Painotetut pisteet 3]],0)</f>
        <v>1.1690968534229266E-3</v>
      </c>
      <c r="Q80" s="11">
        <f>ROUND(IFERROR('1.1 Jakotaulu'!L$15*Ohj.lask.[[#This Row],[%-osuus 3]],0),0)</f>
        <v>168892</v>
      </c>
      <c r="R80" s="139">
        <f>IFERROR(ROUND(VLOOKUP(Ohj.lask.[[#This Row],[Y-tunnus]],'2.4 Aloittaneet palaute'!$A:$I,COLUMN('2.4 Aloittaneet palaute'!H:H),FALSE),1),0)</f>
        <v>2855.1</v>
      </c>
      <c r="S80" s="14">
        <f>IFERROR(Ohj.lask.[[#This Row],[Painotetut pisteet 4]]/Ohj.lask.[[#Totals],[Painotetut pisteet 4]],0)</f>
        <v>1.6421364234555128E-3</v>
      </c>
      <c r="T80" s="17">
        <f>ROUND(IFERROR('1.1 Jakotaulu'!M$17*Ohj.lask.[[#This Row],[%-osuus 4]],0),0)</f>
        <v>12709</v>
      </c>
      <c r="U80" s="139">
        <f>IFERROR(ROUND(VLOOKUP(Ohj.lask.[[#This Row],[Y-tunnus]],'2.5 Päättäneet palaute'!$A:$Y,COLUMN('2.5 Päättäneet palaute'!X:X),FALSE),1),0)</f>
        <v>14146.7</v>
      </c>
      <c r="V80" s="14">
        <f>IFERROR(Ohj.lask.[[#This Row],[Painotetut pisteet 5]]/Ohj.lask.[[#Totals],[Painotetut pisteet 5]],0)</f>
        <v>1.2748571781829791E-3</v>
      </c>
      <c r="W80" s="17">
        <f>ROUND(IFERROR('1.1 Jakotaulu'!M$18*Ohj.lask.[[#This Row],[%-osuus 5]],0),0)</f>
        <v>29599</v>
      </c>
      <c r="X80" s="139">
        <f>IFERROR(ROUND(VLOOKUP(Ohj.lask.[[#This Row],[Y-tunnus]],'2.6 Työpaikkaohjaajakysely'!A:I,COLUMN('2.6 Työpaikkaohjaajakysely'!H:H),FALSE),1),0)</f>
        <v>751283</v>
      </c>
      <c r="Y80" s="10">
        <f>IFERROR(Ohj.lask.[[#This Row],[Painotetut pisteet 6]]/Ohj.lask.[[#Totals],[Painotetut pisteet 6]],0)</f>
        <v>2.1892646707033551E-3</v>
      </c>
      <c r="Z80" s="17">
        <f>ROUND(IFERROR('1.1 Jakotaulu'!M$20*Ohj.lask.[[#This Row],[%-osuus 6]],0),0)</f>
        <v>50829</v>
      </c>
      <c r="AA80" s="139">
        <f>IFERROR(ROUND(VLOOKUP(Ohj.lask.[[#This Row],[Y-tunnus]],'2.7 Työpaikkakysely'!A:G,COLUMN('2.7 Työpaikkakysely'!F:F),FALSE),1),0)</f>
        <v>490286.5</v>
      </c>
      <c r="AB80" s="10">
        <f>IFERROR(Ohj.lask.[[#This Row],[Pisteet 7]]/Ohj.lask.[[#Totals],[Pisteet 7]],0)</f>
        <v>2.3957468713489143E-3</v>
      </c>
      <c r="AC80" s="17">
        <f>ROUND(IFERROR('1.1 Jakotaulu'!M$21*Ohj.lask.[[#This Row],[%-osuus 7]],0),0)</f>
        <v>18541</v>
      </c>
      <c r="AD80" s="13">
        <f>IFERROR(Ohj.lask.[[#This Row],[Jaettava € 8]]/Ohj.lask.[[#Totals],[Jaettava € 8]],"")</f>
        <v>9.155990027842622E-4</v>
      </c>
      <c r="AE8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1868581</v>
      </c>
      <c r="AF80" s="103">
        <v>0</v>
      </c>
      <c r="AG80" s="103">
        <v>0</v>
      </c>
      <c r="AH80" s="107">
        <v>0</v>
      </c>
      <c r="AI80" s="33">
        <v>4000</v>
      </c>
      <c r="AJ80" s="107">
        <v>0</v>
      </c>
      <c r="AK8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80" s="11">
        <f>Ohj.lask.[[#This Row],[Jaettava € 1]]+Ohj.lask.[[#This Row],[Harkinnanvarainen korotus yhteensä, €]]</f>
        <v>1168001</v>
      </c>
      <c r="AM80" s="103">
        <f>Ohj.lask.[[#This Row],[Jaettava € 2]]</f>
        <v>424010</v>
      </c>
      <c r="AN80" s="11">
        <f>Ohj.lask.[[#This Row],[Jaettava € 3]]+Ohj.lask.[[#This Row],[Jaettava € 4]]+Ohj.lask.[[#This Row],[Jaettava € 5]]+Ohj.lask.[[#This Row],[Jaettava € 6]]+Ohj.lask.[[#This Row],[Jaettava € 7]]</f>
        <v>280570</v>
      </c>
      <c r="AO80" s="34">
        <f>Ohj.lask.[[#This Row],[Jaettava € 8]]+Ohj.lask.[[#This Row],[Harkinnanvarainen korotus yhteensä, €]]</f>
        <v>1872581</v>
      </c>
      <c r="AP80" s="12">
        <v>70557</v>
      </c>
      <c r="AQ80" s="34">
        <f>Ohj.lask.[[#This Row],[Perus-, suoritus- ja vaikuttavuusrahoitus yhteensä, €]]+Ohj.lask.[[#This Row],[Alv-korvaus, €]]</f>
        <v>1943138</v>
      </c>
    </row>
    <row r="81" spans="1:43" ht="12.75" x14ac:dyDescent="0.2">
      <c r="A81" s="4" t="s">
        <v>280</v>
      </c>
      <c r="B81" s="8" t="s">
        <v>441</v>
      </c>
      <c r="C81" s="8" t="s">
        <v>174</v>
      </c>
      <c r="D81" s="8" t="s">
        <v>326</v>
      </c>
      <c r="E81" s="8" t="s">
        <v>375</v>
      </c>
      <c r="F81" s="106">
        <v>664</v>
      </c>
      <c r="G81" s="33">
        <v>825</v>
      </c>
      <c r="H81" s="9">
        <f>IFERROR(VLOOKUP(Ohj.lask.[[#This Row],[Y-tunnus]],'2.1 Toteut. op.vuodet'!$A:$T,COLUMN('2.1 Toteut. op.vuodet'!S:S),FALSE),0)</f>
        <v>0.82102354851976389</v>
      </c>
      <c r="I81" s="74">
        <f t="shared" si="2"/>
        <v>677.3</v>
      </c>
      <c r="J81" s="10">
        <f>IFERROR(Ohj.lask.[[#This Row],[Painotetut opiskelija-vuodet]]/Ohj.lask.[[#Totals],[Painotetut opiskelija-vuodet]],0)</f>
        <v>3.2890455794800074E-3</v>
      </c>
      <c r="K81" s="11">
        <f>ROUND(IFERROR('1.1 Jakotaulu'!L$12*Ohj.lask.[[#This Row],[%-osuus 1]],0),0)</f>
        <v>4676026</v>
      </c>
      <c r="L81" s="139">
        <f>IFERROR(ROUND(VLOOKUP(Ohj.lask.[[#This Row],[Y-tunnus]],'2.2 Tutk. ja osien pain. pist.'!$A:$Q,COLUMN('2.2 Tutk. ja osien pain. pist.'!O:O),FALSE),1),0)</f>
        <v>70505.5</v>
      </c>
      <c r="M81" s="10">
        <f>IFERROR(Ohj.lask.[[#This Row],[Painotetut pisteet 2]]/Ohj.lask.[[#Totals],[Painotetut pisteet 2]],0)</f>
        <v>4.476591014116643E-3</v>
      </c>
      <c r="N81" s="17">
        <f>ROUND(IFERROR('1.1 Jakotaulu'!K$13*Ohj.lask.[[#This Row],[%-osuus 2]],0),0)</f>
        <v>1847735</v>
      </c>
      <c r="O81" s="140">
        <f>IFERROR(ROUND(VLOOKUP(Ohj.lask.[[#This Row],[Y-tunnus]],'2.3 Työll. ja jatko-opisk.'!$A:$Y,COLUMN('2.3 Työll. ja jatko-opisk.'!L:L),FALSE),1),0)</f>
        <v>1873.4</v>
      </c>
      <c r="P81" s="10">
        <f>IFERROR(Ohj.lask.[[#This Row],[Painotetut pisteet 3]]/Ohj.lask.[[#Totals],[Painotetut pisteet 3]],0)</f>
        <v>5.5503954516029162E-3</v>
      </c>
      <c r="Q81" s="11">
        <f>ROUND(IFERROR('1.1 Jakotaulu'!L$15*Ohj.lask.[[#This Row],[%-osuus 3]],0),0)</f>
        <v>801832</v>
      </c>
      <c r="R81" s="139">
        <f>IFERROR(ROUND(VLOOKUP(Ohj.lask.[[#This Row],[Y-tunnus]],'2.4 Aloittaneet palaute'!$A:$I,COLUMN('2.4 Aloittaneet palaute'!H:H),FALSE),1),0)</f>
        <v>8138.2</v>
      </c>
      <c r="S81" s="14">
        <f>IFERROR(Ohj.lask.[[#This Row],[Painotetut pisteet 4]]/Ohj.lask.[[#Totals],[Painotetut pisteet 4]],0)</f>
        <v>4.6807588670679324E-3</v>
      </c>
      <c r="T81" s="17">
        <f>ROUND(IFERROR('1.1 Jakotaulu'!M$17*Ohj.lask.[[#This Row],[%-osuus 4]],0),0)</f>
        <v>36225</v>
      </c>
      <c r="U81" s="139">
        <f>IFERROR(ROUND(VLOOKUP(Ohj.lask.[[#This Row],[Y-tunnus]],'2.5 Päättäneet palaute'!$A:$Y,COLUMN('2.5 Päättäneet palaute'!X:X),FALSE),1),0)</f>
        <v>72783.399999999994</v>
      </c>
      <c r="V81" s="14">
        <f>IFERROR(Ohj.lask.[[#This Row],[Painotetut pisteet 5]]/Ohj.lask.[[#Totals],[Painotetut pisteet 5]],0)</f>
        <v>6.5590165863814911E-3</v>
      </c>
      <c r="W81" s="17">
        <f>ROUND(IFERROR('1.1 Jakotaulu'!M$18*Ohj.lask.[[#This Row],[%-osuus 5]],0),0)</f>
        <v>152283</v>
      </c>
      <c r="X81" s="139">
        <f>IFERROR(ROUND(VLOOKUP(Ohj.lask.[[#This Row],[Y-tunnus]],'2.6 Työpaikkaohjaajakysely'!A:I,COLUMN('2.6 Työpaikkaohjaajakysely'!H:H),FALSE),1),0)</f>
        <v>2814286.3</v>
      </c>
      <c r="Y81" s="10">
        <f>IFERROR(Ohj.lask.[[#This Row],[Painotetut pisteet 6]]/Ohj.lask.[[#Totals],[Painotetut pisteet 6]],0)</f>
        <v>8.2009277061166862E-3</v>
      </c>
      <c r="Z81" s="17">
        <f>ROUND(IFERROR('1.1 Jakotaulu'!M$20*Ohj.lask.[[#This Row],[%-osuus 6]],0),0)</f>
        <v>190404</v>
      </c>
      <c r="AA81" s="139">
        <f>IFERROR(ROUND(VLOOKUP(Ohj.lask.[[#This Row],[Y-tunnus]],'2.7 Työpaikkakysely'!A:G,COLUMN('2.7 Työpaikkakysely'!F:F),FALSE),1),0)</f>
        <v>1462690.5</v>
      </c>
      <c r="AB81" s="10">
        <f>IFERROR(Ohj.lask.[[#This Row],[Pisteet 7]]/Ohj.lask.[[#Totals],[Pisteet 7]],0)</f>
        <v>7.1473234305386322E-3</v>
      </c>
      <c r="AC81" s="17">
        <f>ROUND(IFERROR('1.1 Jakotaulu'!M$21*Ohj.lask.[[#This Row],[%-osuus 7]],0),0)</f>
        <v>55314</v>
      </c>
      <c r="AD81" s="13">
        <f>IFERROR(Ohj.lask.[[#This Row],[Jaettava € 8]]/Ohj.lask.[[#Totals],[Jaettava € 8]],"")</f>
        <v>3.8022876922040685E-3</v>
      </c>
      <c r="AE8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7759819</v>
      </c>
      <c r="AF81" s="103">
        <v>0</v>
      </c>
      <c r="AG81" s="103">
        <v>0</v>
      </c>
      <c r="AH81" s="107">
        <v>0</v>
      </c>
      <c r="AI81" s="33">
        <v>12000</v>
      </c>
      <c r="AJ81" s="107">
        <v>0</v>
      </c>
      <c r="AK8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12000</v>
      </c>
      <c r="AL81" s="11">
        <f>Ohj.lask.[[#This Row],[Jaettava € 1]]+Ohj.lask.[[#This Row],[Harkinnanvarainen korotus yhteensä, €]]</f>
        <v>4688026</v>
      </c>
      <c r="AM81" s="103">
        <f>Ohj.lask.[[#This Row],[Jaettava € 2]]</f>
        <v>1847735</v>
      </c>
      <c r="AN81" s="11">
        <f>Ohj.lask.[[#This Row],[Jaettava € 3]]+Ohj.lask.[[#This Row],[Jaettava € 4]]+Ohj.lask.[[#This Row],[Jaettava € 5]]+Ohj.lask.[[#This Row],[Jaettava € 6]]+Ohj.lask.[[#This Row],[Jaettava € 7]]</f>
        <v>1236058</v>
      </c>
      <c r="AO81" s="34">
        <f>Ohj.lask.[[#This Row],[Jaettava € 8]]+Ohj.lask.[[#This Row],[Harkinnanvarainen korotus yhteensä, €]]</f>
        <v>7771819</v>
      </c>
      <c r="AP81" s="12">
        <v>440666</v>
      </c>
      <c r="AQ81" s="34">
        <f>Ohj.lask.[[#This Row],[Perus-, suoritus- ja vaikuttavuusrahoitus yhteensä, €]]+Ohj.lask.[[#This Row],[Alv-korvaus, €]]</f>
        <v>8212485</v>
      </c>
    </row>
    <row r="82" spans="1:43" ht="12.75" x14ac:dyDescent="0.2">
      <c r="A82" s="4" t="s">
        <v>248</v>
      </c>
      <c r="B82" s="8" t="s">
        <v>145</v>
      </c>
      <c r="C82" s="8" t="s">
        <v>187</v>
      </c>
      <c r="D82" s="8" t="s">
        <v>326</v>
      </c>
      <c r="E82" s="8" t="s">
        <v>375</v>
      </c>
      <c r="F82" s="106">
        <v>0</v>
      </c>
      <c r="G82" s="33">
        <v>5</v>
      </c>
      <c r="H82" s="9">
        <f>IFERROR(VLOOKUP(Ohj.lask.[[#This Row],[Y-tunnus]],'2.1 Toteut. op.vuodet'!$A:$T,COLUMN('2.1 Toteut. op.vuodet'!S:S),FALSE),0)</f>
        <v>0.79068600000000056</v>
      </c>
      <c r="I82" s="74">
        <f t="shared" si="2"/>
        <v>4</v>
      </c>
      <c r="J82" s="10">
        <f>IFERROR(Ohj.lask.[[#This Row],[Painotetut opiskelija-vuodet]]/Ohj.lask.[[#Totals],[Painotetut opiskelija-vuodet]],0)</f>
        <v>1.9424453444441208E-5</v>
      </c>
      <c r="K82" s="11">
        <f>ROUND(IFERROR('1.1 Jakotaulu'!L$12*Ohj.lask.[[#This Row],[%-osuus 1]],0),0)</f>
        <v>27616</v>
      </c>
      <c r="L82" s="139">
        <f>IFERROR(ROUND(VLOOKUP(Ohj.lask.[[#This Row],[Y-tunnus]],'2.2 Tutk. ja osien pain. pist.'!$A:$Q,COLUMN('2.2 Tutk. ja osien pain. pist.'!O:O),FALSE),1),0)</f>
        <v>0</v>
      </c>
      <c r="M82" s="10">
        <f>IFERROR(Ohj.lask.[[#This Row],[Painotetut pisteet 2]]/Ohj.lask.[[#Totals],[Painotetut pisteet 2]],0)</f>
        <v>0</v>
      </c>
      <c r="N82" s="17">
        <f>ROUND(IFERROR('1.1 Jakotaulu'!K$13*Ohj.lask.[[#This Row],[%-osuus 2]],0),0)</f>
        <v>0</v>
      </c>
      <c r="O82" s="140">
        <f>IFERROR(ROUND(VLOOKUP(Ohj.lask.[[#This Row],[Y-tunnus]],'2.3 Työll. ja jatko-opisk.'!$A:$Y,COLUMN('2.3 Työll. ja jatko-opisk.'!L:L),FALSE),1),0)</f>
        <v>0</v>
      </c>
      <c r="P82" s="10">
        <f>IFERROR(Ohj.lask.[[#This Row],[Painotetut pisteet 3]]/Ohj.lask.[[#Totals],[Painotetut pisteet 3]],0)</f>
        <v>0</v>
      </c>
      <c r="Q82" s="11">
        <f>ROUND(IFERROR('1.1 Jakotaulu'!L$15*Ohj.lask.[[#This Row],[%-osuus 3]],0),0)</f>
        <v>0</v>
      </c>
      <c r="R82" s="139">
        <f>IFERROR(ROUND(VLOOKUP(Ohj.lask.[[#This Row],[Y-tunnus]],'2.4 Aloittaneet palaute'!$A:$I,COLUMN('2.4 Aloittaneet palaute'!H:H),FALSE),1),0)</f>
        <v>0</v>
      </c>
      <c r="S82" s="14">
        <f>IFERROR(Ohj.lask.[[#This Row],[Painotetut pisteet 4]]/Ohj.lask.[[#Totals],[Painotetut pisteet 4]],0)</f>
        <v>0</v>
      </c>
      <c r="T82" s="17">
        <f>ROUND(IFERROR('1.1 Jakotaulu'!M$17*Ohj.lask.[[#This Row],[%-osuus 4]],0),0)</f>
        <v>0</v>
      </c>
      <c r="U82" s="139">
        <f>IFERROR(ROUND(VLOOKUP(Ohj.lask.[[#This Row],[Y-tunnus]],'2.5 Päättäneet palaute'!$A:$Y,COLUMN('2.5 Päättäneet palaute'!X:X),FALSE),1),0)</f>
        <v>0</v>
      </c>
      <c r="V82" s="14">
        <f>IFERROR(Ohj.lask.[[#This Row],[Painotetut pisteet 5]]/Ohj.lask.[[#Totals],[Painotetut pisteet 5]],0)</f>
        <v>0</v>
      </c>
      <c r="W82" s="17">
        <f>ROUND(IFERROR('1.1 Jakotaulu'!M$18*Ohj.lask.[[#This Row],[%-osuus 5]],0),0)</f>
        <v>0</v>
      </c>
      <c r="X82" s="139">
        <f>IFERROR(ROUND(VLOOKUP(Ohj.lask.[[#This Row],[Y-tunnus]],'2.6 Työpaikkaohjaajakysely'!A:I,COLUMN('2.6 Työpaikkaohjaajakysely'!H:H),FALSE),1),0)</f>
        <v>0</v>
      </c>
      <c r="Y82" s="10">
        <f>IFERROR(Ohj.lask.[[#This Row],[Painotetut pisteet 6]]/Ohj.lask.[[#Totals],[Painotetut pisteet 6]],0)</f>
        <v>0</v>
      </c>
      <c r="Z82" s="17">
        <f>ROUND(IFERROR('1.1 Jakotaulu'!M$20*Ohj.lask.[[#This Row],[%-osuus 6]],0),0)</f>
        <v>0</v>
      </c>
      <c r="AA82" s="139">
        <f>IFERROR(ROUND(VLOOKUP(Ohj.lask.[[#This Row],[Y-tunnus]],'2.7 Työpaikkakysely'!A:G,COLUMN('2.7 Työpaikkakysely'!F:F),FALSE),1),0)</f>
        <v>0</v>
      </c>
      <c r="AB82" s="10">
        <f>IFERROR(Ohj.lask.[[#This Row],[Pisteet 7]]/Ohj.lask.[[#Totals],[Pisteet 7]],0)</f>
        <v>0</v>
      </c>
      <c r="AC82" s="17">
        <f>ROUND(IFERROR('1.1 Jakotaulu'!M$21*Ohj.lask.[[#This Row],[%-osuus 7]],0),0)</f>
        <v>0</v>
      </c>
      <c r="AD82" s="13">
        <f>IFERROR(Ohj.lask.[[#This Row],[Jaettava € 8]]/Ohj.lask.[[#Totals],[Jaettava € 8]],"")</f>
        <v>1.3531755947903882E-5</v>
      </c>
      <c r="AE8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27616</v>
      </c>
      <c r="AF82" s="103">
        <v>0</v>
      </c>
      <c r="AG82" s="103">
        <v>0</v>
      </c>
      <c r="AH82" s="107">
        <v>0</v>
      </c>
      <c r="AI82" s="33">
        <v>0</v>
      </c>
      <c r="AJ82" s="107">
        <v>0</v>
      </c>
      <c r="AK8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82" s="11">
        <f>Ohj.lask.[[#This Row],[Jaettava € 1]]+Ohj.lask.[[#This Row],[Harkinnanvarainen korotus yhteensä, €]]</f>
        <v>27616</v>
      </c>
      <c r="AM82" s="103">
        <f>Ohj.lask.[[#This Row],[Jaettava € 2]]</f>
        <v>0</v>
      </c>
      <c r="AN82" s="11">
        <f>Ohj.lask.[[#This Row],[Jaettava € 3]]+Ohj.lask.[[#This Row],[Jaettava € 4]]+Ohj.lask.[[#This Row],[Jaettava € 5]]+Ohj.lask.[[#This Row],[Jaettava € 6]]+Ohj.lask.[[#This Row],[Jaettava € 7]]</f>
        <v>0</v>
      </c>
      <c r="AO82" s="34">
        <f>Ohj.lask.[[#This Row],[Jaettava € 8]]+Ohj.lask.[[#This Row],[Harkinnanvarainen korotus yhteensä, €]]</f>
        <v>27616</v>
      </c>
      <c r="AP82" s="12">
        <v>0</v>
      </c>
      <c r="AQ82" s="34">
        <f>Ohj.lask.[[#This Row],[Perus-, suoritus- ja vaikuttavuusrahoitus yhteensä, €]]+Ohj.lask.[[#This Row],[Alv-korvaus, €]]</f>
        <v>27616</v>
      </c>
    </row>
    <row r="83" spans="1:43" ht="12.75" x14ac:dyDescent="0.2">
      <c r="A83" s="4" t="s">
        <v>246</v>
      </c>
      <c r="B83" s="8" t="s">
        <v>75</v>
      </c>
      <c r="C83" s="8" t="s">
        <v>180</v>
      </c>
      <c r="D83" s="8" t="s">
        <v>325</v>
      </c>
      <c r="E83" s="8" t="s">
        <v>376</v>
      </c>
      <c r="F83" s="106">
        <v>1164</v>
      </c>
      <c r="G83" s="33">
        <v>1121</v>
      </c>
      <c r="H83" s="9">
        <f>IFERROR(VLOOKUP(Ohj.lask.[[#This Row],[Y-tunnus]],'2.1 Toteut. op.vuodet'!$A:$T,COLUMN('2.1 Toteut. op.vuodet'!S:S),FALSE),0)</f>
        <v>1.5880631025237084</v>
      </c>
      <c r="I83" s="74">
        <f t="shared" si="2"/>
        <v>1780.2</v>
      </c>
      <c r="J83" s="10">
        <f>IFERROR(Ohj.lask.[[#This Row],[Painotetut opiskelija-vuodet]]/Ohj.lask.[[#Totals],[Painotetut opiskelija-vuodet]],0)</f>
        <v>8.6448530054485592E-3</v>
      </c>
      <c r="K83" s="11">
        <f>ROUND(IFERROR('1.1 Jakotaulu'!L$12*Ohj.lask.[[#This Row],[%-osuus 1]],0),0)</f>
        <v>12290362</v>
      </c>
      <c r="L83" s="139">
        <f>IFERROR(ROUND(VLOOKUP(Ohj.lask.[[#This Row],[Y-tunnus]],'2.2 Tutk. ja osien pain. pist.'!$A:$Q,COLUMN('2.2 Tutk. ja osien pain. pist.'!O:O),FALSE),1),0)</f>
        <v>118479.3</v>
      </c>
      <c r="M83" s="10">
        <f>IFERROR(Ohj.lask.[[#This Row],[Painotetut pisteet 2]]/Ohj.lask.[[#Totals],[Painotetut pisteet 2]],0)</f>
        <v>7.5225814970297346E-3</v>
      </c>
      <c r="N83" s="17">
        <f>ROUND(IFERROR('1.1 Jakotaulu'!K$13*Ohj.lask.[[#This Row],[%-osuus 2]],0),0)</f>
        <v>3104983</v>
      </c>
      <c r="O83" s="140">
        <f>IFERROR(ROUND(VLOOKUP(Ohj.lask.[[#This Row],[Y-tunnus]],'2.3 Työll. ja jatko-opisk.'!$A:$Y,COLUMN('2.3 Työll. ja jatko-opisk.'!L:L),FALSE),1),0)</f>
        <v>2595.5</v>
      </c>
      <c r="P83" s="10">
        <f>IFERROR(Ohj.lask.[[#This Row],[Painotetut pisteet 3]]/Ohj.lask.[[#Totals],[Painotetut pisteet 3]],0)</f>
        <v>7.689789364062863E-3</v>
      </c>
      <c r="Q83" s="11">
        <f>ROUND(IFERROR('1.1 Jakotaulu'!L$15*Ohj.lask.[[#This Row],[%-osuus 3]],0),0)</f>
        <v>1110897</v>
      </c>
      <c r="R83" s="139">
        <f>IFERROR(ROUND(VLOOKUP(Ohj.lask.[[#This Row],[Y-tunnus]],'2.4 Aloittaneet palaute'!$A:$I,COLUMN('2.4 Aloittaneet palaute'!H:H),FALSE),1),0)</f>
        <v>8325.6</v>
      </c>
      <c r="S83" s="14">
        <f>IFERROR(Ohj.lask.[[#This Row],[Painotetut pisteet 4]]/Ohj.lask.[[#Totals],[Painotetut pisteet 4]],0)</f>
        <v>4.7885436612101918E-3</v>
      </c>
      <c r="T83" s="17">
        <f>ROUND(IFERROR('1.1 Jakotaulu'!M$17*Ohj.lask.[[#This Row],[%-osuus 4]],0),0)</f>
        <v>37059</v>
      </c>
      <c r="U83" s="139">
        <f>IFERROR(ROUND(VLOOKUP(Ohj.lask.[[#This Row],[Y-tunnus]],'2.5 Päättäneet palaute'!$A:$Y,COLUMN('2.5 Päättäneet palaute'!X:X),FALSE),1),0)</f>
        <v>69459.899999999994</v>
      </c>
      <c r="V83" s="14">
        <f>IFERROR(Ohj.lask.[[#This Row],[Painotetut pisteet 5]]/Ohj.lask.[[#Totals],[Painotetut pisteet 5]],0)</f>
        <v>6.2595129684570889E-3</v>
      </c>
      <c r="W83" s="17">
        <f>ROUND(IFERROR('1.1 Jakotaulu'!M$18*Ohj.lask.[[#This Row],[%-osuus 5]],0),0)</f>
        <v>145330</v>
      </c>
      <c r="X83" s="139">
        <f>IFERROR(ROUND(VLOOKUP(Ohj.lask.[[#This Row],[Y-tunnus]],'2.6 Työpaikkaohjaajakysely'!A:I,COLUMN('2.6 Työpaikkaohjaajakysely'!H:H),FALSE),1),0)</f>
        <v>3561097.4</v>
      </c>
      <c r="Y83" s="10">
        <f>IFERROR(Ohj.lask.[[#This Row],[Painotetut pisteet 6]]/Ohj.lask.[[#Totals],[Painotetut pisteet 6]],0)</f>
        <v>1.0377161105407115E-2</v>
      </c>
      <c r="Z83" s="17">
        <f>ROUND(IFERROR('1.1 Jakotaulu'!M$20*Ohj.lask.[[#This Row],[%-osuus 6]],0),0)</f>
        <v>240931</v>
      </c>
      <c r="AA83" s="139">
        <f>IFERROR(ROUND(VLOOKUP(Ohj.lask.[[#This Row],[Y-tunnus]],'2.7 Työpaikkakysely'!A:G,COLUMN('2.7 Työpaikkakysely'!F:F),FALSE),1),0)</f>
        <v>1476280.9</v>
      </c>
      <c r="AB83" s="10">
        <f>IFERROR(Ohj.lask.[[#This Row],[Pisteet 7]]/Ohj.lask.[[#Totals],[Pisteet 7]],0)</f>
        <v>7.2137318637310209E-3</v>
      </c>
      <c r="AC83" s="17">
        <f>ROUND(IFERROR('1.1 Jakotaulu'!M$21*Ohj.lask.[[#This Row],[%-osuus 7]],0),0)</f>
        <v>55828</v>
      </c>
      <c r="AD83" s="13">
        <f>IFERROR(Ohj.lask.[[#This Row],[Jaettava € 8]]/Ohj.lask.[[#Totals],[Jaettava € 8]],"")</f>
        <v>8.3227894032433056E-3</v>
      </c>
      <c r="AE8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16985390</v>
      </c>
      <c r="AF83" s="103">
        <v>0</v>
      </c>
      <c r="AG83" s="103">
        <v>0</v>
      </c>
      <c r="AH83" s="107">
        <v>0</v>
      </c>
      <c r="AI83" s="33">
        <v>16000</v>
      </c>
      <c r="AJ83" s="107">
        <v>0</v>
      </c>
      <c r="AK8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16000</v>
      </c>
      <c r="AL83" s="11">
        <f>Ohj.lask.[[#This Row],[Jaettava € 1]]+Ohj.lask.[[#This Row],[Harkinnanvarainen korotus yhteensä, €]]</f>
        <v>12306362</v>
      </c>
      <c r="AM83" s="103">
        <f>Ohj.lask.[[#This Row],[Jaettava € 2]]</f>
        <v>3104983</v>
      </c>
      <c r="AN83" s="11">
        <f>Ohj.lask.[[#This Row],[Jaettava € 3]]+Ohj.lask.[[#This Row],[Jaettava € 4]]+Ohj.lask.[[#This Row],[Jaettava € 5]]+Ohj.lask.[[#This Row],[Jaettava € 6]]+Ohj.lask.[[#This Row],[Jaettava € 7]]</f>
        <v>1590045</v>
      </c>
      <c r="AO83" s="34">
        <f>Ohj.lask.[[#This Row],[Jaettava € 8]]+Ohj.lask.[[#This Row],[Harkinnanvarainen korotus yhteensä, €]]</f>
        <v>17001390</v>
      </c>
      <c r="AP83" s="12">
        <v>0</v>
      </c>
      <c r="AQ83" s="34">
        <f>Ohj.lask.[[#This Row],[Perus-, suoritus- ja vaikuttavuusrahoitus yhteensä, €]]+Ohj.lask.[[#This Row],[Alv-korvaus, €]]</f>
        <v>17001390</v>
      </c>
    </row>
    <row r="84" spans="1:43" ht="12.75" x14ac:dyDescent="0.2">
      <c r="A84" s="4" t="s">
        <v>245</v>
      </c>
      <c r="B84" s="8" t="s">
        <v>76</v>
      </c>
      <c r="C84" s="8" t="s">
        <v>181</v>
      </c>
      <c r="D84" s="8" t="s">
        <v>327</v>
      </c>
      <c r="E84" s="8" t="s">
        <v>375</v>
      </c>
      <c r="F84" s="106">
        <v>43</v>
      </c>
      <c r="G84" s="33">
        <v>42</v>
      </c>
      <c r="H84" s="9">
        <f>IFERROR(VLOOKUP(Ohj.lask.[[#This Row],[Y-tunnus]],'2.1 Toteut. op.vuodet'!$A:$T,COLUMN('2.1 Toteut. op.vuodet'!S:S),FALSE),0)</f>
        <v>1.4997044552205552</v>
      </c>
      <c r="I84" s="74">
        <f t="shared" si="2"/>
        <v>63</v>
      </c>
      <c r="J84" s="10">
        <f>IFERROR(Ohj.lask.[[#This Row],[Painotetut opiskelija-vuodet]]/Ohj.lask.[[#Totals],[Painotetut opiskelija-vuodet]],0)</f>
        <v>3.0593514174994904E-4</v>
      </c>
      <c r="K84" s="11">
        <f>ROUND(IFERROR('1.1 Jakotaulu'!L$12*Ohj.lask.[[#This Row],[%-osuus 1]],0),0)</f>
        <v>434947</v>
      </c>
      <c r="L84" s="139">
        <f>IFERROR(ROUND(VLOOKUP(Ohj.lask.[[#This Row],[Y-tunnus]],'2.2 Tutk. ja osien pain. pist.'!$A:$Q,COLUMN('2.2 Tutk. ja osien pain. pist.'!O:O),FALSE),1),0)</f>
        <v>4895.8</v>
      </c>
      <c r="M84" s="10">
        <f>IFERROR(Ohj.lask.[[#This Row],[Painotetut pisteet 2]]/Ohj.lask.[[#Totals],[Painotetut pisteet 2]],0)</f>
        <v>3.1084800883494565E-4</v>
      </c>
      <c r="N84" s="17">
        <f>ROUND(IFERROR('1.1 Jakotaulu'!K$13*Ohj.lask.[[#This Row],[%-osuus 2]],0),0)</f>
        <v>128304</v>
      </c>
      <c r="O84" s="140">
        <f>IFERROR(ROUND(VLOOKUP(Ohj.lask.[[#This Row],[Y-tunnus]],'2.3 Työll. ja jatko-opisk.'!$A:$Y,COLUMN('2.3 Työll. ja jatko-opisk.'!L:L),FALSE),1),0)</f>
        <v>116.3</v>
      </c>
      <c r="P84" s="10">
        <f>IFERROR(Ohj.lask.[[#This Row],[Painotetut pisteet 3]]/Ohj.lask.[[#Totals],[Painotetut pisteet 3]],0)</f>
        <v>3.4456655867482605E-4</v>
      </c>
      <c r="Q84" s="11">
        <f>ROUND(IFERROR('1.1 Jakotaulu'!L$15*Ohj.lask.[[#This Row],[%-osuus 3]],0),0)</f>
        <v>49777</v>
      </c>
      <c r="R84" s="139">
        <f>IFERROR(ROUND(VLOOKUP(Ohj.lask.[[#This Row],[Y-tunnus]],'2.4 Aloittaneet palaute'!$A:$I,COLUMN('2.4 Aloittaneet palaute'!H:H),FALSE),1),0)</f>
        <v>282.39999999999998</v>
      </c>
      <c r="S84" s="14">
        <f>IFERROR(Ohj.lask.[[#This Row],[Painotetut pisteet 4]]/Ohj.lask.[[#Totals],[Painotetut pisteet 4]],0)</f>
        <v>1.6242489789633876E-4</v>
      </c>
      <c r="T84" s="17">
        <f>ROUND(IFERROR('1.1 Jakotaulu'!M$17*Ohj.lask.[[#This Row],[%-osuus 4]],0),0)</f>
        <v>1257</v>
      </c>
      <c r="U84" s="139">
        <f>IFERROR(ROUND(VLOOKUP(Ohj.lask.[[#This Row],[Y-tunnus]],'2.5 Päättäneet palaute'!$A:$Y,COLUMN('2.5 Päättäneet palaute'!X:X),FALSE),1),0)</f>
        <v>3309</v>
      </c>
      <c r="V84" s="14">
        <f>IFERROR(Ohj.lask.[[#This Row],[Painotetut pisteet 5]]/Ohj.lask.[[#Totals],[Painotetut pisteet 5]],0)</f>
        <v>2.9819692243473588E-4</v>
      </c>
      <c r="W84" s="17">
        <f>ROUND(IFERROR('1.1 Jakotaulu'!M$18*Ohj.lask.[[#This Row],[%-osuus 5]],0),0)</f>
        <v>6923</v>
      </c>
      <c r="X84" s="139">
        <f>IFERROR(ROUND(VLOOKUP(Ohj.lask.[[#This Row],[Y-tunnus]],'2.6 Työpaikkaohjaajakysely'!A:I,COLUMN('2.6 Työpaikkaohjaajakysely'!H:H),FALSE),1),0)</f>
        <v>4545</v>
      </c>
      <c r="Y84" s="10">
        <f>IFERROR(Ohj.lask.[[#This Row],[Painotetut pisteet 6]]/Ohj.lask.[[#Totals],[Painotetut pisteet 6]],0)</f>
        <v>1.3244287343579913E-5</v>
      </c>
      <c r="Z84" s="17">
        <f>ROUND(IFERROR('1.1 Jakotaulu'!M$20*Ohj.lask.[[#This Row],[%-osuus 6]],0),0)</f>
        <v>307</v>
      </c>
      <c r="AA84" s="139">
        <f>IFERROR(ROUND(VLOOKUP(Ohj.lask.[[#This Row],[Y-tunnus]],'2.7 Työpaikkakysely'!A:G,COLUMN('2.7 Työpaikkakysely'!F:F),FALSE),1),0)</f>
        <v>0</v>
      </c>
      <c r="AB84" s="10">
        <f>IFERROR(Ohj.lask.[[#This Row],[Pisteet 7]]/Ohj.lask.[[#Totals],[Pisteet 7]],0)</f>
        <v>0</v>
      </c>
      <c r="AC84" s="17">
        <f>ROUND(IFERROR('1.1 Jakotaulu'!M$21*Ohj.lask.[[#This Row],[%-osuus 7]],0),0)</f>
        <v>0</v>
      </c>
      <c r="AD84" s="13">
        <f>IFERROR(Ohj.lask.[[#This Row],[Jaettava € 8]]/Ohj.lask.[[#Totals],[Jaettava € 8]],"")</f>
        <v>3.0454045835607912E-4</v>
      </c>
      <c r="AE8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621515</v>
      </c>
      <c r="AF84" s="103">
        <v>0</v>
      </c>
      <c r="AG84" s="103">
        <v>0</v>
      </c>
      <c r="AH84" s="107">
        <v>0</v>
      </c>
      <c r="AI84" s="33">
        <v>0</v>
      </c>
      <c r="AJ84" s="107">
        <v>0</v>
      </c>
      <c r="AK8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84" s="11">
        <f>Ohj.lask.[[#This Row],[Jaettava € 1]]+Ohj.lask.[[#This Row],[Harkinnanvarainen korotus yhteensä, €]]</f>
        <v>434947</v>
      </c>
      <c r="AM84" s="103">
        <f>Ohj.lask.[[#This Row],[Jaettava € 2]]</f>
        <v>128304</v>
      </c>
      <c r="AN84" s="11">
        <f>Ohj.lask.[[#This Row],[Jaettava € 3]]+Ohj.lask.[[#This Row],[Jaettava € 4]]+Ohj.lask.[[#This Row],[Jaettava € 5]]+Ohj.lask.[[#This Row],[Jaettava € 6]]+Ohj.lask.[[#This Row],[Jaettava € 7]]</f>
        <v>58264</v>
      </c>
      <c r="AO84" s="34">
        <f>Ohj.lask.[[#This Row],[Jaettava € 8]]+Ohj.lask.[[#This Row],[Harkinnanvarainen korotus yhteensä, €]]</f>
        <v>621515</v>
      </c>
      <c r="AP84" s="12">
        <v>0</v>
      </c>
      <c r="AQ84" s="34">
        <f>Ohj.lask.[[#This Row],[Perus-, suoritus- ja vaikuttavuusrahoitus yhteensä, €]]+Ohj.lask.[[#This Row],[Alv-korvaus, €]]</f>
        <v>621515</v>
      </c>
    </row>
    <row r="85" spans="1:43" ht="12.75" x14ac:dyDescent="0.2">
      <c r="A85" s="4" t="s">
        <v>241</v>
      </c>
      <c r="B85" s="8" t="s">
        <v>77</v>
      </c>
      <c r="C85" s="8" t="s">
        <v>174</v>
      </c>
      <c r="D85" s="8" t="s">
        <v>326</v>
      </c>
      <c r="E85" s="8" t="s">
        <v>375</v>
      </c>
      <c r="F85" s="106">
        <v>45</v>
      </c>
      <c r="G85" s="33">
        <v>45</v>
      </c>
      <c r="H85" s="9">
        <f>IFERROR(VLOOKUP(Ohj.lask.[[#This Row],[Y-tunnus]],'2.1 Toteut. op.vuodet'!$A:$T,COLUMN('2.1 Toteut. op.vuodet'!S:S),FALSE),0)</f>
        <v>1.4549545267851873</v>
      </c>
      <c r="I85" s="74">
        <f t="shared" si="2"/>
        <v>65.5</v>
      </c>
      <c r="J85" s="10">
        <f>IFERROR(Ohj.lask.[[#This Row],[Painotetut opiskelija-vuodet]]/Ohj.lask.[[#Totals],[Painotetut opiskelija-vuodet]],0)</f>
        <v>3.1807542515272479E-4</v>
      </c>
      <c r="K85" s="11">
        <f>ROUND(IFERROR('1.1 Jakotaulu'!L$12*Ohj.lask.[[#This Row],[%-osuus 1]],0),0)</f>
        <v>452207</v>
      </c>
      <c r="L85" s="139">
        <f>IFERROR(ROUND(VLOOKUP(Ohj.lask.[[#This Row],[Y-tunnus]],'2.2 Tutk. ja osien pain. pist.'!$A:$Q,COLUMN('2.2 Tutk. ja osien pain. pist.'!O:O),FALSE),1),0)</f>
        <v>3721.4</v>
      </c>
      <c r="M85" s="10">
        <f>IFERROR(Ohj.lask.[[#This Row],[Painotetut pisteet 2]]/Ohj.lask.[[#Totals],[Painotetut pisteet 2]],0)</f>
        <v>2.3628207444715199E-4</v>
      </c>
      <c r="N85" s="17">
        <f>ROUND(IFERROR('1.1 Jakotaulu'!K$13*Ohj.lask.[[#This Row],[%-osuus 2]],0),0)</f>
        <v>97527</v>
      </c>
      <c r="O85" s="140">
        <f>IFERROR(ROUND(VLOOKUP(Ohj.lask.[[#This Row],[Y-tunnus]],'2.3 Työll. ja jatko-opisk.'!$A:$Y,COLUMN('2.3 Työll. ja jatko-opisk.'!L:L),FALSE),1),0)</f>
        <v>93.7</v>
      </c>
      <c r="P85" s="10">
        <f>IFERROR(Ohj.lask.[[#This Row],[Painotetut pisteet 3]]/Ohj.lask.[[#Totals],[Painotetut pisteet 3]],0)</f>
        <v>2.7760865475349273E-4</v>
      </c>
      <c r="Q85" s="11">
        <f>ROUND(IFERROR('1.1 Jakotaulu'!L$15*Ohj.lask.[[#This Row],[%-osuus 3]],0),0)</f>
        <v>40104</v>
      </c>
      <c r="R85" s="139">
        <f>IFERROR(ROUND(VLOOKUP(Ohj.lask.[[#This Row],[Y-tunnus]],'2.4 Aloittaneet palaute'!$A:$I,COLUMN('2.4 Aloittaneet palaute'!H:H),FALSE),1),0)</f>
        <v>203.4</v>
      </c>
      <c r="S85" s="14">
        <f>IFERROR(Ohj.lask.[[#This Row],[Painotetut pisteet 4]]/Ohj.lask.[[#Totals],[Painotetut pisteet 4]],0)</f>
        <v>1.1698733793241965E-4</v>
      </c>
      <c r="T85" s="17">
        <f>ROUND(IFERROR('1.1 Jakotaulu'!M$17*Ohj.lask.[[#This Row],[%-osuus 4]],0),0)</f>
        <v>905</v>
      </c>
      <c r="U85" s="139">
        <f>IFERROR(ROUND(VLOOKUP(Ohj.lask.[[#This Row],[Y-tunnus]],'2.5 Päättäneet palaute'!$A:$Y,COLUMN('2.5 Päättäneet palaute'!X:X),FALSE),1),0)</f>
        <v>1417.5</v>
      </c>
      <c r="V85" s="14">
        <f>IFERROR(Ohj.lask.[[#This Row],[Painotetut pisteet 5]]/Ohj.lask.[[#Totals],[Painotetut pisteet 5]],0)</f>
        <v>1.2774074873110852E-4</v>
      </c>
      <c r="W85" s="17">
        <f>ROUND(IFERROR('1.1 Jakotaulu'!M$18*Ohj.lask.[[#This Row],[%-osuus 5]],0),0)</f>
        <v>2966</v>
      </c>
      <c r="X85" s="139">
        <f>IFERROR(ROUND(VLOOKUP(Ohj.lask.[[#This Row],[Y-tunnus]],'2.6 Työpaikkaohjaajakysely'!A:I,COLUMN('2.6 Työpaikkaohjaajakysely'!H:H),FALSE),1),0)</f>
        <v>0</v>
      </c>
      <c r="Y85" s="10">
        <f>IFERROR(Ohj.lask.[[#This Row],[Painotetut pisteet 6]]/Ohj.lask.[[#Totals],[Painotetut pisteet 6]],0)</f>
        <v>0</v>
      </c>
      <c r="Z85" s="17">
        <f>ROUND(IFERROR('1.1 Jakotaulu'!M$20*Ohj.lask.[[#This Row],[%-osuus 6]],0),0)</f>
        <v>0</v>
      </c>
      <c r="AA85" s="139">
        <f>IFERROR(ROUND(VLOOKUP(Ohj.lask.[[#This Row],[Y-tunnus]],'2.7 Työpaikkakysely'!A:G,COLUMN('2.7 Työpaikkakysely'!F:F),FALSE),1),0)</f>
        <v>0</v>
      </c>
      <c r="AB85" s="10">
        <f>IFERROR(Ohj.lask.[[#This Row],[Pisteet 7]]/Ohj.lask.[[#Totals],[Pisteet 7]],0)</f>
        <v>0</v>
      </c>
      <c r="AC85" s="17">
        <f>ROUND(IFERROR('1.1 Jakotaulu'!M$21*Ohj.lask.[[#This Row],[%-osuus 7]],0),0)</f>
        <v>0</v>
      </c>
      <c r="AD85" s="13">
        <f>IFERROR(Ohj.lask.[[#This Row],[Jaettava € 8]]/Ohj.lask.[[#Totals],[Jaettava € 8]],"")</f>
        <v>2.9091560298645953E-4</v>
      </c>
      <c r="AE8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593709</v>
      </c>
      <c r="AF85" s="103">
        <v>0</v>
      </c>
      <c r="AG85" s="103">
        <v>0</v>
      </c>
      <c r="AH85" s="107">
        <v>0</v>
      </c>
      <c r="AI85" s="33">
        <v>0</v>
      </c>
      <c r="AJ85" s="107">
        <v>0</v>
      </c>
      <c r="AK8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85" s="11">
        <f>Ohj.lask.[[#This Row],[Jaettava € 1]]+Ohj.lask.[[#This Row],[Harkinnanvarainen korotus yhteensä, €]]</f>
        <v>452207</v>
      </c>
      <c r="AM85" s="103">
        <f>Ohj.lask.[[#This Row],[Jaettava € 2]]</f>
        <v>97527</v>
      </c>
      <c r="AN85" s="11">
        <f>Ohj.lask.[[#This Row],[Jaettava € 3]]+Ohj.lask.[[#This Row],[Jaettava € 4]]+Ohj.lask.[[#This Row],[Jaettava € 5]]+Ohj.lask.[[#This Row],[Jaettava € 6]]+Ohj.lask.[[#This Row],[Jaettava € 7]]</f>
        <v>43975</v>
      </c>
      <c r="AO85" s="34">
        <f>Ohj.lask.[[#This Row],[Jaettava € 8]]+Ohj.lask.[[#This Row],[Harkinnanvarainen korotus yhteensä, €]]</f>
        <v>593709</v>
      </c>
      <c r="AP85" s="12">
        <v>23233</v>
      </c>
      <c r="AQ85" s="34">
        <f>Ohj.lask.[[#This Row],[Perus-, suoritus- ja vaikuttavuusrahoitus yhteensä, €]]+Ohj.lask.[[#This Row],[Alv-korvaus, €]]</f>
        <v>616942</v>
      </c>
    </row>
    <row r="86" spans="1:43" ht="12.75" x14ac:dyDescent="0.2">
      <c r="A86" s="4" t="s">
        <v>239</v>
      </c>
      <c r="B86" s="8" t="s">
        <v>79</v>
      </c>
      <c r="C86" s="8" t="s">
        <v>256</v>
      </c>
      <c r="D86" s="8" t="s">
        <v>326</v>
      </c>
      <c r="E86" s="8" t="s">
        <v>375</v>
      </c>
      <c r="F86" s="106">
        <v>47</v>
      </c>
      <c r="G86" s="33">
        <v>43</v>
      </c>
      <c r="H86" s="9">
        <f>IFERROR(VLOOKUP(Ohj.lask.[[#This Row],[Y-tunnus]],'2.1 Toteut. op.vuodet'!$A:$T,COLUMN('2.1 Toteut. op.vuodet'!S:S),FALSE),0)</f>
        <v>0.82797338857423752</v>
      </c>
      <c r="I86" s="74">
        <f t="shared" si="2"/>
        <v>35.6</v>
      </c>
      <c r="J86" s="10">
        <f>IFERROR(Ohj.lask.[[#This Row],[Painotetut opiskelija-vuodet]]/Ohj.lask.[[#Totals],[Painotetut opiskelija-vuodet]],0)</f>
        <v>1.7287763565552674E-4</v>
      </c>
      <c r="K86" s="11">
        <f>ROUND(IFERROR('1.1 Jakotaulu'!L$12*Ohj.lask.[[#This Row],[%-osuus 1]],0),0)</f>
        <v>245780</v>
      </c>
      <c r="L86" s="139">
        <f>IFERROR(ROUND(VLOOKUP(Ohj.lask.[[#This Row],[Y-tunnus]],'2.2 Tutk. ja osien pain. pist.'!$A:$Q,COLUMN('2.2 Tutk. ja osien pain. pist.'!O:O),FALSE),1),0)</f>
        <v>4782.3</v>
      </c>
      <c r="M86" s="10">
        <f>IFERROR(Ohj.lask.[[#This Row],[Painotetut pisteet 2]]/Ohj.lask.[[#Totals],[Painotetut pisteet 2]],0)</f>
        <v>3.036415769948447E-4</v>
      </c>
      <c r="N86" s="17">
        <f>ROUND(IFERROR('1.1 Jakotaulu'!K$13*Ohj.lask.[[#This Row],[%-osuus 2]],0),0)</f>
        <v>125330</v>
      </c>
      <c r="O86" s="140">
        <f>IFERROR(ROUND(VLOOKUP(Ohj.lask.[[#This Row],[Y-tunnus]],'2.3 Työll. ja jatko-opisk.'!$A:$Y,COLUMN('2.3 Työll. ja jatko-opisk.'!L:L),FALSE),1),0)</f>
        <v>104.4</v>
      </c>
      <c r="P86" s="10">
        <f>IFERROR(Ohj.lask.[[#This Row],[Painotetut pisteet 3]]/Ohj.lask.[[#Totals],[Painotetut pisteet 3]],0)</f>
        <v>3.0930996324722131E-4</v>
      </c>
      <c r="Q86" s="11">
        <f>ROUND(IFERROR('1.1 Jakotaulu'!L$15*Ohj.lask.[[#This Row],[%-osuus 3]],0),0)</f>
        <v>44684</v>
      </c>
      <c r="R86" s="139">
        <f>IFERROR(ROUND(VLOOKUP(Ohj.lask.[[#This Row],[Y-tunnus]],'2.4 Aloittaneet palaute'!$A:$I,COLUMN('2.4 Aloittaneet palaute'!H:H),FALSE),1),0)</f>
        <v>745.5</v>
      </c>
      <c r="S86" s="14">
        <f>IFERROR(Ohj.lask.[[#This Row],[Painotetut pisteet 4]]/Ohj.lask.[[#Totals],[Painotetut pisteet 4]],0)</f>
        <v>4.2878102472280652E-4</v>
      </c>
      <c r="T86" s="17">
        <f>ROUND(IFERROR('1.1 Jakotaulu'!M$17*Ohj.lask.[[#This Row],[%-osuus 4]],0),0)</f>
        <v>3318</v>
      </c>
      <c r="U86" s="139">
        <f>IFERROR(ROUND(VLOOKUP(Ohj.lask.[[#This Row],[Y-tunnus]],'2.5 Päättäneet palaute'!$A:$Y,COLUMN('2.5 Päättäneet palaute'!X:X),FALSE),1),0)</f>
        <v>6362.3</v>
      </c>
      <c r="V86" s="14">
        <f>IFERROR(Ohj.lask.[[#This Row],[Painotetut pisteet 5]]/Ohj.lask.[[#Totals],[Painotetut pisteet 5]],0)</f>
        <v>5.7335094578619527E-4</v>
      </c>
      <c r="W86" s="17">
        <f>ROUND(IFERROR('1.1 Jakotaulu'!M$18*Ohj.lask.[[#This Row],[%-osuus 5]],0),0)</f>
        <v>13312</v>
      </c>
      <c r="X86" s="139">
        <f>IFERROR(ROUND(VLOOKUP(Ohj.lask.[[#This Row],[Y-tunnus]],'2.6 Työpaikkaohjaajakysely'!A:I,COLUMN('2.6 Työpaikkaohjaajakysely'!H:H),FALSE),1),0)</f>
        <v>41194.800000000003</v>
      </c>
      <c r="Y86" s="10">
        <f>IFERROR(Ohj.lask.[[#This Row],[Painotetut pisteet 6]]/Ohj.lask.[[#Totals],[Painotetut pisteet 6]],0)</f>
        <v>1.2004307332481977E-4</v>
      </c>
      <c r="Z86" s="17">
        <f>ROUND(IFERROR('1.1 Jakotaulu'!M$20*Ohj.lask.[[#This Row],[%-osuus 6]],0),0)</f>
        <v>2787</v>
      </c>
      <c r="AA86" s="139">
        <f>IFERROR(ROUND(VLOOKUP(Ohj.lask.[[#This Row],[Y-tunnus]],'2.7 Työpaikkakysely'!A:G,COLUMN('2.7 Työpaikkakysely'!F:F),FALSE),1),0)</f>
        <v>23691</v>
      </c>
      <c r="AB86" s="10">
        <f>IFERROR(Ohj.lask.[[#This Row],[Pisteet 7]]/Ohj.lask.[[#Totals],[Pisteet 7]],0)</f>
        <v>1.157642299535621E-4</v>
      </c>
      <c r="AC86" s="17">
        <f>ROUND(IFERROR('1.1 Jakotaulu'!M$21*Ohj.lask.[[#This Row],[%-osuus 7]],0),0)</f>
        <v>896</v>
      </c>
      <c r="AD86" s="13">
        <f>IFERROR(Ohj.lask.[[#This Row],[Jaettava € 8]]/Ohj.lask.[[#Totals],[Jaettava € 8]],"")</f>
        <v>2.1369110266412653E-4</v>
      </c>
      <c r="AE8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436107</v>
      </c>
      <c r="AF86" s="103">
        <v>0</v>
      </c>
      <c r="AG86" s="103">
        <v>0</v>
      </c>
      <c r="AH86" s="107">
        <v>0</v>
      </c>
      <c r="AI86" s="33">
        <v>2000</v>
      </c>
      <c r="AJ86" s="107">
        <v>0</v>
      </c>
      <c r="AK8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86" s="11">
        <f>Ohj.lask.[[#This Row],[Jaettava € 1]]+Ohj.lask.[[#This Row],[Harkinnanvarainen korotus yhteensä, €]]</f>
        <v>247780</v>
      </c>
      <c r="AM86" s="103">
        <f>Ohj.lask.[[#This Row],[Jaettava € 2]]</f>
        <v>125330</v>
      </c>
      <c r="AN86" s="11">
        <f>Ohj.lask.[[#This Row],[Jaettava € 3]]+Ohj.lask.[[#This Row],[Jaettava € 4]]+Ohj.lask.[[#This Row],[Jaettava € 5]]+Ohj.lask.[[#This Row],[Jaettava € 6]]+Ohj.lask.[[#This Row],[Jaettava € 7]]</f>
        <v>64997</v>
      </c>
      <c r="AO86" s="34">
        <f>Ohj.lask.[[#This Row],[Jaettava € 8]]+Ohj.lask.[[#This Row],[Harkinnanvarainen korotus yhteensä, €]]</f>
        <v>438107</v>
      </c>
      <c r="AP86" s="12">
        <v>38879</v>
      </c>
      <c r="AQ86" s="34">
        <f>Ohj.lask.[[#This Row],[Perus-, suoritus- ja vaikuttavuusrahoitus yhteensä, €]]+Ohj.lask.[[#This Row],[Alv-korvaus, €]]</f>
        <v>476986</v>
      </c>
    </row>
    <row r="87" spans="1:43" ht="12.75" x14ac:dyDescent="0.2">
      <c r="A87" s="4" t="s">
        <v>238</v>
      </c>
      <c r="B87" s="8" t="s">
        <v>80</v>
      </c>
      <c r="C87" s="8" t="s">
        <v>187</v>
      </c>
      <c r="D87" s="8" t="s">
        <v>325</v>
      </c>
      <c r="E87" s="8" t="s">
        <v>375</v>
      </c>
      <c r="F87" s="106">
        <v>945</v>
      </c>
      <c r="G87" s="33">
        <v>905</v>
      </c>
      <c r="H87" s="9">
        <f>IFERROR(VLOOKUP(Ohj.lask.[[#This Row],[Y-tunnus]],'2.1 Toteut. op.vuodet'!$A:$T,COLUMN('2.1 Toteut. op.vuodet'!S:S),FALSE),0)</f>
        <v>1.2647066476320334</v>
      </c>
      <c r="I87" s="74">
        <f t="shared" si="2"/>
        <v>1144.5999999999999</v>
      </c>
      <c r="J87" s="10">
        <f>IFERROR(Ohj.lask.[[#This Row],[Painotetut opiskelija-vuodet]]/Ohj.lask.[[#Totals],[Painotetut opiskelija-vuodet]],0)</f>
        <v>5.5583073531268509E-3</v>
      </c>
      <c r="K87" s="11">
        <f>ROUND(IFERROR('1.1 Jakotaulu'!L$12*Ohj.lask.[[#This Row],[%-osuus 1]],0),0)</f>
        <v>7902229</v>
      </c>
      <c r="L87" s="139">
        <f>IFERROR(ROUND(VLOOKUP(Ohj.lask.[[#This Row],[Y-tunnus]],'2.2 Tutk. ja osien pain. pist.'!$A:$Q,COLUMN('2.2 Tutk. ja osien pain. pist.'!O:O),FALSE),1),0)</f>
        <v>81699.899999999994</v>
      </c>
      <c r="M87" s="10">
        <f>IFERROR(Ohj.lask.[[#This Row],[Painotetut pisteet 2]]/Ohj.lask.[[#Totals],[Painotetut pisteet 2]],0)</f>
        <v>5.1873547197626886E-3</v>
      </c>
      <c r="N87" s="17">
        <f>ROUND(IFERROR('1.1 Jakotaulu'!K$13*Ohj.lask.[[#This Row],[%-osuus 2]],0),0)</f>
        <v>2141107</v>
      </c>
      <c r="O87" s="140">
        <f>IFERROR(ROUND(VLOOKUP(Ohj.lask.[[#This Row],[Y-tunnus]],'2.3 Työll. ja jatko-opisk.'!$A:$Y,COLUMN('2.3 Työll. ja jatko-opisk.'!L:L),FALSE),1),0)</f>
        <v>1598.9</v>
      </c>
      <c r="P87" s="10">
        <f>IFERROR(Ohj.lask.[[#This Row],[Painotetut pisteet 3]]/Ohj.lask.[[#Totals],[Painotetut pisteet 3]],0)</f>
        <v>4.7371235654787569E-3</v>
      </c>
      <c r="Q87" s="11">
        <f>ROUND(IFERROR('1.1 Jakotaulu'!L$15*Ohj.lask.[[#This Row],[%-osuus 3]],0),0)</f>
        <v>684343</v>
      </c>
      <c r="R87" s="139">
        <f>IFERROR(ROUND(VLOOKUP(Ohj.lask.[[#This Row],[Y-tunnus]],'2.4 Aloittaneet palaute'!$A:$I,COLUMN('2.4 Aloittaneet palaute'!H:H),FALSE),1),0)</f>
        <v>9756.9</v>
      </c>
      <c r="S87" s="14">
        <f>IFERROR(Ohj.lask.[[#This Row],[Painotetut pisteet 4]]/Ohj.lask.[[#Totals],[Painotetut pisteet 4]],0)</f>
        <v>5.6117687191387673E-3</v>
      </c>
      <c r="T87" s="17">
        <f>ROUND(IFERROR('1.1 Jakotaulu'!M$17*Ohj.lask.[[#This Row],[%-osuus 4]],0),0)</f>
        <v>43430</v>
      </c>
      <c r="U87" s="139">
        <f>IFERROR(ROUND(VLOOKUP(Ohj.lask.[[#This Row],[Y-tunnus]],'2.5 Päättäneet palaute'!$A:$Y,COLUMN('2.5 Päättäneet palaute'!X:X),FALSE),1),0)</f>
        <v>57804.800000000003</v>
      </c>
      <c r="V87" s="14">
        <f>IFERROR(Ohj.lask.[[#This Row],[Painotetut pisteet 5]]/Ohj.lask.[[#Totals],[Painotetut pisteet 5]],0)</f>
        <v>5.2091911338638325E-3</v>
      </c>
      <c r="W87" s="17">
        <f>ROUND(IFERROR('1.1 Jakotaulu'!M$18*Ohj.lask.[[#This Row],[%-osuus 5]],0),0)</f>
        <v>120944</v>
      </c>
      <c r="X87" s="139">
        <f>IFERROR(ROUND(VLOOKUP(Ohj.lask.[[#This Row],[Y-tunnus]],'2.6 Työpaikkaohjaajakysely'!A:I,COLUMN('2.6 Työpaikkaohjaajakysely'!H:H),FALSE),1),0)</f>
        <v>1308755.2</v>
      </c>
      <c r="Y87" s="10">
        <f>IFERROR(Ohj.lask.[[#This Row],[Painotetut pisteet 6]]/Ohj.lask.[[#Totals],[Painotetut pisteet 6]],0)</f>
        <v>3.8137579606610339E-3</v>
      </c>
      <c r="Z87" s="17">
        <f>ROUND(IFERROR('1.1 Jakotaulu'!M$20*Ohj.lask.[[#This Row],[%-osuus 6]],0),0)</f>
        <v>88546</v>
      </c>
      <c r="AA87" s="139">
        <f>IFERROR(ROUND(VLOOKUP(Ohj.lask.[[#This Row],[Y-tunnus]],'2.7 Työpaikkakysely'!A:G,COLUMN('2.7 Työpaikkakysely'!F:F),FALSE),1),0)</f>
        <v>474980.8</v>
      </c>
      <c r="AB87" s="10">
        <f>IFERROR(Ohj.lask.[[#This Row],[Pisteet 7]]/Ohj.lask.[[#Totals],[Pisteet 7]],0)</f>
        <v>2.3209567580400529E-3</v>
      </c>
      <c r="AC87" s="17">
        <f>ROUND(IFERROR('1.1 Jakotaulu'!M$21*Ohj.lask.[[#This Row],[%-osuus 7]],0),0)</f>
        <v>17962</v>
      </c>
      <c r="AD87" s="13">
        <f>IFERROR(Ohj.lask.[[#This Row],[Jaettava € 8]]/Ohj.lask.[[#Totals],[Jaettava € 8]],"")</f>
        <v>5.3892614147644001E-3</v>
      </c>
      <c r="AE8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10998561</v>
      </c>
      <c r="AF87" s="103">
        <v>0</v>
      </c>
      <c r="AG87" s="103">
        <v>0</v>
      </c>
      <c r="AH87" s="107">
        <v>0</v>
      </c>
      <c r="AI87" s="33">
        <v>14000</v>
      </c>
      <c r="AJ87" s="107">
        <v>0</v>
      </c>
      <c r="AK8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14000</v>
      </c>
      <c r="AL87" s="11">
        <f>Ohj.lask.[[#This Row],[Jaettava € 1]]+Ohj.lask.[[#This Row],[Harkinnanvarainen korotus yhteensä, €]]</f>
        <v>7916229</v>
      </c>
      <c r="AM87" s="103">
        <f>Ohj.lask.[[#This Row],[Jaettava € 2]]</f>
        <v>2141107</v>
      </c>
      <c r="AN87" s="11">
        <f>Ohj.lask.[[#This Row],[Jaettava € 3]]+Ohj.lask.[[#This Row],[Jaettava € 4]]+Ohj.lask.[[#This Row],[Jaettava € 5]]+Ohj.lask.[[#This Row],[Jaettava € 6]]+Ohj.lask.[[#This Row],[Jaettava € 7]]</f>
        <v>955225</v>
      </c>
      <c r="AO87" s="34">
        <f>Ohj.lask.[[#This Row],[Jaettava € 8]]+Ohj.lask.[[#This Row],[Harkinnanvarainen korotus yhteensä, €]]</f>
        <v>11012561</v>
      </c>
      <c r="AP87" s="12">
        <v>0</v>
      </c>
      <c r="AQ87" s="34">
        <f>Ohj.lask.[[#This Row],[Perus-, suoritus- ja vaikuttavuusrahoitus yhteensä, €]]+Ohj.lask.[[#This Row],[Alv-korvaus, €]]</f>
        <v>11012561</v>
      </c>
    </row>
    <row r="88" spans="1:43" ht="12.75" x14ac:dyDescent="0.2">
      <c r="A88" s="4" t="s">
        <v>237</v>
      </c>
      <c r="B88" s="8" t="s">
        <v>81</v>
      </c>
      <c r="C88" s="8" t="s">
        <v>174</v>
      </c>
      <c r="D88" s="8" t="s">
        <v>326</v>
      </c>
      <c r="E88" s="8" t="s">
        <v>375</v>
      </c>
      <c r="F88" s="106">
        <v>1332</v>
      </c>
      <c r="G88" s="33">
        <v>1322</v>
      </c>
      <c r="H88" s="9">
        <f>IFERROR(VLOOKUP(Ohj.lask.[[#This Row],[Y-tunnus]],'2.1 Toteut. op.vuodet'!$A:$T,COLUMN('2.1 Toteut. op.vuodet'!S:S),FALSE),0)</f>
        <v>0.93211933380813228</v>
      </c>
      <c r="I88" s="74">
        <f t="shared" si="2"/>
        <v>1232.3</v>
      </c>
      <c r="J88" s="10">
        <f>IFERROR(Ohj.lask.[[#This Row],[Painotetut opiskelija-vuodet]]/Ohj.lask.[[#Totals],[Painotetut opiskelija-vuodet]],0)</f>
        <v>5.9841884948962244E-3</v>
      </c>
      <c r="K88" s="11">
        <f>ROUND(IFERROR('1.1 Jakotaulu'!L$12*Ohj.lask.[[#This Row],[%-osuus 1]],0),0)</f>
        <v>8507703</v>
      </c>
      <c r="L88" s="139">
        <f>IFERROR(ROUND(VLOOKUP(Ohj.lask.[[#This Row],[Y-tunnus]],'2.2 Tutk. ja osien pain. pist.'!$A:$Q,COLUMN('2.2 Tutk. ja osien pain. pist.'!O:O),FALSE),1),0)</f>
        <v>110863.9</v>
      </c>
      <c r="M88" s="10">
        <f>IFERROR(Ohj.lask.[[#This Row],[Painotetut pisteet 2]]/Ohj.lask.[[#Totals],[Painotetut pisteet 2]],0)</f>
        <v>7.039058492315153E-3</v>
      </c>
      <c r="N88" s="17">
        <f>ROUND(IFERROR('1.1 Jakotaulu'!K$13*Ohj.lask.[[#This Row],[%-osuus 2]],0),0)</f>
        <v>2905407</v>
      </c>
      <c r="O88" s="140">
        <f>IFERROR(ROUND(VLOOKUP(Ohj.lask.[[#This Row],[Y-tunnus]],'2.3 Työll. ja jatko-opisk.'!$A:$Y,COLUMN('2.3 Työll. ja jatko-opisk.'!L:L),FALSE),1),0)</f>
        <v>2866.9</v>
      </c>
      <c r="P88" s="10">
        <f>IFERROR(Ohj.lask.[[#This Row],[Painotetut pisteet 3]]/Ohj.lask.[[#Totals],[Painotetut pisteet 3]],0)</f>
        <v>8.4938767589411764E-3</v>
      </c>
      <c r="Q88" s="11">
        <f>ROUND(IFERROR('1.1 Jakotaulu'!L$15*Ohj.lask.[[#This Row],[%-osuus 3]],0),0)</f>
        <v>1227059</v>
      </c>
      <c r="R88" s="139">
        <f>IFERROR(ROUND(VLOOKUP(Ohj.lask.[[#This Row],[Y-tunnus]],'2.4 Aloittaneet palaute'!$A:$I,COLUMN('2.4 Aloittaneet palaute'!H:H),FALSE),1),0)</f>
        <v>14100.3</v>
      </c>
      <c r="S88" s="14">
        <f>IFERROR(Ohj.lask.[[#This Row],[Painotetut pisteet 4]]/Ohj.lask.[[#Totals],[Painotetut pisteet 4]],0)</f>
        <v>8.1099142627753026E-3</v>
      </c>
      <c r="T88" s="17">
        <f>ROUND(IFERROR('1.1 Jakotaulu'!M$17*Ohj.lask.[[#This Row],[%-osuus 4]],0),0)</f>
        <v>62764</v>
      </c>
      <c r="U88" s="139">
        <f>IFERROR(ROUND(VLOOKUP(Ohj.lask.[[#This Row],[Y-tunnus]],'2.5 Päättäneet palaute'!$A:$Y,COLUMN('2.5 Päättäneet palaute'!X:X),FALSE),1),0)</f>
        <v>91466.2</v>
      </c>
      <c r="V88" s="14">
        <f>IFERROR(Ohj.lask.[[#This Row],[Painotetut pisteet 5]]/Ohj.lask.[[#Totals],[Painotetut pisteet 5]],0)</f>
        <v>8.2426531721970491E-3</v>
      </c>
      <c r="W88" s="17">
        <f>ROUND(IFERROR('1.1 Jakotaulu'!M$18*Ohj.lask.[[#This Row],[%-osuus 5]],0),0)</f>
        <v>191373</v>
      </c>
      <c r="X88" s="139">
        <f>IFERROR(ROUND(VLOOKUP(Ohj.lask.[[#This Row],[Y-tunnus]],'2.6 Työpaikkaohjaajakysely'!A:I,COLUMN('2.6 Työpaikkaohjaajakysely'!H:H),FALSE),1),0)</f>
        <v>3008701.8</v>
      </c>
      <c r="Y88" s="10">
        <f>IFERROR(Ohj.lask.[[#This Row],[Painotetut pisteet 6]]/Ohj.lask.[[#Totals],[Painotetut pisteet 6]],0)</f>
        <v>8.7674612035965015E-3</v>
      </c>
      <c r="Z88" s="17">
        <f>ROUND(IFERROR('1.1 Jakotaulu'!M$20*Ohj.lask.[[#This Row],[%-osuus 6]],0),0)</f>
        <v>203558</v>
      </c>
      <c r="AA88" s="139">
        <f>IFERROR(ROUND(VLOOKUP(Ohj.lask.[[#This Row],[Y-tunnus]],'2.7 Työpaikkakysely'!A:G,COLUMN('2.7 Työpaikkakysely'!F:F),FALSE),1),0)</f>
        <v>2557981</v>
      </c>
      <c r="AB88" s="10">
        <f>IFERROR(Ohj.lask.[[#This Row],[Pisteet 7]]/Ohj.lask.[[#Totals],[Pisteet 7]],0)</f>
        <v>1.2499375319777246E-2</v>
      </c>
      <c r="AC88" s="17">
        <f>ROUND(IFERROR('1.1 Jakotaulu'!M$21*Ohj.lask.[[#This Row],[%-osuus 7]],0),0)</f>
        <v>96734</v>
      </c>
      <c r="AD88" s="13">
        <f>IFERROR(Ohj.lask.[[#This Row],[Jaettava € 8]]/Ohj.lask.[[#Totals],[Jaettava € 8]],"")</f>
        <v>6.4653128609031239E-3</v>
      </c>
      <c r="AE8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13194598</v>
      </c>
      <c r="AF88" s="103">
        <v>0</v>
      </c>
      <c r="AG88" s="103">
        <v>0</v>
      </c>
      <c r="AH88" s="107">
        <v>0</v>
      </c>
      <c r="AI88" s="33">
        <v>18000</v>
      </c>
      <c r="AJ88" s="107">
        <v>50000</v>
      </c>
      <c r="AK8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68000</v>
      </c>
      <c r="AL88" s="11">
        <f>Ohj.lask.[[#This Row],[Jaettava € 1]]+Ohj.lask.[[#This Row],[Harkinnanvarainen korotus yhteensä, €]]</f>
        <v>8575703</v>
      </c>
      <c r="AM88" s="103">
        <f>Ohj.lask.[[#This Row],[Jaettava € 2]]</f>
        <v>2905407</v>
      </c>
      <c r="AN88" s="11">
        <f>Ohj.lask.[[#This Row],[Jaettava € 3]]+Ohj.lask.[[#This Row],[Jaettava € 4]]+Ohj.lask.[[#This Row],[Jaettava € 5]]+Ohj.lask.[[#This Row],[Jaettava € 6]]+Ohj.lask.[[#This Row],[Jaettava € 7]]</f>
        <v>1781488</v>
      </c>
      <c r="AO88" s="34">
        <f>Ohj.lask.[[#This Row],[Jaettava € 8]]+Ohj.lask.[[#This Row],[Harkinnanvarainen korotus yhteensä, €]]</f>
        <v>13262598</v>
      </c>
      <c r="AP88" s="12">
        <v>788504</v>
      </c>
      <c r="AQ88" s="34">
        <f>Ohj.lask.[[#This Row],[Perus-, suoritus- ja vaikuttavuusrahoitus yhteensä, €]]+Ohj.lask.[[#This Row],[Alv-korvaus, €]]</f>
        <v>14051102</v>
      </c>
    </row>
    <row r="89" spans="1:43" ht="12.75" x14ac:dyDescent="0.2">
      <c r="A89" s="4" t="s">
        <v>236</v>
      </c>
      <c r="B89" s="8" t="s">
        <v>498</v>
      </c>
      <c r="C89" s="8" t="s">
        <v>223</v>
      </c>
      <c r="D89" s="8" t="s">
        <v>326</v>
      </c>
      <c r="E89" s="8" t="s">
        <v>375</v>
      </c>
      <c r="F89" s="106">
        <v>64</v>
      </c>
      <c r="G89" s="33">
        <v>88</v>
      </c>
      <c r="H89" s="9">
        <f>IFERROR(VLOOKUP(Ohj.lask.[[#This Row],[Y-tunnus]],'2.1 Toteut. op.vuodet'!$A:$T,COLUMN('2.1 Toteut. op.vuodet'!S:S),FALSE),0)</f>
        <v>1.0753576955308908</v>
      </c>
      <c r="I89" s="74">
        <f t="shared" si="2"/>
        <v>94.6</v>
      </c>
      <c r="J89" s="10">
        <f>IFERROR(Ohj.lask.[[#This Row],[Painotetut opiskelija-vuodet]]/Ohj.lask.[[#Totals],[Painotetut opiskelija-vuodet]],0)</f>
        <v>4.5938832396103451E-4</v>
      </c>
      <c r="K89" s="11">
        <f>ROUND(IFERROR('1.1 Jakotaulu'!L$12*Ohj.lask.[[#This Row],[%-osuus 1]],0),0)</f>
        <v>653111</v>
      </c>
      <c r="L89" s="139">
        <f>IFERROR(ROUND(VLOOKUP(Ohj.lask.[[#This Row],[Y-tunnus]],'2.2 Tutk. ja osien pain. pist.'!$A:$Q,COLUMN('2.2 Tutk. ja osien pain. pist.'!O:O),FALSE),1),0)</f>
        <v>5469.8</v>
      </c>
      <c r="M89" s="10">
        <f>IFERROR(Ohj.lask.[[#This Row],[Painotetut pisteet 2]]/Ohj.lask.[[#Totals],[Painotetut pisteet 2]],0)</f>
        <v>3.4729287118047831E-4</v>
      </c>
      <c r="N89" s="17">
        <f>ROUND(IFERROR('1.1 Jakotaulu'!K$13*Ohj.lask.[[#This Row],[%-osuus 2]],0),0)</f>
        <v>143347</v>
      </c>
      <c r="O89" s="140">
        <f>IFERROR(ROUND(VLOOKUP(Ohj.lask.[[#This Row],[Y-tunnus]],'2.3 Työll. ja jatko-opisk.'!$A:$Y,COLUMN('2.3 Työll. ja jatko-opisk.'!L:L),FALSE),1),0)</f>
        <v>202.1</v>
      </c>
      <c r="P89" s="10">
        <f>IFERROR(Ohj.lask.[[#This Row],[Painotetut pisteet 3]]/Ohj.lask.[[#Totals],[Painotetut pisteet 3]],0)</f>
        <v>5.9876957444696772E-4</v>
      </c>
      <c r="Q89" s="11">
        <f>ROUND(IFERROR('1.1 Jakotaulu'!L$15*Ohj.lask.[[#This Row],[%-osuus 3]],0),0)</f>
        <v>86501</v>
      </c>
      <c r="R89" s="139">
        <f>IFERROR(ROUND(VLOOKUP(Ohj.lask.[[#This Row],[Y-tunnus]],'2.4 Aloittaneet palaute'!$A:$I,COLUMN('2.4 Aloittaneet palaute'!H:H),FALSE),1),0)</f>
        <v>973.4</v>
      </c>
      <c r="S89" s="14">
        <f>IFERROR(Ohj.lask.[[#This Row],[Painotetut pisteet 4]]/Ohj.lask.[[#Totals],[Painotetut pisteet 4]],0)</f>
        <v>5.5985975783390989E-4</v>
      </c>
      <c r="T89" s="17">
        <f>ROUND(IFERROR('1.1 Jakotaulu'!M$17*Ohj.lask.[[#This Row],[%-osuus 4]],0),0)</f>
        <v>4333</v>
      </c>
      <c r="U89" s="139">
        <f>IFERROR(ROUND(VLOOKUP(Ohj.lask.[[#This Row],[Y-tunnus]],'2.5 Päättäneet palaute'!$A:$Y,COLUMN('2.5 Päättäneet palaute'!X:X),FALSE),1),0)</f>
        <v>4190.5</v>
      </c>
      <c r="V89" s="14">
        <f>IFERROR(Ohj.lask.[[#This Row],[Painotetut pisteet 5]]/Ohj.lask.[[#Totals],[Painotetut pisteet 5]],0)</f>
        <v>3.7763499651337584E-4</v>
      </c>
      <c r="W89" s="17">
        <f>ROUND(IFERROR('1.1 Jakotaulu'!M$18*Ohj.lask.[[#This Row],[%-osuus 5]],0),0)</f>
        <v>8768</v>
      </c>
      <c r="X89" s="139">
        <f>IFERROR(ROUND(VLOOKUP(Ohj.lask.[[#This Row],[Y-tunnus]],'2.6 Työpaikkaohjaajakysely'!A:I,COLUMN('2.6 Työpaikkaohjaajakysely'!H:H),FALSE),1),0)</f>
        <v>245954.9</v>
      </c>
      <c r="Y89" s="10">
        <f>IFERROR(Ohj.lask.[[#This Row],[Painotetut pisteet 6]]/Ohj.lask.[[#Totals],[Painotetut pisteet 6]],0)</f>
        <v>7.1672109332485438E-4</v>
      </c>
      <c r="Z89" s="17">
        <f>ROUND(IFERROR('1.1 Jakotaulu'!M$20*Ohj.lask.[[#This Row],[%-osuus 6]],0),0)</f>
        <v>16640</v>
      </c>
      <c r="AA89" s="139">
        <f>IFERROR(ROUND(VLOOKUP(Ohj.lask.[[#This Row],[Y-tunnus]],'2.7 Työpaikkakysely'!A:G,COLUMN('2.7 Työpaikkakysely'!F:F),FALSE),1),0)</f>
        <v>118406</v>
      </c>
      <c r="AB89" s="10">
        <f>IFERROR(Ohj.lask.[[#This Row],[Pisteet 7]]/Ohj.lask.[[#Totals],[Pisteet 7]],0)</f>
        <v>5.7858171507667365E-4</v>
      </c>
      <c r="AC89" s="17">
        <f>ROUND(IFERROR('1.1 Jakotaulu'!M$21*Ohj.lask.[[#This Row],[%-osuus 7]],0),0)</f>
        <v>4478</v>
      </c>
      <c r="AD89" s="13">
        <f>IFERROR(Ohj.lask.[[#This Row],[Jaettava € 8]]/Ohj.lask.[[#Totals],[Jaettava € 8]],"")</f>
        <v>4.4941442847575995E-4</v>
      </c>
      <c r="AE8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917178</v>
      </c>
      <c r="AF89" s="103">
        <v>0</v>
      </c>
      <c r="AG89" s="103">
        <v>0</v>
      </c>
      <c r="AH89" s="107">
        <v>0</v>
      </c>
      <c r="AI89" s="33">
        <v>1000</v>
      </c>
      <c r="AJ89" s="107">
        <v>0</v>
      </c>
      <c r="AK8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89" s="11">
        <f>Ohj.lask.[[#This Row],[Jaettava € 1]]+Ohj.lask.[[#This Row],[Harkinnanvarainen korotus yhteensä, €]]</f>
        <v>654111</v>
      </c>
      <c r="AM89" s="103">
        <f>Ohj.lask.[[#This Row],[Jaettava € 2]]</f>
        <v>143347</v>
      </c>
      <c r="AN89" s="11">
        <f>Ohj.lask.[[#This Row],[Jaettava € 3]]+Ohj.lask.[[#This Row],[Jaettava € 4]]+Ohj.lask.[[#This Row],[Jaettava € 5]]+Ohj.lask.[[#This Row],[Jaettava € 6]]+Ohj.lask.[[#This Row],[Jaettava € 7]]</f>
        <v>120720</v>
      </c>
      <c r="AO89" s="34">
        <f>Ohj.lask.[[#This Row],[Jaettava € 8]]+Ohj.lask.[[#This Row],[Harkinnanvarainen korotus yhteensä, €]]</f>
        <v>918178</v>
      </c>
      <c r="AP89" s="12">
        <v>49454</v>
      </c>
      <c r="AQ89" s="34">
        <f>Ohj.lask.[[#This Row],[Perus-, suoritus- ja vaikuttavuusrahoitus yhteensä, €]]+Ohj.lask.[[#This Row],[Alv-korvaus, €]]</f>
        <v>967632</v>
      </c>
    </row>
    <row r="90" spans="1:43" ht="12.75" x14ac:dyDescent="0.2">
      <c r="A90" s="4" t="s">
        <v>243</v>
      </c>
      <c r="B90" s="8" t="s">
        <v>83</v>
      </c>
      <c r="C90" s="8" t="s">
        <v>242</v>
      </c>
      <c r="D90" s="8" t="s">
        <v>325</v>
      </c>
      <c r="E90" s="8" t="s">
        <v>375</v>
      </c>
      <c r="F90" s="106">
        <v>4815</v>
      </c>
      <c r="G90" s="33">
        <v>5023</v>
      </c>
      <c r="H90" s="9">
        <f>IFERROR(VLOOKUP(Ohj.lask.[[#This Row],[Y-tunnus]],'2.1 Toteut. op.vuodet'!$A:$T,COLUMN('2.1 Toteut. op.vuodet'!S:S),FALSE),0)</f>
        <v>1.1769395052527671</v>
      </c>
      <c r="I90" s="74">
        <f t="shared" si="2"/>
        <v>5911.8</v>
      </c>
      <c r="J90" s="10">
        <f>IFERROR(Ohj.lask.[[#This Row],[Painotetut opiskelija-vuodet]]/Ohj.lask.[[#Totals],[Painotetut opiskelija-vuodet]],0)</f>
        <v>2.8708370968211883E-2</v>
      </c>
      <c r="K90" s="11">
        <f>ROUND(IFERROR('1.1 Jakotaulu'!L$12*Ohj.lask.[[#This Row],[%-osuus 1]],0),0)</f>
        <v>40814605</v>
      </c>
      <c r="L90" s="139">
        <f>IFERROR(ROUND(VLOOKUP(Ohj.lask.[[#This Row],[Y-tunnus]],'2.2 Tutk. ja osien pain. pist.'!$A:$Q,COLUMN('2.2 Tutk. ja osien pain. pist.'!O:O),FALSE),1),0)</f>
        <v>448830.1</v>
      </c>
      <c r="M90" s="10">
        <f>IFERROR(Ohj.lask.[[#This Row],[Painotetut pisteet 2]]/Ohj.lask.[[#Totals],[Painotetut pisteet 2]],0)</f>
        <v>2.849747597740707E-2</v>
      </c>
      <c r="N90" s="17">
        <f>ROUND(IFERROR('1.1 Jakotaulu'!K$13*Ohj.lask.[[#This Row],[%-osuus 2]],0),0)</f>
        <v>11762476</v>
      </c>
      <c r="O90" s="140">
        <f>IFERROR(ROUND(VLOOKUP(Ohj.lask.[[#This Row],[Y-tunnus]],'2.3 Työll. ja jatko-opisk.'!$A:$Y,COLUMN('2.3 Työll. ja jatko-opisk.'!L:L),FALSE),1),0)</f>
        <v>10457</v>
      </c>
      <c r="P90" s="10">
        <f>IFERROR(Ohj.lask.[[#This Row],[Painotetut pisteet 3]]/Ohj.lask.[[#Totals],[Painotetut pisteet 3]],0)</f>
        <v>3.098136288961871E-2</v>
      </c>
      <c r="Q90" s="11">
        <f>ROUND(IFERROR('1.1 Jakotaulu'!L$15*Ohj.lask.[[#This Row],[%-osuus 3]],0),0)</f>
        <v>4475689</v>
      </c>
      <c r="R90" s="139">
        <f>IFERROR(ROUND(VLOOKUP(Ohj.lask.[[#This Row],[Y-tunnus]],'2.4 Aloittaneet palaute'!$A:$I,COLUMN('2.4 Aloittaneet palaute'!H:H),FALSE),1),0)</f>
        <v>50796.5</v>
      </c>
      <c r="S90" s="14">
        <f>IFERROR(Ohj.lask.[[#This Row],[Painotetut pisteet 4]]/Ohj.lask.[[#Totals],[Painotetut pisteet 4]],0)</f>
        <v>2.9216063477306559E-2</v>
      </c>
      <c r="T90" s="17">
        <f>ROUND(IFERROR('1.1 Jakotaulu'!M$17*Ohj.lask.[[#This Row],[%-osuus 4]],0),0)</f>
        <v>226107</v>
      </c>
      <c r="U90" s="139">
        <f>IFERROR(ROUND(VLOOKUP(Ohj.lask.[[#This Row],[Y-tunnus]],'2.5 Päättäneet palaute'!$A:$Y,COLUMN('2.5 Päättäneet palaute'!X:X),FALSE),1),0)</f>
        <v>325055.3</v>
      </c>
      <c r="V90" s="14">
        <f>IFERROR(Ohj.lask.[[#This Row],[Painotetut pisteet 5]]/Ohj.lask.[[#Totals],[Painotetut pisteet 5]],0)</f>
        <v>2.9292985820821939E-2</v>
      </c>
      <c r="W90" s="17">
        <f>ROUND(IFERROR('1.1 Jakotaulu'!M$18*Ohj.lask.[[#This Row],[%-osuus 5]],0),0)</f>
        <v>680107</v>
      </c>
      <c r="X90" s="139">
        <f>IFERROR(ROUND(VLOOKUP(Ohj.lask.[[#This Row],[Y-tunnus]],'2.6 Työpaikkaohjaajakysely'!A:I,COLUMN('2.6 Työpaikkaohjaajakysely'!H:H),FALSE),1),0)</f>
        <v>12607299.699999999</v>
      </c>
      <c r="Y90" s="10">
        <f>IFERROR(Ohj.lask.[[#This Row],[Painotetut pisteet 6]]/Ohj.lask.[[#Totals],[Painotetut pisteet 6]],0)</f>
        <v>3.6738107778532196E-2</v>
      </c>
      <c r="Z90" s="17">
        <f>ROUND(IFERROR('1.1 Jakotaulu'!M$20*Ohj.lask.[[#This Row],[%-osuus 6]],0),0)</f>
        <v>852964</v>
      </c>
      <c r="AA90" s="139">
        <f>IFERROR(ROUND(VLOOKUP(Ohj.lask.[[#This Row],[Y-tunnus]],'2.7 Työpaikkakysely'!A:G,COLUMN('2.7 Työpaikkakysely'!F:F),FALSE),1),0)</f>
        <v>9307915.5999999996</v>
      </c>
      <c r="AB90" s="10">
        <f>IFERROR(Ohj.lask.[[#This Row],[Pisteet 7]]/Ohj.lask.[[#Totals],[Pisteet 7]],0)</f>
        <v>4.5482406057437336E-2</v>
      </c>
      <c r="AC90" s="17">
        <f>ROUND(IFERROR('1.1 Jakotaulu'!M$21*Ohj.lask.[[#This Row],[%-osuus 7]],0),0)</f>
        <v>351995</v>
      </c>
      <c r="AD90" s="13">
        <f>IFERROR(Ohj.lask.[[#This Row],[Jaettava € 8]]/Ohj.lask.[[#Totals],[Jaettava € 8]],"")</f>
        <v>2.8990151998540565E-2</v>
      </c>
      <c r="AE9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59163943</v>
      </c>
      <c r="AF90" s="103">
        <v>0</v>
      </c>
      <c r="AG90" s="103">
        <v>0</v>
      </c>
      <c r="AH90" s="107">
        <v>0</v>
      </c>
      <c r="AI90" s="33">
        <v>82000</v>
      </c>
      <c r="AJ90" s="107">
        <v>9000</v>
      </c>
      <c r="AK9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91000</v>
      </c>
      <c r="AL90" s="11">
        <f>Ohj.lask.[[#This Row],[Jaettava € 1]]+Ohj.lask.[[#This Row],[Harkinnanvarainen korotus yhteensä, €]]</f>
        <v>40905605</v>
      </c>
      <c r="AM90" s="103">
        <f>Ohj.lask.[[#This Row],[Jaettava € 2]]</f>
        <v>11762476</v>
      </c>
      <c r="AN90" s="11">
        <f>Ohj.lask.[[#This Row],[Jaettava € 3]]+Ohj.lask.[[#This Row],[Jaettava € 4]]+Ohj.lask.[[#This Row],[Jaettava € 5]]+Ohj.lask.[[#This Row],[Jaettava € 6]]+Ohj.lask.[[#This Row],[Jaettava € 7]]</f>
        <v>6586862</v>
      </c>
      <c r="AO90" s="34">
        <f>Ohj.lask.[[#This Row],[Jaettava € 8]]+Ohj.lask.[[#This Row],[Harkinnanvarainen korotus yhteensä, €]]</f>
        <v>59254943</v>
      </c>
      <c r="AP90" s="12">
        <v>0</v>
      </c>
      <c r="AQ90" s="34">
        <f>Ohj.lask.[[#This Row],[Perus-, suoritus- ja vaikuttavuusrahoitus yhteensä, €]]+Ohj.lask.[[#This Row],[Alv-korvaus, €]]</f>
        <v>59254943</v>
      </c>
    </row>
    <row r="91" spans="1:43" ht="12.75" x14ac:dyDescent="0.2">
      <c r="A91" s="4" t="s">
        <v>233</v>
      </c>
      <c r="B91" s="8" t="s">
        <v>492</v>
      </c>
      <c r="C91" s="97" t="s">
        <v>215</v>
      </c>
      <c r="D91" s="97" t="s">
        <v>326</v>
      </c>
      <c r="E91" s="97" t="s">
        <v>375</v>
      </c>
      <c r="F91" s="105">
        <v>117</v>
      </c>
      <c r="G91" s="33">
        <v>116</v>
      </c>
      <c r="H91" s="9">
        <f>IFERROR(VLOOKUP(Ohj.lask.[[#This Row],[Y-tunnus]],'2.1 Toteut. op.vuodet'!$A:$T,COLUMN('2.1 Toteut. op.vuodet'!S:S),FALSE),0)</f>
        <v>0.91276905894892002</v>
      </c>
      <c r="I91" s="74">
        <f t="shared" si="2"/>
        <v>105.9</v>
      </c>
      <c r="J91" s="10">
        <f>IFERROR(Ohj.lask.[[#This Row],[Painotetut opiskelija-vuodet]]/Ohj.lask.[[#Totals],[Painotetut opiskelija-vuodet]],0)</f>
        <v>5.1426240494158095E-4</v>
      </c>
      <c r="K91" s="11">
        <f>ROUND(IFERROR('1.1 Jakotaulu'!L$12*Ohj.lask.[[#This Row],[%-osuus 1]],0),0)</f>
        <v>731125</v>
      </c>
      <c r="L91" s="139">
        <f>IFERROR(ROUND(VLOOKUP(Ohj.lask.[[#This Row],[Y-tunnus]],'2.2 Tutk. ja osien pain. pist.'!$A:$Q,COLUMN('2.2 Tutk. ja osien pain. pist.'!O:O),FALSE),1),0)</f>
        <v>12147.4</v>
      </c>
      <c r="M91" s="10">
        <f>IFERROR(Ohj.lask.[[#This Row],[Painotetut pisteet 2]]/Ohj.lask.[[#Totals],[Painotetut pisteet 2]],0)</f>
        <v>7.7127233598627768E-4</v>
      </c>
      <c r="N91" s="17">
        <f>ROUND(IFERROR('1.1 Jakotaulu'!K$13*Ohj.lask.[[#This Row],[%-osuus 2]],0),0)</f>
        <v>318347</v>
      </c>
      <c r="O91" s="140">
        <f>IFERROR(ROUND(VLOOKUP(Ohj.lask.[[#This Row],[Y-tunnus]],'2.3 Työll. ja jatko-opisk.'!$A:$Y,COLUMN('2.3 Työll. ja jatko-opisk.'!L:L),FALSE),1),0)</f>
        <v>321.5</v>
      </c>
      <c r="P91" s="14">
        <f>IFERROR(Ohj.lask.[[#This Row],[Painotetut pisteet 3]]/Ohj.lask.[[#Totals],[Painotetut pisteet 3]],0)</f>
        <v>9.5252062436764037E-4</v>
      </c>
      <c r="Q91" s="11">
        <f>ROUND(IFERROR('1.1 Jakotaulu'!L$15*Ohj.lask.[[#This Row],[%-osuus 3]],0),0)</f>
        <v>137605</v>
      </c>
      <c r="R91" s="139">
        <f>IFERROR(ROUND(VLOOKUP(Ohj.lask.[[#This Row],[Y-tunnus]],'2.4 Aloittaneet palaute'!$A:$I,COLUMN('2.4 Aloittaneet palaute'!H:H),FALSE),1),0)</f>
        <v>1595.9</v>
      </c>
      <c r="S91" s="14">
        <f>IFERROR(Ohj.lask.[[#This Row],[Painotetut pisteet 4]]/Ohj.lask.[[#Totals],[Painotetut pisteet 4]],0)</f>
        <v>9.1789622716985505E-4</v>
      </c>
      <c r="T91" s="17">
        <f>ROUND(IFERROR('1.1 Jakotaulu'!M$17*Ohj.lask.[[#This Row],[%-osuus 4]],0),0)</f>
        <v>7104</v>
      </c>
      <c r="U91" s="139">
        <f>IFERROR(ROUND(VLOOKUP(Ohj.lask.[[#This Row],[Y-tunnus]],'2.5 Päättäneet palaute'!$A:$Y,COLUMN('2.5 Päättäneet palaute'!X:X),FALSE),1),0)</f>
        <v>11628</v>
      </c>
      <c r="V91" s="14">
        <f>IFERROR(Ohj.lask.[[#This Row],[Painotetut pisteet 5]]/Ohj.lask.[[#Totals],[Painotetut pisteet 5]],0)</f>
        <v>1.0478796657815378E-3</v>
      </c>
      <c r="W91" s="17">
        <f>ROUND(IFERROR('1.1 Jakotaulu'!M$18*Ohj.lask.[[#This Row],[%-osuus 5]],0),0)</f>
        <v>24329</v>
      </c>
      <c r="X91" s="139">
        <f>IFERROR(ROUND(VLOOKUP(Ohj.lask.[[#This Row],[Y-tunnus]],'2.6 Työpaikkaohjaajakysely'!A:I,COLUMN('2.6 Työpaikkaohjaajakysely'!H:H),FALSE),1),0)</f>
        <v>696588.4</v>
      </c>
      <c r="Y91" s="10">
        <f>IFERROR(Ohj.lask.[[#This Row],[Painotetut pisteet 6]]/Ohj.lask.[[#Totals],[Painotetut pisteet 6]],0)</f>
        <v>2.029882712828291E-3</v>
      </c>
      <c r="Z91" s="17">
        <f>ROUND(IFERROR('1.1 Jakotaulu'!M$20*Ohj.lask.[[#This Row],[%-osuus 6]],0),0)</f>
        <v>47129</v>
      </c>
      <c r="AA91" s="139">
        <f>IFERROR(ROUND(VLOOKUP(Ohj.lask.[[#This Row],[Y-tunnus]],'2.7 Työpaikkakysely'!A:G,COLUMN('2.7 Työpaikkakysely'!F:F),FALSE),1),0)</f>
        <v>186702</v>
      </c>
      <c r="AB91" s="10">
        <f>IFERROR(Ohj.lask.[[#This Row],[Pisteet 7]]/Ohj.lask.[[#Totals],[Pisteet 7]],0)</f>
        <v>9.1230481029884567E-4</v>
      </c>
      <c r="AC91" s="17">
        <f>ROUND(IFERROR('1.1 Jakotaulu'!M$21*Ohj.lask.[[#This Row],[%-osuus 7]],0),0)</f>
        <v>7060</v>
      </c>
      <c r="AD91" s="13">
        <f>IFERROR(Ohj.lask.[[#This Row],[Jaettava € 8]]/Ohj.lask.[[#Totals],[Jaettava € 8]],"")</f>
        <v>6.2361863641154851E-4</v>
      </c>
      <c r="AE9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1272699</v>
      </c>
      <c r="AF91" s="103">
        <v>0</v>
      </c>
      <c r="AG91" s="103">
        <v>0</v>
      </c>
      <c r="AH91" s="107">
        <v>0</v>
      </c>
      <c r="AI91" s="33">
        <v>4000</v>
      </c>
      <c r="AJ91" s="107">
        <v>0</v>
      </c>
      <c r="AK9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91" s="11">
        <f>Ohj.lask.[[#This Row],[Jaettava € 1]]+Ohj.lask.[[#This Row],[Harkinnanvarainen korotus yhteensä, €]]</f>
        <v>735125</v>
      </c>
      <c r="AM91" s="103">
        <f>Ohj.lask.[[#This Row],[Jaettava € 2]]</f>
        <v>318347</v>
      </c>
      <c r="AN91" s="11">
        <f>Ohj.lask.[[#This Row],[Jaettava € 3]]+Ohj.lask.[[#This Row],[Jaettava € 4]]+Ohj.lask.[[#This Row],[Jaettava € 5]]+Ohj.lask.[[#This Row],[Jaettava € 6]]+Ohj.lask.[[#This Row],[Jaettava € 7]]</f>
        <v>223227</v>
      </c>
      <c r="AO91" s="34">
        <f>Ohj.lask.[[#This Row],[Jaettava € 8]]+Ohj.lask.[[#This Row],[Harkinnanvarainen korotus yhteensä, €]]</f>
        <v>1276699</v>
      </c>
      <c r="AP91" s="12">
        <v>65823</v>
      </c>
      <c r="AQ91" s="34">
        <f>Ohj.lask.[[#This Row],[Perus-, suoritus- ja vaikuttavuusrahoitus yhteensä, €]]+Ohj.lask.[[#This Row],[Alv-korvaus, €]]</f>
        <v>1342522</v>
      </c>
    </row>
    <row r="92" spans="1:43" ht="12.75" x14ac:dyDescent="0.2">
      <c r="A92" s="4" t="s">
        <v>232</v>
      </c>
      <c r="B92" s="8" t="s">
        <v>85</v>
      </c>
      <c r="C92" s="8" t="s">
        <v>178</v>
      </c>
      <c r="D92" s="8" t="s">
        <v>326</v>
      </c>
      <c r="E92" s="8" t="s">
        <v>375</v>
      </c>
      <c r="F92" s="106">
        <v>48</v>
      </c>
      <c r="G92" s="33">
        <v>44</v>
      </c>
      <c r="H92" s="9">
        <f>IFERROR(VLOOKUP(Ohj.lask.[[#This Row],[Y-tunnus]],'2.1 Toteut. op.vuodet'!$A:$T,COLUMN('2.1 Toteut. op.vuodet'!S:S),FALSE),0)</f>
        <v>1.2716481328802145</v>
      </c>
      <c r="I92" s="74">
        <f t="shared" si="2"/>
        <v>56</v>
      </c>
      <c r="J92" s="10">
        <f>IFERROR(Ohj.lask.[[#This Row],[Painotetut opiskelija-vuodet]]/Ohj.lask.[[#Totals],[Painotetut opiskelija-vuodet]],0)</f>
        <v>2.719423482221769E-4</v>
      </c>
      <c r="K92" s="11">
        <f>ROUND(IFERROR('1.1 Jakotaulu'!L$12*Ohj.lask.[[#This Row],[%-osuus 1]],0),0)</f>
        <v>386620</v>
      </c>
      <c r="L92" s="139">
        <f>IFERROR(ROUND(VLOOKUP(Ohj.lask.[[#This Row],[Y-tunnus]],'2.2 Tutk. ja osien pain. pist.'!$A:$Q,COLUMN('2.2 Tutk. ja osien pain. pist.'!O:O),FALSE),1),0)</f>
        <v>3716.7</v>
      </c>
      <c r="M92" s="10">
        <f>IFERROR(Ohj.lask.[[#This Row],[Painotetut pisteet 2]]/Ohj.lask.[[#Totals],[Painotetut pisteet 2]],0)</f>
        <v>2.359836583269011E-4</v>
      </c>
      <c r="N92" s="17">
        <f>ROUND(IFERROR('1.1 Jakotaulu'!K$13*Ohj.lask.[[#This Row],[%-osuus 2]],0),0)</f>
        <v>97403</v>
      </c>
      <c r="O92" s="140">
        <f>IFERROR(ROUND(VLOOKUP(Ohj.lask.[[#This Row],[Y-tunnus]],'2.3 Työll. ja jatko-opisk.'!$A:$Y,COLUMN('2.3 Työll. ja jatko-opisk.'!L:L),FALSE),1),0)</f>
        <v>99.3</v>
      </c>
      <c r="P92" s="10">
        <f>IFERROR(Ohj.lask.[[#This Row],[Painotetut pisteet 3]]/Ohj.lask.[[#Totals],[Painotetut pisteet 3]],0)</f>
        <v>2.9419999377824788E-4</v>
      </c>
      <c r="Q92" s="11">
        <f>ROUND(IFERROR('1.1 Jakotaulu'!L$15*Ohj.lask.[[#This Row],[%-osuus 3]],0),0)</f>
        <v>42501</v>
      </c>
      <c r="R92" s="139">
        <f>IFERROR(ROUND(VLOOKUP(Ohj.lask.[[#This Row],[Y-tunnus]],'2.4 Aloittaneet palaute'!$A:$I,COLUMN('2.4 Aloittaneet palaute'!H:H),FALSE),1),0)</f>
        <v>901.2</v>
      </c>
      <c r="S92" s="14">
        <f>IFERROR(Ohj.lask.[[#This Row],[Painotetut pisteet 4]]/Ohj.lask.[[#Totals],[Painotetut pisteet 4]],0)</f>
        <v>5.1833327898080921E-4</v>
      </c>
      <c r="T92" s="17">
        <f>ROUND(IFERROR('1.1 Jakotaulu'!M$17*Ohj.lask.[[#This Row],[%-osuus 4]],0),0)</f>
        <v>4011</v>
      </c>
      <c r="U92" s="139">
        <f>IFERROR(ROUND(VLOOKUP(Ohj.lask.[[#This Row],[Y-tunnus]],'2.5 Päättäneet palaute'!$A:$Y,COLUMN('2.5 Päättäneet palaute'!X:X),FALSE),1),0)</f>
        <v>4329.8999999999996</v>
      </c>
      <c r="V92" s="14">
        <f>IFERROR(Ohj.lask.[[#This Row],[Painotetut pisteet 5]]/Ohj.lask.[[#Totals],[Painotetut pisteet 5]],0)</f>
        <v>3.9019729660023049E-4</v>
      </c>
      <c r="W92" s="17">
        <f>ROUND(IFERROR('1.1 Jakotaulu'!M$18*Ohj.lask.[[#This Row],[%-osuus 5]],0),0)</f>
        <v>9059</v>
      </c>
      <c r="X92" s="139">
        <f>IFERROR(ROUND(VLOOKUP(Ohj.lask.[[#This Row],[Y-tunnus]],'2.6 Työpaikkaohjaajakysely'!A:I,COLUMN('2.6 Työpaikkaohjaajakysely'!H:H),FALSE),1),0)</f>
        <v>70070.5</v>
      </c>
      <c r="Y92" s="10">
        <f>IFERROR(Ohj.lask.[[#This Row],[Painotetut pisteet 6]]/Ohj.lask.[[#Totals],[Painotetut pisteet 6]],0)</f>
        <v>2.04187862774107E-4</v>
      </c>
      <c r="Z92" s="17">
        <f>ROUND(IFERROR('1.1 Jakotaulu'!M$20*Ohj.lask.[[#This Row],[%-osuus 6]],0),0)</f>
        <v>4741</v>
      </c>
      <c r="AA92" s="139">
        <f>IFERROR(ROUND(VLOOKUP(Ohj.lask.[[#This Row],[Y-tunnus]],'2.7 Työpaikkakysely'!A:G,COLUMN('2.7 Työpaikkakysely'!F:F),FALSE),1),0)</f>
        <v>22006</v>
      </c>
      <c r="AB92" s="10">
        <f>IFERROR(Ohj.lask.[[#This Row],[Pisteet 7]]/Ohj.lask.[[#Totals],[Pisteet 7]],0)</f>
        <v>1.0753060843181325E-4</v>
      </c>
      <c r="AC92" s="17">
        <f>ROUND(IFERROR('1.1 Jakotaulu'!M$21*Ohj.lask.[[#This Row],[%-osuus 7]],0),0)</f>
        <v>832</v>
      </c>
      <c r="AD92" s="13">
        <f>IFERROR(Ohj.lask.[[#This Row],[Jaettava € 8]]/Ohj.lask.[[#Totals],[Jaettava € 8]],"")</f>
        <v>2.6713017072895845E-4</v>
      </c>
      <c r="AE9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545167</v>
      </c>
      <c r="AF92" s="103">
        <v>0</v>
      </c>
      <c r="AG92" s="103">
        <v>0</v>
      </c>
      <c r="AH92" s="107">
        <v>0</v>
      </c>
      <c r="AI92" s="33">
        <v>0</v>
      </c>
      <c r="AJ92" s="107">
        <v>0</v>
      </c>
      <c r="AK9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92" s="11">
        <f>Ohj.lask.[[#This Row],[Jaettava € 1]]+Ohj.lask.[[#This Row],[Harkinnanvarainen korotus yhteensä, €]]</f>
        <v>386620</v>
      </c>
      <c r="AM92" s="103">
        <f>Ohj.lask.[[#This Row],[Jaettava € 2]]</f>
        <v>97403</v>
      </c>
      <c r="AN92" s="11">
        <f>Ohj.lask.[[#This Row],[Jaettava € 3]]+Ohj.lask.[[#This Row],[Jaettava € 4]]+Ohj.lask.[[#This Row],[Jaettava € 5]]+Ohj.lask.[[#This Row],[Jaettava € 6]]+Ohj.lask.[[#This Row],[Jaettava € 7]]</f>
        <v>61144</v>
      </c>
      <c r="AO92" s="34">
        <f>Ohj.lask.[[#This Row],[Jaettava € 8]]+Ohj.lask.[[#This Row],[Harkinnanvarainen korotus yhteensä, €]]</f>
        <v>545167</v>
      </c>
      <c r="AP92" s="12">
        <v>35586</v>
      </c>
      <c r="AQ92" s="34">
        <f>Ohj.lask.[[#This Row],[Perus-, suoritus- ja vaikuttavuusrahoitus yhteensä, €]]+Ohj.lask.[[#This Row],[Alv-korvaus, €]]</f>
        <v>580753</v>
      </c>
    </row>
    <row r="93" spans="1:43" ht="12.75" x14ac:dyDescent="0.2">
      <c r="A93" s="4" t="s">
        <v>231</v>
      </c>
      <c r="B93" s="8" t="s">
        <v>86</v>
      </c>
      <c r="C93" s="8" t="s">
        <v>181</v>
      </c>
      <c r="D93" s="8" t="s">
        <v>326</v>
      </c>
      <c r="E93" s="8" t="s">
        <v>375</v>
      </c>
      <c r="F93" s="106">
        <v>194</v>
      </c>
      <c r="G93" s="33">
        <v>215</v>
      </c>
      <c r="H93" s="9">
        <f>IFERROR(VLOOKUP(Ohj.lask.[[#This Row],[Y-tunnus]],'2.1 Toteut. op.vuodet'!$A:$T,COLUMN('2.1 Toteut. op.vuodet'!S:S),FALSE),0)</f>
        <v>0.8838738377304719</v>
      </c>
      <c r="I93" s="74">
        <f t="shared" si="2"/>
        <v>190</v>
      </c>
      <c r="J93" s="10">
        <f>IFERROR(Ohj.lask.[[#This Row],[Painotetut opiskelija-vuodet]]/Ohj.lask.[[#Totals],[Painotetut opiskelija-vuodet]],0)</f>
        <v>9.2266153861095734E-4</v>
      </c>
      <c r="K93" s="11">
        <f>ROUND(IFERROR('1.1 Jakotaulu'!L$12*Ohj.lask.[[#This Row],[%-osuus 1]],0),0)</f>
        <v>1311745</v>
      </c>
      <c r="L93" s="139">
        <f>IFERROR(ROUND(VLOOKUP(Ohj.lask.[[#This Row],[Y-tunnus]],'2.2 Tutk. ja osien pain. pist.'!$A:$Q,COLUMN('2.2 Tutk. ja osien pain. pist.'!O:O),FALSE),1),0)</f>
        <v>24150.5</v>
      </c>
      <c r="M93" s="10">
        <f>IFERROR(Ohj.lask.[[#This Row],[Painotetut pisteet 2]]/Ohj.lask.[[#Totals],[Painotetut pisteet 2]],0)</f>
        <v>1.5333826621529382E-3</v>
      </c>
      <c r="N93" s="17">
        <f>ROUND(IFERROR('1.1 Jakotaulu'!K$13*Ohj.lask.[[#This Row],[%-osuus 2]],0),0)</f>
        <v>632911</v>
      </c>
      <c r="O93" s="140">
        <f>IFERROR(ROUND(VLOOKUP(Ohj.lask.[[#This Row],[Y-tunnus]],'2.3 Työll. ja jatko-opisk.'!$A:$Y,COLUMN('2.3 Työll. ja jatko-opisk.'!L:L),FALSE),1),0)</f>
        <v>576.6</v>
      </c>
      <c r="P93" s="10">
        <f>IFERROR(Ohj.lask.[[#This Row],[Painotetut pisteet 3]]/Ohj.lask.[[#Totals],[Painotetut pisteet 3]],0)</f>
        <v>1.7083153717274695E-3</v>
      </c>
      <c r="Q93" s="11">
        <f>ROUND(IFERROR('1.1 Jakotaulu'!L$15*Ohj.lask.[[#This Row],[%-osuus 3]],0),0)</f>
        <v>246790</v>
      </c>
      <c r="R93" s="139">
        <f>IFERROR(ROUND(VLOOKUP(Ohj.lask.[[#This Row],[Y-tunnus]],'2.4 Aloittaneet palaute'!$A:$I,COLUMN('2.4 Aloittaneet palaute'!H:H),FALSE),1),0)</f>
        <v>4861.6000000000004</v>
      </c>
      <c r="S93" s="14">
        <f>IFERROR(Ohj.lask.[[#This Row],[Painotetut pisteet 4]]/Ohj.lask.[[#Totals],[Painotetut pisteet 4]],0)</f>
        <v>2.7961929306403706E-3</v>
      </c>
      <c r="T93" s="17">
        <f>ROUND(IFERROR('1.1 Jakotaulu'!M$17*Ohj.lask.[[#This Row],[%-osuus 4]],0),0)</f>
        <v>21640</v>
      </c>
      <c r="U93" s="139">
        <f>IFERROR(ROUND(VLOOKUP(Ohj.lask.[[#This Row],[Y-tunnus]],'2.5 Päättäneet palaute'!$A:$Y,COLUMN('2.5 Päättäneet palaute'!X:X),FALSE),1),0)</f>
        <v>28764.3</v>
      </c>
      <c r="V93" s="14">
        <f>IFERROR(Ohj.lask.[[#This Row],[Painotetut pisteet 5]]/Ohj.lask.[[#Totals],[Painotetut pisteet 5]],0)</f>
        <v>2.5921504188544794E-3</v>
      </c>
      <c r="W93" s="17">
        <f>ROUND(IFERROR('1.1 Jakotaulu'!M$18*Ohj.lask.[[#This Row],[%-osuus 5]],0),0)</f>
        <v>60183</v>
      </c>
      <c r="X93" s="139">
        <f>IFERROR(ROUND(VLOOKUP(Ohj.lask.[[#This Row],[Y-tunnus]],'2.6 Työpaikkaohjaajakysely'!A:I,COLUMN('2.6 Työpaikkaohjaajakysely'!H:H),FALSE),1),0)</f>
        <v>536002.80000000005</v>
      </c>
      <c r="Y93" s="10">
        <f>IFERROR(Ohj.lask.[[#This Row],[Painotetut pisteet 6]]/Ohj.lask.[[#Totals],[Painotetut pisteet 6]],0)</f>
        <v>1.5619307151074581E-3</v>
      </c>
      <c r="Z93" s="17">
        <f>ROUND(IFERROR('1.1 Jakotaulu'!M$20*Ohj.lask.[[#This Row],[%-osuus 6]],0),0)</f>
        <v>36264</v>
      </c>
      <c r="AA93" s="139">
        <f>IFERROR(ROUND(VLOOKUP(Ohj.lask.[[#This Row],[Y-tunnus]],'2.7 Työpaikkakysely'!A:G,COLUMN('2.7 Työpaikkakysely'!F:F),FALSE),1),0)</f>
        <v>458249</v>
      </c>
      <c r="AB93" s="10">
        <f>IFERROR(Ohj.lask.[[#This Row],[Pisteet 7]]/Ohj.lask.[[#Totals],[Pisteet 7]],0)</f>
        <v>2.2391981179346538E-3</v>
      </c>
      <c r="AC93" s="17">
        <f>ROUND(IFERROR('1.1 Jakotaulu'!M$21*Ohj.lask.[[#This Row],[%-osuus 7]],0),0)</f>
        <v>17329</v>
      </c>
      <c r="AD93" s="13">
        <f>IFERROR(Ohj.lask.[[#This Row],[Jaettava € 8]]/Ohj.lask.[[#Totals],[Jaettava € 8]],"")</f>
        <v>1.1401552979595714E-3</v>
      </c>
      <c r="AE9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2326862</v>
      </c>
      <c r="AF93" s="103">
        <v>0</v>
      </c>
      <c r="AG93" s="103">
        <v>0</v>
      </c>
      <c r="AH93" s="107">
        <v>0</v>
      </c>
      <c r="AI93" s="33">
        <v>6000</v>
      </c>
      <c r="AJ93" s="107">
        <v>0</v>
      </c>
      <c r="AK9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6000</v>
      </c>
      <c r="AL93" s="11">
        <f>Ohj.lask.[[#This Row],[Jaettava € 1]]+Ohj.lask.[[#This Row],[Harkinnanvarainen korotus yhteensä, €]]</f>
        <v>1317745</v>
      </c>
      <c r="AM93" s="103">
        <f>Ohj.lask.[[#This Row],[Jaettava € 2]]</f>
        <v>632911</v>
      </c>
      <c r="AN93" s="11">
        <f>Ohj.lask.[[#This Row],[Jaettava € 3]]+Ohj.lask.[[#This Row],[Jaettava € 4]]+Ohj.lask.[[#This Row],[Jaettava € 5]]+Ohj.lask.[[#This Row],[Jaettava € 6]]+Ohj.lask.[[#This Row],[Jaettava € 7]]</f>
        <v>382206</v>
      </c>
      <c r="AO93" s="34">
        <f>Ohj.lask.[[#This Row],[Jaettava € 8]]+Ohj.lask.[[#This Row],[Harkinnanvarainen korotus yhteensä, €]]</f>
        <v>2332862</v>
      </c>
      <c r="AP93" s="12">
        <v>170716</v>
      </c>
      <c r="AQ93" s="34">
        <f>Ohj.lask.[[#This Row],[Perus-, suoritus- ja vaikuttavuusrahoitus yhteensä, €]]+Ohj.lask.[[#This Row],[Alv-korvaus, €]]</f>
        <v>2503578</v>
      </c>
    </row>
    <row r="94" spans="1:43" ht="12.75" x14ac:dyDescent="0.2">
      <c r="A94" s="4" t="s">
        <v>235</v>
      </c>
      <c r="B94" s="8" t="s">
        <v>87</v>
      </c>
      <c r="C94" s="8" t="s">
        <v>174</v>
      </c>
      <c r="D94" s="8" t="s">
        <v>326</v>
      </c>
      <c r="E94" s="8" t="s">
        <v>375</v>
      </c>
      <c r="F94" s="106">
        <v>105</v>
      </c>
      <c r="G94" s="33">
        <v>119</v>
      </c>
      <c r="H94" s="9">
        <f>IFERROR(VLOOKUP(Ohj.lask.[[#This Row],[Y-tunnus]],'2.1 Toteut. op.vuodet'!$A:$T,COLUMN('2.1 Toteut. op.vuodet'!S:S),FALSE),0)</f>
        <v>1.3413922884437799</v>
      </c>
      <c r="I94" s="74">
        <f t="shared" si="2"/>
        <v>159.6</v>
      </c>
      <c r="J94" s="10">
        <f>IFERROR(Ohj.lask.[[#This Row],[Painotetut opiskelija-vuodet]]/Ohj.lask.[[#Totals],[Painotetut opiskelija-vuodet]],0)</f>
        <v>7.7503569243320418E-4</v>
      </c>
      <c r="K94" s="11">
        <f>ROUND(IFERROR('1.1 Jakotaulu'!L$12*Ohj.lask.[[#This Row],[%-osuus 1]],0),0)</f>
        <v>1101866</v>
      </c>
      <c r="L94" s="139">
        <f>IFERROR(ROUND(VLOOKUP(Ohj.lask.[[#This Row],[Y-tunnus]],'2.2 Tutk. ja osien pain. pist.'!$A:$Q,COLUMN('2.2 Tutk. ja osien pain. pist.'!O:O),FALSE),1),0)</f>
        <v>19382.8</v>
      </c>
      <c r="M94" s="10">
        <f>IFERROR(Ohj.lask.[[#This Row],[Painotetut pisteet 2]]/Ohj.lask.[[#Totals],[Painotetut pisteet 2]],0)</f>
        <v>1.2306680799146173E-3</v>
      </c>
      <c r="N94" s="17">
        <f>ROUND(IFERROR('1.1 Jakotaulu'!K$13*Ohj.lask.[[#This Row],[%-osuus 2]],0),0)</f>
        <v>507964</v>
      </c>
      <c r="O94" s="140">
        <f>IFERROR(ROUND(VLOOKUP(Ohj.lask.[[#This Row],[Y-tunnus]],'2.3 Työll. ja jatko-opisk.'!$A:$Y,COLUMN('2.3 Työll. ja jatko-opisk.'!L:L),FALSE),1),0)</f>
        <v>319.7</v>
      </c>
      <c r="P94" s="10">
        <f>IFERROR(Ohj.lask.[[#This Row],[Painotetut pisteet 3]]/Ohj.lask.[[#Totals],[Painotetut pisteet 3]],0)</f>
        <v>9.4718769396682622E-4</v>
      </c>
      <c r="Q94" s="11">
        <f>ROUND(IFERROR('1.1 Jakotaulu'!L$15*Ohj.lask.[[#This Row],[%-osuus 3]],0),0)</f>
        <v>136834</v>
      </c>
      <c r="R94" s="139">
        <f>IFERROR(ROUND(VLOOKUP(Ohj.lask.[[#This Row],[Y-tunnus]],'2.4 Aloittaneet palaute'!$A:$I,COLUMN('2.4 Aloittaneet palaute'!H:H),FALSE),1),0)</f>
        <v>1179.0999999999999</v>
      </c>
      <c r="S94" s="14">
        <f>IFERROR(Ohj.lask.[[#This Row],[Painotetut pisteet 4]]/Ohj.lask.[[#Totals],[Painotetut pisteet 4]],0)</f>
        <v>6.7816996143616512E-4</v>
      </c>
      <c r="T94" s="17">
        <f>ROUND(IFERROR('1.1 Jakotaulu'!M$17*Ohj.lask.[[#This Row],[%-osuus 4]],0),0)</f>
        <v>5248</v>
      </c>
      <c r="U94" s="139">
        <f>IFERROR(ROUND(VLOOKUP(Ohj.lask.[[#This Row],[Y-tunnus]],'2.5 Päättäneet palaute'!$A:$Y,COLUMN('2.5 Päättäneet palaute'!X:X),FALSE),1),0)</f>
        <v>12172.7</v>
      </c>
      <c r="V94" s="14">
        <f>IFERROR(Ohj.lask.[[#This Row],[Painotetut pisteet 5]]/Ohj.lask.[[#Totals],[Painotetut pisteet 5]],0)</f>
        <v>1.0969663577278059E-3</v>
      </c>
      <c r="W94" s="17">
        <f>ROUND(IFERROR('1.1 Jakotaulu'!M$18*Ohj.lask.[[#This Row],[%-osuus 5]],0),0)</f>
        <v>25469</v>
      </c>
      <c r="X94" s="139">
        <f>IFERROR(ROUND(VLOOKUP(Ohj.lask.[[#This Row],[Y-tunnus]],'2.6 Työpaikkaohjaajakysely'!A:I,COLUMN('2.6 Työpaikkaohjaajakysely'!H:H),FALSE),1),0)</f>
        <v>76346.7</v>
      </c>
      <c r="Y94" s="10">
        <f>IFERROR(Ohj.lask.[[#This Row],[Painotetut pisteet 6]]/Ohj.lask.[[#Totals],[Painotetut pisteet 6]],0)</f>
        <v>2.2247692685018538E-4</v>
      </c>
      <c r="Z94" s="17">
        <f>ROUND(IFERROR('1.1 Jakotaulu'!M$20*Ohj.lask.[[#This Row],[%-osuus 6]],0),0)</f>
        <v>5165</v>
      </c>
      <c r="AA94" s="139">
        <f>IFERROR(ROUND(VLOOKUP(Ohj.lask.[[#This Row],[Y-tunnus]],'2.7 Työpaikkakysely'!A:G,COLUMN('2.7 Työpaikkakysely'!F:F),FALSE),1),0)</f>
        <v>63892</v>
      </c>
      <c r="AB94" s="10">
        <f>IFERROR(Ohj.lask.[[#This Row],[Pisteet 7]]/Ohj.lask.[[#Totals],[Pisteet 7]],0)</f>
        <v>3.1220329155345872E-4</v>
      </c>
      <c r="AC94" s="17">
        <f>ROUND(IFERROR('1.1 Jakotaulu'!M$21*Ohj.lask.[[#This Row],[%-osuus 7]],0),0)</f>
        <v>2416</v>
      </c>
      <c r="AD94" s="13">
        <f>IFERROR(Ohj.lask.[[#This Row],[Jaettava € 8]]/Ohj.lask.[[#Totals],[Jaettava € 8]],"")</f>
        <v>8.7462594728716719E-4</v>
      </c>
      <c r="AE9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1784962</v>
      </c>
      <c r="AF94" s="103">
        <v>0</v>
      </c>
      <c r="AG94" s="103">
        <v>0</v>
      </c>
      <c r="AH94" s="107">
        <v>0</v>
      </c>
      <c r="AI94" s="33">
        <v>0</v>
      </c>
      <c r="AJ94" s="107">
        <v>0</v>
      </c>
      <c r="AK9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94" s="11">
        <f>Ohj.lask.[[#This Row],[Jaettava € 1]]+Ohj.lask.[[#This Row],[Harkinnanvarainen korotus yhteensä, €]]</f>
        <v>1101866</v>
      </c>
      <c r="AM94" s="103">
        <f>Ohj.lask.[[#This Row],[Jaettava € 2]]</f>
        <v>507964</v>
      </c>
      <c r="AN94" s="11">
        <f>Ohj.lask.[[#This Row],[Jaettava € 3]]+Ohj.lask.[[#This Row],[Jaettava € 4]]+Ohj.lask.[[#This Row],[Jaettava € 5]]+Ohj.lask.[[#This Row],[Jaettava € 6]]+Ohj.lask.[[#This Row],[Jaettava € 7]]</f>
        <v>175132</v>
      </c>
      <c r="AO94" s="34">
        <f>Ohj.lask.[[#This Row],[Jaettava € 8]]+Ohj.lask.[[#This Row],[Harkinnanvarainen korotus yhteensä, €]]</f>
        <v>1784962</v>
      </c>
      <c r="AP94" s="12">
        <v>127397</v>
      </c>
      <c r="AQ94" s="34">
        <f>Ohj.lask.[[#This Row],[Perus-, suoritus- ja vaikuttavuusrahoitus yhteensä, €]]+Ohj.lask.[[#This Row],[Alv-korvaus, €]]</f>
        <v>1912359</v>
      </c>
    </row>
    <row r="95" spans="1:43" ht="12.75" x14ac:dyDescent="0.2">
      <c r="A95" s="4" t="s">
        <v>234</v>
      </c>
      <c r="B95" s="8" t="s">
        <v>88</v>
      </c>
      <c r="C95" s="8" t="s">
        <v>178</v>
      </c>
      <c r="D95" s="8" t="s">
        <v>326</v>
      </c>
      <c r="E95" s="8" t="s">
        <v>375</v>
      </c>
      <c r="F95" s="106">
        <v>68</v>
      </c>
      <c r="G95" s="33">
        <v>64</v>
      </c>
      <c r="H95" s="9">
        <f>IFERROR(VLOOKUP(Ohj.lask.[[#This Row],[Y-tunnus]],'2.1 Toteut. op.vuodet'!$A:$T,COLUMN('2.1 Toteut. op.vuodet'!S:S),FALSE),0)</f>
        <v>1.1133497008565407</v>
      </c>
      <c r="I95" s="74">
        <f t="shared" si="2"/>
        <v>71.3</v>
      </c>
      <c r="J95" s="10">
        <f>IFERROR(Ohj.lask.[[#This Row],[Painotetut opiskelija-vuodet]]/Ohj.lask.[[#Totals],[Painotetut opiskelija-vuodet]],0)</f>
        <v>3.462408826471645E-4</v>
      </c>
      <c r="K95" s="11">
        <f>ROUND(IFERROR('1.1 Jakotaulu'!L$12*Ohj.lask.[[#This Row],[%-osuus 1]],0),0)</f>
        <v>492250</v>
      </c>
      <c r="L95" s="139">
        <f>IFERROR(ROUND(VLOOKUP(Ohj.lask.[[#This Row],[Y-tunnus]],'2.2 Tutk. ja osien pain. pist.'!$A:$Q,COLUMN('2.2 Tutk. ja osien pain. pist.'!O:O),FALSE),1),0)</f>
        <v>5366.7</v>
      </c>
      <c r="M95" s="10">
        <f>IFERROR(Ohj.lask.[[#This Row],[Painotetut pisteet 2]]/Ohj.lask.[[#Totals],[Painotetut pisteet 2]],0)</f>
        <v>3.4074676437242181E-4</v>
      </c>
      <c r="N95" s="17">
        <f>ROUND(IFERROR('1.1 Jakotaulu'!K$13*Ohj.lask.[[#This Row],[%-osuus 2]],0),0)</f>
        <v>140645</v>
      </c>
      <c r="O95" s="140">
        <f>IFERROR(ROUND(VLOOKUP(Ohj.lask.[[#This Row],[Y-tunnus]],'2.3 Työll. ja jatko-opisk.'!$A:$Y,COLUMN('2.3 Työll. ja jatko-opisk.'!L:L),FALSE),1),0)</f>
        <v>176.8</v>
      </c>
      <c r="P95" s="10">
        <f>IFERROR(Ohj.lask.[[#This Row],[Painotetut pisteet 3]]/Ohj.lask.[[#Totals],[Painotetut pisteet 3]],0)</f>
        <v>5.2381227492441312E-4</v>
      </c>
      <c r="Q95" s="11">
        <f>ROUND(IFERROR('1.1 Jakotaulu'!L$15*Ohj.lask.[[#This Row],[%-osuus 3]],0),0)</f>
        <v>75672</v>
      </c>
      <c r="R95" s="139">
        <f>IFERROR(ROUND(VLOOKUP(Ohj.lask.[[#This Row],[Y-tunnus]],'2.4 Aloittaneet palaute'!$A:$I,COLUMN('2.4 Aloittaneet palaute'!H:H),FALSE),1),0)</f>
        <v>127.3</v>
      </c>
      <c r="S95" s="14">
        <f>IFERROR(Ohj.lask.[[#This Row],[Painotetut pisteet 4]]/Ohj.lask.[[#Totals],[Painotetut pisteet 4]],0)</f>
        <v>7.3217739030467154E-5</v>
      </c>
      <c r="T95" s="17">
        <f>ROUND(IFERROR('1.1 Jakotaulu'!M$17*Ohj.lask.[[#This Row],[%-osuus 4]],0),0)</f>
        <v>567</v>
      </c>
      <c r="U95" s="139">
        <f>IFERROR(ROUND(VLOOKUP(Ohj.lask.[[#This Row],[Y-tunnus]],'2.5 Päättäneet palaute'!$A:$Y,COLUMN('2.5 Päättäneet palaute'!X:X),FALSE),1),0)</f>
        <v>4077.2</v>
      </c>
      <c r="V95" s="14">
        <f>IFERROR(Ohj.lask.[[#This Row],[Painotetut pisteet 5]]/Ohj.lask.[[#Totals],[Painotetut pisteet 5]],0)</f>
        <v>3.674247483079193E-4</v>
      </c>
      <c r="W95" s="17">
        <f>ROUND(IFERROR('1.1 Jakotaulu'!M$18*Ohj.lask.[[#This Row],[%-osuus 5]],0),0)</f>
        <v>8531</v>
      </c>
      <c r="X95" s="139">
        <f>IFERROR(ROUND(VLOOKUP(Ohj.lask.[[#This Row],[Y-tunnus]],'2.6 Työpaikkaohjaajakysely'!A:I,COLUMN('2.6 Työpaikkaohjaajakysely'!H:H),FALSE),1),0)</f>
        <v>40695.300000000003</v>
      </c>
      <c r="Y95" s="10">
        <f>IFERROR(Ohj.lask.[[#This Row],[Painotetut pisteet 6]]/Ohj.lask.[[#Totals],[Painotetut pisteet 6]],0)</f>
        <v>1.1858751303260455E-4</v>
      </c>
      <c r="Z95" s="17">
        <f>ROUND(IFERROR('1.1 Jakotaulu'!M$20*Ohj.lask.[[#This Row],[%-osuus 6]],0),0)</f>
        <v>2753</v>
      </c>
      <c r="AA95" s="139">
        <f>IFERROR(ROUND(VLOOKUP(Ohj.lask.[[#This Row],[Y-tunnus]],'2.7 Työpaikkakysely'!A:G,COLUMN('2.7 Työpaikkakysely'!F:F),FALSE),1),0)</f>
        <v>18890</v>
      </c>
      <c r="AB95" s="10">
        <f>IFERROR(Ohj.lask.[[#This Row],[Pisteet 7]]/Ohj.lask.[[#Totals],[Pisteet 7]],0)</f>
        <v>9.230451664441299E-5</v>
      </c>
      <c r="AC95" s="17">
        <f>ROUND(IFERROR('1.1 Jakotaulu'!M$21*Ohj.lask.[[#This Row],[%-osuus 7]],0),0)</f>
        <v>714</v>
      </c>
      <c r="AD95" s="13">
        <f>IFERROR(Ohj.lask.[[#This Row],[Jaettava € 8]]/Ohj.lask.[[#Totals],[Jaettava € 8]],"")</f>
        <v>3.5335248516163897E-4</v>
      </c>
      <c r="AE9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721132</v>
      </c>
      <c r="AF95" s="103">
        <v>0</v>
      </c>
      <c r="AG95" s="103">
        <v>0</v>
      </c>
      <c r="AH95" s="107">
        <v>0</v>
      </c>
      <c r="AI95" s="33">
        <v>0</v>
      </c>
      <c r="AJ95" s="107">
        <v>0</v>
      </c>
      <c r="AK9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95" s="11">
        <f>Ohj.lask.[[#This Row],[Jaettava € 1]]+Ohj.lask.[[#This Row],[Harkinnanvarainen korotus yhteensä, €]]</f>
        <v>492250</v>
      </c>
      <c r="AM95" s="103">
        <f>Ohj.lask.[[#This Row],[Jaettava € 2]]</f>
        <v>140645</v>
      </c>
      <c r="AN95" s="11">
        <f>Ohj.lask.[[#This Row],[Jaettava € 3]]+Ohj.lask.[[#This Row],[Jaettava € 4]]+Ohj.lask.[[#This Row],[Jaettava € 5]]+Ohj.lask.[[#This Row],[Jaettava € 6]]+Ohj.lask.[[#This Row],[Jaettava € 7]]</f>
        <v>88237</v>
      </c>
      <c r="AO95" s="34">
        <f>Ohj.lask.[[#This Row],[Jaettava € 8]]+Ohj.lask.[[#This Row],[Harkinnanvarainen korotus yhteensä, €]]</f>
        <v>721132</v>
      </c>
      <c r="AP95" s="12">
        <v>27357</v>
      </c>
      <c r="AQ95" s="34">
        <f>Ohj.lask.[[#This Row],[Perus-, suoritus- ja vaikuttavuusrahoitus yhteensä, €]]+Ohj.lask.[[#This Row],[Alv-korvaus, €]]</f>
        <v>748489</v>
      </c>
    </row>
    <row r="96" spans="1:43" ht="12.75" x14ac:dyDescent="0.2">
      <c r="A96" s="4" t="s">
        <v>229</v>
      </c>
      <c r="B96" s="8" t="s">
        <v>89</v>
      </c>
      <c r="C96" s="8" t="s">
        <v>181</v>
      </c>
      <c r="D96" s="8" t="s">
        <v>326</v>
      </c>
      <c r="E96" s="8" t="s">
        <v>375</v>
      </c>
      <c r="F96" s="106">
        <v>179</v>
      </c>
      <c r="G96" s="33">
        <v>181</v>
      </c>
      <c r="H96" s="9">
        <f>IFERROR(VLOOKUP(Ohj.lask.[[#This Row],[Y-tunnus]],'2.1 Toteut. op.vuodet'!$A:$T,COLUMN('2.1 Toteut. op.vuodet'!S:S),FALSE),0)</f>
        <v>0.86327283662946541</v>
      </c>
      <c r="I96" s="74">
        <f t="shared" si="2"/>
        <v>156.30000000000001</v>
      </c>
      <c r="J96" s="10">
        <f>IFERROR(Ohj.lask.[[#This Row],[Painotetut opiskelija-vuodet]]/Ohj.lask.[[#Totals],[Painotetut opiskelija-vuodet]],0)</f>
        <v>7.5901051834154022E-4</v>
      </c>
      <c r="K96" s="11">
        <f>ROUND(IFERROR('1.1 Jakotaulu'!L$12*Ohj.lask.[[#This Row],[%-osuus 1]],0),0)</f>
        <v>1079083</v>
      </c>
      <c r="L96" s="139">
        <f>IFERROR(ROUND(VLOOKUP(Ohj.lask.[[#This Row],[Y-tunnus]],'2.2 Tutk. ja osien pain. pist.'!$A:$Q,COLUMN('2.2 Tutk. ja osien pain. pist.'!O:O),FALSE),1),0)</f>
        <v>18686.599999999999</v>
      </c>
      <c r="M96" s="10">
        <f>IFERROR(Ohj.lask.[[#This Row],[Painotetut pisteet 2]]/Ohj.lask.[[#Totals],[Painotetut pisteet 2]],0)</f>
        <v>1.1864643984425619E-3</v>
      </c>
      <c r="N96" s="17">
        <f>ROUND(IFERROR('1.1 Jakotaulu'!K$13*Ohj.lask.[[#This Row],[%-osuus 2]],0),0)</f>
        <v>489719</v>
      </c>
      <c r="O96" s="140">
        <f>IFERROR(ROUND(VLOOKUP(Ohj.lask.[[#This Row],[Y-tunnus]],'2.3 Työll. ja jatko-opisk.'!$A:$Y,COLUMN('2.3 Työll. ja jatko-opisk.'!L:L),FALSE),1),0)</f>
        <v>354.7</v>
      </c>
      <c r="P96" s="10">
        <f>IFERROR(Ohj.lask.[[#This Row],[Painotetut pisteet 3]]/Ohj.lask.[[#Totals],[Painotetut pisteet 3]],0)</f>
        <v>1.0508835628715459E-3</v>
      </c>
      <c r="Q96" s="11">
        <f>ROUND(IFERROR('1.1 Jakotaulu'!L$15*Ohj.lask.[[#This Row],[%-osuus 3]],0),0)</f>
        <v>151815</v>
      </c>
      <c r="R96" s="139">
        <f>IFERROR(ROUND(VLOOKUP(Ohj.lask.[[#This Row],[Y-tunnus]],'2.4 Aloittaneet palaute'!$A:$I,COLUMN('2.4 Aloittaneet palaute'!H:H),FALSE),1),0)</f>
        <v>2442.9</v>
      </c>
      <c r="S96" s="14">
        <f>IFERROR(Ohj.lask.[[#This Row],[Painotetut pisteet 4]]/Ohj.lask.[[#Totals],[Painotetut pisteet 4]],0)</f>
        <v>1.4050558890614945E-3</v>
      </c>
      <c r="T96" s="17">
        <f>ROUND(IFERROR('1.1 Jakotaulu'!M$17*Ohj.lask.[[#This Row],[%-osuus 4]],0),0)</f>
        <v>10874</v>
      </c>
      <c r="U96" s="139">
        <f>IFERROR(ROUND(VLOOKUP(Ohj.lask.[[#This Row],[Y-tunnus]],'2.5 Päättäneet palaute'!$A:$Y,COLUMN('2.5 Päättäneet palaute'!X:X),FALSE),1),0)</f>
        <v>19017.3</v>
      </c>
      <c r="V96" s="14">
        <f>IFERROR(Ohj.lask.[[#This Row],[Painotetut pisteet 5]]/Ohj.lask.[[#Totals],[Painotetut pisteet 5]],0)</f>
        <v>1.7137806990081903E-3</v>
      </c>
      <c r="W96" s="17">
        <f>ROUND(IFERROR('1.1 Jakotaulu'!M$18*Ohj.lask.[[#This Row],[%-osuus 5]],0),0)</f>
        <v>39790</v>
      </c>
      <c r="X96" s="139">
        <f>IFERROR(ROUND(VLOOKUP(Ohj.lask.[[#This Row],[Y-tunnus]],'2.6 Työpaikkaohjaajakysely'!A:I,COLUMN('2.6 Työpaikkaohjaajakysely'!H:H),FALSE),1),0)</f>
        <v>665849.80000000005</v>
      </c>
      <c r="Y96" s="10">
        <f>IFERROR(Ohj.lask.[[#This Row],[Painotetut pisteet 6]]/Ohj.lask.[[#Totals],[Painotetut pisteet 6]],0)</f>
        <v>1.9403093682871767E-3</v>
      </c>
      <c r="Z96" s="17">
        <f>ROUND(IFERROR('1.1 Jakotaulu'!M$20*Ohj.lask.[[#This Row],[%-osuus 6]],0),0)</f>
        <v>45049</v>
      </c>
      <c r="AA96" s="139">
        <f>IFERROR(ROUND(VLOOKUP(Ohj.lask.[[#This Row],[Y-tunnus]],'2.7 Työpaikkakysely'!A:G,COLUMN('2.7 Työpaikkakysely'!F:F),FALSE),1),0)</f>
        <v>487884.5</v>
      </c>
      <c r="AB96" s="10">
        <f>IFERROR(Ohj.lask.[[#This Row],[Pisteet 7]]/Ohj.lask.[[#Totals],[Pisteet 7]],0)</f>
        <v>2.3840096850609375E-3</v>
      </c>
      <c r="AC96" s="17">
        <f>ROUND(IFERROR('1.1 Jakotaulu'!M$21*Ohj.lask.[[#This Row],[%-osuus 7]],0),0)</f>
        <v>18450</v>
      </c>
      <c r="AD96" s="13">
        <f>IFERROR(Ohj.lask.[[#This Row],[Jaettava € 8]]/Ohj.lask.[[#Totals],[Jaettava € 8]],"")</f>
        <v>8.9903661566103287E-4</v>
      </c>
      <c r="AE9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1834780</v>
      </c>
      <c r="AF96" s="103">
        <v>0</v>
      </c>
      <c r="AG96" s="103">
        <v>0</v>
      </c>
      <c r="AH96" s="107">
        <v>0</v>
      </c>
      <c r="AI96" s="33">
        <v>3000</v>
      </c>
      <c r="AJ96" s="107">
        <v>0</v>
      </c>
      <c r="AK9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3000</v>
      </c>
      <c r="AL96" s="11">
        <f>Ohj.lask.[[#This Row],[Jaettava € 1]]+Ohj.lask.[[#This Row],[Harkinnanvarainen korotus yhteensä, €]]</f>
        <v>1082083</v>
      </c>
      <c r="AM96" s="103">
        <f>Ohj.lask.[[#This Row],[Jaettava € 2]]</f>
        <v>489719</v>
      </c>
      <c r="AN96" s="11">
        <f>Ohj.lask.[[#This Row],[Jaettava € 3]]+Ohj.lask.[[#This Row],[Jaettava € 4]]+Ohj.lask.[[#This Row],[Jaettava € 5]]+Ohj.lask.[[#This Row],[Jaettava € 6]]+Ohj.lask.[[#This Row],[Jaettava € 7]]</f>
        <v>265978</v>
      </c>
      <c r="AO96" s="34">
        <f>Ohj.lask.[[#This Row],[Jaettava € 8]]+Ohj.lask.[[#This Row],[Harkinnanvarainen korotus yhteensä, €]]</f>
        <v>1837780</v>
      </c>
      <c r="AP96" s="12">
        <v>100032</v>
      </c>
      <c r="AQ96" s="34">
        <f>Ohj.lask.[[#This Row],[Perus-, suoritus- ja vaikuttavuusrahoitus yhteensä, €]]+Ohj.lask.[[#This Row],[Alv-korvaus, €]]</f>
        <v>1937812</v>
      </c>
    </row>
    <row r="97" spans="1:43" ht="12.75" x14ac:dyDescent="0.2">
      <c r="A97" s="4" t="s">
        <v>228</v>
      </c>
      <c r="B97" s="8" t="s">
        <v>90</v>
      </c>
      <c r="C97" s="8" t="s">
        <v>187</v>
      </c>
      <c r="D97" s="8" t="s">
        <v>325</v>
      </c>
      <c r="E97" s="8" t="s">
        <v>375</v>
      </c>
      <c r="F97" s="106">
        <v>1630</v>
      </c>
      <c r="G97" s="33">
        <v>1639</v>
      </c>
      <c r="H97" s="9">
        <f>IFERROR(VLOOKUP(Ohj.lask.[[#This Row],[Y-tunnus]],'2.1 Toteut. op.vuodet'!$A:$T,COLUMN('2.1 Toteut. op.vuodet'!S:S),FALSE),0)</f>
        <v>1.0366820445856306</v>
      </c>
      <c r="I97" s="74">
        <f t="shared" si="2"/>
        <v>1699.1</v>
      </c>
      <c r="J97" s="10">
        <f>IFERROR(Ohj.lask.[[#This Row],[Painotetut opiskelija-vuodet]]/Ohj.lask.[[#Totals],[Painotetut opiskelija-vuodet]],0)</f>
        <v>8.2510222118625139E-3</v>
      </c>
      <c r="K97" s="11">
        <f>ROUND(IFERROR('1.1 Jakotaulu'!L$12*Ohj.lask.[[#This Row],[%-osuus 1]],0),0)</f>
        <v>11730454</v>
      </c>
      <c r="L97" s="139">
        <f>IFERROR(ROUND(VLOOKUP(Ohj.lask.[[#This Row],[Y-tunnus]],'2.2 Tutk. ja osien pain. pist.'!$A:$Q,COLUMN('2.2 Tutk. ja osien pain. pist.'!O:O),FALSE),1),0)</f>
        <v>147368.20000000001</v>
      </c>
      <c r="M97" s="10">
        <f>IFERROR(Ohj.lask.[[#This Row],[Painotetut pisteet 2]]/Ohj.lask.[[#Totals],[Painotetut pisteet 2]],0)</f>
        <v>9.3568184026287925E-3</v>
      </c>
      <c r="N97" s="17">
        <f>ROUND(IFERROR('1.1 Jakotaulu'!K$13*Ohj.lask.[[#This Row],[%-osuus 2]],0),0)</f>
        <v>3862074</v>
      </c>
      <c r="O97" s="140">
        <f>IFERROR(ROUND(VLOOKUP(Ohj.lask.[[#This Row],[Y-tunnus]],'2.3 Työll. ja jatko-opisk.'!$A:$Y,COLUMN('2.3 Työll. ja jatko-opisk.'!L:L),FALSE),1),0)</f>
        <v>3932.7</v>
      </c>
      <c r="P97" s="10">
        <f>IFERROR(Ohj.lask.[[#This Row],[Painotetut pisteet 3]]/Ohj.lask.[[#Totals],[Painotetut pisteet 3]],0)</f>
        <v>1.1651564104045472E-2</v>
      </c>
      <c r="Q97" s="11">
        <f>ROUND(IFERROR('1.1 Jakotaulu'!L$15*Ohj.lask.[[#This Row],[%-osuus 3]],0),0)</f>
        <v>1683230</v>
      </c>
      <c r="R97" s="139">
        <f>IFERROR(ROUND(VLOOKUP(Ohj.lask.[[#This Row],[Y-tunnus]],'2.4 Aloittaneet palaute'!$A:$I,COLUMN('2.4 Aloittaneet palaute'!H:H),FALSE),1),0)</f>
        <v>23440.3</v>
      </c>
      <c r="S97" s="14">
        <f>IFERROR(Ohj.lask.[[#This Row],[Painotetut pisteet 4]]/Ohj.lask.[[#Totals],[Painotetut pisteet 4]],0)</f>
        <v>1.3481899200281691E-2</v>
      </c>
      <c r="T97" s="17">
        <f>ROUND(IFERROR('1.1 Jakotaulu'!M$17*Ohj.lask.[[#This Row],[%-osuus 4]],0),0)</f>
        <v>104338</v>
      </c>
      <c r="U97" s="139">
        <f>IFERROR(ROUND(VLOOKUP(Ohj.lask.[[#This Row],[Y-tunnus]],'2.5 Päättäneet palaute'!$A:$Y,COLUMN('2.5 Päättäneet palaute'!X:X),FALSE),1),0)</f>
        <v>119341.5</v>
      </c>
      <c r="V97" s="14">
        <f>IFERROR(Ohj.lask.[[#This Row],[Painotetut pisteet 5]]/Ohj.lask.[[#Totals],[Painotetut pisteet 5]],0)</f>
        <v>1.0754689639995476E-2</v>
      </c>
      <c r="W97" s="17">
        <f>ROUND(IFERROR('1.1 Jakotaulu'!M$18*Ohj.lask.[[#This Row],[%-osuus 5]],0),0)</f>
        <v>249696</v>
      </c>
      <c r="X97" s="139">
        <f>IFERROR(ROUND(VLOOKUP(Ohj.lask.[[#This Row],[Y-tunnus]],'2.6 Työpaikkaohjaajakysely'!A:I,COLUMN('2.6 Työpaikkaohjaajakysely'!H:H),FALSE),1),0)</f>
        <v>2977085.6</v>
      </c>
      <c r="Y97" s="10">
        <f>IFERROR(Ohj.lask.[[#This Row],[Painotetut pisteet 6]]/Ohj.lask.[[#Totals],[Painotetut pisteet 6]],0)</f>
        <v>8.6753305022737107E-3</v>
      </c>
      <c r="Z97" s="17">
        <f>ROUND(IFERROR('1.1 Jakotaulu'!M$20*Ohj.lask.[[#This Row],[%-osuus 6]],0),0)</f>
        <v>201419</v>
      </c>
      <c r="AA97" s="139">
        <f>IFERROR(ROUND(VLOOKUP(Ohj.lask.[[#This Row],[Y-tunnus]],'2.7 Työpaikkakysely'!A:G,COLUMN('2.7 Työpaikkakysely'!F:F),FALSE),1),0)</f>
        <v>1834450.3</v>
      </c>
      <c r="AB97" s="10">
        <f>IFERROR(Ohj.lask.[[#This Row],[Pisteet 7]]/Ohj.lask.[[#Totals],[Pisteet 7]],0)</f>
        <v>8.9638987956431136E-3</v>
      </c>
      <c r="AC97" s="17">
        <f>ROUND(IFERROR('1.1 Jakotaulu'!M$21*Ohj.lask.[[#This Row],[%-osuus 7]],0),0)</f>
        <v>69373</v>
      </c>
      <c r="AD97" s="13">
        <f>IFERROR(Ohj.lask.[[#This Row],[Jaettava € 8]]/Ohj.lask.[[#Totals],[Jaettava € 8]],"")</f>
        <v>8.7712316777575714E-3</v>
      </c>
      <c r="AE9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17900584</v>
      </c>
      <c r="AF97" s="103">
        <v>0</v>
      </c>
      <c r="AG97" s="103">
        <v>0</v>
      </c>
      <c r="AH97" s="107">
        <v>0</v>
      </c>
      <c r="AI97" s="33">
        <v>27000</v>
      </c>
      <c r="AJ97" s="107">
        <v>0</v>
      </c>
      <c r="AK9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27000</v>
      </c>
      <c r="AL97" s="11">
        <f>Ohj.lask.[[#This Row],[Jaettava € 1]]+Ohj.lask.[[#This Row],[Harkinnanvarainen korotus yhteensä, €]]</f>
        <v>11757454</v>
      </c>
      <c r="AM97" s="103">
        <f>Ohj.lask.[[#This Row],[Jaettava € 2]]</f>
        <v>3862074</v>
      </c>
      <c r="AN97" s="11">
        <f>Ohj.lask.[[#This Row],[Jaettava € 3]]+Ohj.lask.[[#This Row],[Jaettava € 4]]+Ohj.lask.[[#This Row],[Jaettava € 5]]+Ohj.lask.[[#This Row],[Jaettava € 6]]+Ohj.lask.[[#This Row],[Jaettava € 7]]</f>
        <v>2308056</v>
      </c>
      <c r="AO97" s="34">
        <f>Ohj.lask.[[#This Row],[Jaettava € 8]]+Ohj.lask.[[#This Row],[Harkinnanvarainen korotus yhteensä, €]]</f>
        <v>17927584</v>
      </c>
      <c r="AP97" s="12">
        <v>0</v>
      </c>
      <c r="AQ97" s="34">
        <f>Ohj.lask.[[#This Row],[Perus-, suoritus- ja vaikuttavuusrahoitus yhteensä, €]]+Ohj.lask.[[#This Row],[Alv-korvaus, €]]</f>
        <v>17927584</v>
      </c>
    </row>
    <row r="98" spans="1:43" ht="12.75" x14ac:dyDescent="0.2">
      <c r="A98" s="4" t="s">
        <v>227</v>
      </c>
      <c r="B98" s="8" t="s">
        <v>91</v>
      </c>
      <c r="C98" s="8" t="s">
        <v>174</v>
      </c>
      <c r="D98" s="8" t="s">
        <v>326</v>
      </c>
      <c r="E98" s="8" t="s">
        <v>375</v>
      </c>
      <c r="F98" s="106">
        <v>67</v>
      </c>
      <c r="G98" s="33">
        <v>114</v>
      </c>
      <c r="H98" s="9">
        <f>IFERROR(VLOOKUP(Ohj.lask.[[#This Row],[Y-tunnus]],'2.1 Toteut. op.vuodet'!$A:$T,COLUMN('2.1 Toteut. op.vuodet'!S:S),FALSE),0)</f>
        <v>0.86211887458509062</v>
      </c>
      <c r="I98" s="74">
        <f t="shared" si="2"/>
        <v>98.3</v>
      </c>
      <c r="J98" s="10">
        <f>IFERROR(Ohj.lask.[[#This Row],[Painotetut opiskelija-vuodet]]/Ohj.lask.[[#Totals],[Painotetut opiskelija-vuodet]],0)</f>
        <v>4.7735594339714263E-4</v>
      </c>
      <c r="K98" s="11">
        <f>ROUND(IFERROR('1.1 Jakotaulu'!L$12*Ohj.lask.[[#This Row],[%-osuus 1]],0),0)</f>
        <v>678656</v>
      </c>
      <c r="L98" s="139">
        <f>IFERROR(ROUND(VLOOKUP(Ohj.lask.[[#This Row],[Y-tunnus]],'2.2 Tutk. ja osien pain. pist.'!$A:$Q,COLUMN('2.2 Tutk. ja osien pain. pist.'!O:O),FALSE),1),0)</f>
        <v>5620.1</v>
      </c>
      <c r="M98" s="10">
        <f>IFERROR(Ohj.lask.[[#This Row],[Painotetut pisteet 2]]/Ohj.lask.[[#Totals],[Painotetut pisteet 2]],0)</f>
        <v>3.568358377493521E-4</v>
      </c>
      <c r="N98" s="17">
        <f>ROUND(IFERROR('1.1 Jakotaulu'!K$13*Ohj.lask.[[#This Row],[%-osuus 2]],0),0)</f>
        <v>147286</v>
      </c>
      <c r="O98" s="140">
        <f>IFERROR(ROUND(VLOOKUP(Ohj.lask.[[#This Row],[Y-tunnus]],'2.3 Työll. ja jatko-opisk.'!$A:$Y,COLUMN('2.3 Työll. ja jatko-opisk.'!L:L),FALSE),1),0)</f>
        <v>136.19999999999999</v>
      </c>
      <c r="P98" s="10">
        <f>IFERROR(Ohj.lask.[[#This Row],[Painotetut pisteet 3]]/Ohj.lask.[[#Totals],[Painotetut pisteet 3]],0)</f>
        <v>4.0352506699493814E-4</v>
      </c>
      <c r="Q98" s="11">
        <f>ROUND(IFERROR('1.1 Jakotaulu'!L$15*Ohj.lask.[[#This Row],[%-osuus 3]],0),0)</f>
        <v>58295</v>
      </c>
      <c r="R98" s="139">
        <f>IFERROR(ROUND(VLOOKUP(Ohj.lask.[[#This Row],[Y-tunnus]],'2.4 Aloittaneet palaute'!$A:$I,COLUMN('2.4 Aloittaneet palaute'!H:H),FALSE),1),0)</f>
        <v>669.8</v>
      </c>
      <c r="S98" s="14">
        <f>IFERROR(Ohj.lask.[[#This Row],[Painotetut pisteet 4]]/Ohj.lask.[[#Totals],[Painotetut pisteet 4]],0)</f>
        <v>3.8524148941560801E-4</v>
      </c>
      <c r="T98" s="17">
        <f>ROUND(IFERROR('1.1 Jakotaulu'!M$17*Ohj.lask.[[#This Row],[%-osuus 4]],0),0)</f>
        <v>2981</v>
      </c>
      <c r="U98" s="139">
        <f>IFERROR(ROUND(VLOOKUP(Ohj.lask.[[#This Row],[Y-tunnus]],'2.5 Päättäneet palaute'!$A:$Y,COLUMN('2.5 Päättäneet palaute'!X:X),FALSE),1),0)</f>
        <v>11066.3</v>
      </c>
      <c r="V98" s="14">
        <f>IFERROR(Ohj.lask.[[#This Row],[Painotetut pisteet 5]]/Ohj.lask.[[#Totals],[Painotetut pisteet 5]],0)</f>
        <v>9.9726098601979969E-4</v>
      </c>
      <c r="W98" s="17">
        <f>ROUND(IFERROR('1.1 Jakotaulu'!M$18*Ohj.lask.[[#This Row],[%-osuus 5]],0),0)</f>
        <v>23154</v>
      </c>
      <c r="X98" s="139">
        <f>IFERROR(ROUND(VLOOKUP(Ohj.lask.[[#This Row],[Y-tunnus]],'2.6 Työpaikkaohjaajakysely'!A:I,COLUMN('2.6 Työpaikkaohjaajakysely'!H:H),FALSE),1),0)</f>
        <v>95046.7</v>
      </c>
      <c r="Y98" s="10">
        <f>IFERROR(Ohj.lask.[[#This Row],[Painotetut pisteet 6]]/Ohj.lask.[[#Totals],[Painotetut pisteet 6]],0)</f>
        <v>2.7696937422641078E-4</v>
      </c>
      <c r="Z98" s="17">
        <f>ROUND(IFERROR('1.1 Jakotaulu'!M$20*Ohj.lask.[[#This Row],[%-osuus 6]],0),0)</f>
        <v>6431</v>
      </c>
      <c r="AA98" s="139">
        <f>IFERROR(ROUND(VLOOKUP(Ohj.lask.[[#This Row],[Y-tunnus]],'2.7 Työpaikkakysely'!A:G,COLUMN('2.7 Työpaikkakysely'!F:F),FALSE),1),0)</f>
        <v>0</v>
      </c>
      <c r="AB98" s="10">
        <f>IFERROR(Ohj.lask.[[#This Row],[Pisteet 7]]/Ohj.lask.[[#Totals],[Pisteet 7]],0)</f>
        <v>0</v>
      </c>
      <c r="AC98" s="17">
        <f>ROUND(IFERROR('1.1 Jakotaulu'!M$21*Ohj.lask.[[#This Row],[%-osuus 7]],0),0)</f>
        <v>0</v>
      </c>
      <c r="AD98" s="13">
        <f>IFERROR(Ohj.lask.[[#This Row],[Jaettava € 8]]/Ohj.lask.[[#Totals],[Jaettava € 8]],"")</f>
        <v>4.4923067961711048E-4</v>
      </c>
      <c r="AE9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916803</v>
      </c>
      <c r="AF98" s="103">
        <v>0</v>
      </c>
      <c r="AG98" s="103">
        <v>0</v>
      </c>
      <c r="AH98" s="107">
        <v>0</v>
      </c>
      <c r="AI98" s="33">
        <v>0</v>
      </c>
      <c r="AJ98" s="107">
        <v>0</v>
      </c>
      <c r="AK9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98" s="11">
        <f>Ohj.lask.[[#This Row],[Jaettava € 1]]+Ohj.lask.[[#This Row],[Harkinnanvarainen korotus yhteensä, €]]</f>
        <v>678656</v>
      </c>
      <c r="AM98" s="103">
        <f>Ohj.lask.[[#This Row],[Jaettava € 2]]</f>
        <v>147286</v>
      </c>
      <c r="AN98" s="11">
        <f>Ohj.lask.[[#This Row],[Jaettava € 3]]+Ohj.lask.[[#This Row],[Jaettava € 4]]+Ohj.lask.[[#This Row],[Jaettava € 5]]+Ohj.lask.[[#This Row],[Jaettava € 6]]+Ohj.lask.[[#This Row],[Jaettava € 7]]</f>
        <v>90861</v>
      </c>
      <c r="AO98" s="34">
        <f>Ohj.lask.[[#This Row],[Jaettava € 8]]+Ohj.lask.[[#This Row],[Harkinnanvarainen korotus yhteensä, €]]</f>
        <v>916803</v>
      </c>
      <c r="AP98" s="12">
        <v>110206</v>
      </c>
      <c r="AQ98" s="34">
        <f>Ohj.lask.[[#This Row],[Perus-, suoritus- ja vaikuttavuusrahoitus yhteensä, €]]+Ohj.lask.[[#This Row],[Alv-korvaus, €]]</f>
        <v>1027009</v>
      </c>
    </row>
    <row r="99" spans="1:43" ht="12.75" x14ac:dyDescent="0.2">
      <c r="A99" s="4" t="s">
        <v>250</v>
      </c>
      <c r="B99" s="8" t="s">
        <v>436</v>
      </c>
      <c r="C99" s="8" t="s">
        <v>174</v>
      </c>
      <c r="D99" s="8" t="s">
        <v>326</v>
      </c>
      <c r="E99" s="8" t="s">
        <v>375</v>
      </c>
      <c r="F99" s="106">
        <v>1430</v>
      </c>
      <c r="G99" s="33">
        <v>1232</v>
      </c>
      <c r="H99" s="9">
        <f>IFERROR(VLOOKUP(Ohj.lask.[[#This Row],[Y-tunnus]],'2.1 Toteut. op.vuodet'!$A:$T,COLUMN('2.1 Toteut. op.vuodet'!S:S),FALSE),0)</f>
        <v>0.7431229877464135</v>
      </c>
      <c r="I99" s="74">
        <f t="shared" si="2"/>
        <v>915.5</v>
      </c>
      <c r="J99" s="10">
        <f>IFERROR(Ohj.lask.[[#This Row],[Painotetut opiskelija-vuodet]]/Ohj.lask.[[#Totals],[Painotetut opiskelija-vuodet]],0)</f>
        <v>4.4457717820964816E-3</v>
      </c>
      <c r="K99" s="11">
        <f>ROUND(IFERROR('1.1 Jakotaulu'!L$12*Ohj.lask.[[#This Row],[%-osuus 1]],0),0)</f>
        <v>6320540</v>
      </c>
      <c r="L99" s="139">
        <f>IFERROR(ROUND(VLOOKUP(Ohj.lask.[[#This Row],[Y-tunnus]],'2.2 Tutk. ja osien pain. pist.'!$A:$Q,COLUMN('2.2 Tutk. ja osien pain. pist.'!O:O),FALSE),1),0)</f>
        <v>115413.3</v>
      </c>
      <c r="M99" s="10">
        <f>IFERROR(Ohj.lask.[[#This Row],[Painotetut pisteet 2]]/Ohj.lask.[[#Totals],[Painotetut pisteet 2]],0)</f>
        <v>7.3279125981596943E-3</v>
      </c>
      <c r="N99" s="17">
        <f>ROUND(IFERROR('1.1 Jakotaulu'!K$13*Ohj.lask.[[#This Row],[%-osuus 2]],0),0)</f>
        <v>3024633</v>
      </c>
      <c r="O99" s="140">
        <f>IFERROR(ROUND(VLOOKUP(Ohj.lask.[[#This Row],[Y-tunnus]],'2.3 Työll. ja jatko-opisk.'!$A:$Y,COLUMN('2.3 Työll. ja jatko-opisk.'!L:L),FALSE),1),0)</f>
        <v>3206.2</v>
      </c>
      <c r="P99" s="10">
        <f>IFERROR(Ohj.lask.[[#This Row],[Painotetut pisteet 3]]/Ohj.lask.[[#Totals],[Painotetut pisteet 3]],0)</f>
        <v>9.4991341394946444E-3</v>
      </c>
      <c r="Q99" s="11">
        <f>ROUND(IFERROR('1.1 Jakotaulu'!L$15*Ohj.lask.[[#This Row],[%-osuus 3]],0),0)</f>
        <v>1372282</v>
      </c>
      <c r="R99" s="139">
        <f>IFERROR(ROUND(VLOOKUP(Ohj.lask.[[#This Row],[Y-tunnus]],'2.4 Aloittaneet palaute'!$A:$I,COLUMN('2.4 Aloittaneet palaute'!H:H),FALSE),1),0)</f>
        <v>24221.5</v>
      </c>
      <c r="S99" s="14">
        <f>IFERROR(Ohj.lask.[[#This Row],[Painotetut pisteet 4]]/Ohj.lask.[[#Totals],[Painotetut pisteet 4]],0)</f>
        <v>1.3931213400836294E-2</v>
      </c>
      <c r="T99" s="17">
        <f>ROUND(IFERROR('1.1 Jakotaulu'!M$17*Ohj.lask.[[#This Row],[%-osuus 4]],0),0)</f>
        <v>107816</v>
      </c>
      <c r="U99" s="139">
        <f>IFERROR(ROUND(VLOOKUP(Ohj.lask.[[#This Row],[Y-tunnus]],'2.5 Päättäneet palaute'!$A:$Y,COLUMN('2.5 Päättäneet palaute'!X:X),FALSE),1),0)</f>
        <v>165178.20000000001</v>
      </c>
      <c r="V99" s="14">
        <f>IFERROR(Ohj.lask.[[#This Row],[Painotetut pisteet 5]]/Ohj.lask.[[#Totals],[Painotetut pisteet 5]],0)</f>
        <v>1.4885352340075337E-2</v>
      </c>
      <c r="W99" s="17">
        <f>ROUND(IFERROR('1.1 Jakotaulu'!M$18*Ohj.lask.[[#This Row],[%-osuus 5]],0),0)</f>
        <v>345599</v>
      </c>
      <c r="X99" s="139">
        <f>IFERROR(ROUND(VLOOKUP(Ohj.lask.[[#This Row],[Y-tunnus]],'2.6 Työpaikkaohjaajakysely'!A:I,COLUMN('2.6 Työpaikkaohjaajakysely'!H:H),FALSE),1),0)</f>
        <v>2655191.9</v>
      </c>
      <c r="Y99" s="10">
        <f>IFERROR(Ohj.lask.[[#This Row],[Painotetut pisteet 6]]/Ohj.lask.[[#Totals],[Painotetut pisteet 6]],0)</f>
        <v>7.7373211168197805E-3</v>
      </c>
      <c r="Z99" s="17">
        <f>ROUND(IFERROR('1.1 Jakotaulu'!M$20*Ohj.lask.[[#This Row],[%-osuus 6]],0),0)</f>
        <v>179641</v>
      </c>
      <c r="AA99" s="139">
        <f>IFERROR(ROUND(VLOOKUP(Ohj.lask.[[#This Row],[Y-tunnus]],'2.7 Työpaikkakysely'!A:G,COLUMN('2.7 Työpaikkakysely'!F:F),FALSE),1),0)</f>
        <v>631801.80000000005</v>
      </c>
      <c r="AB99" s="10">
        <f>IFERROR(Ohj.lask.[[#This Row],[Pisteet 7]]/Ohj.lask.[[#Totals],[Pisteet 7]],0)</f>
        <v>3.0872503845457964E-3</v>
      </c>
      <c r="AC99" s="17">
        <f>ROUND(IFERROR('1.1 Jakotaulu'!M$21*Ohj.lask.[[#This Row],[%-osuus 7]],0),0)</f>
        <v>23893</v>
      </c>
      <c r="AD99" s="13">
        <f>IFERROR(Ohj.lask.[[#This Row],[Jaettava € 8]]/Ohj.lask.[[#Totals],[Jaettava € 8]],"")</f>
        <v>5.5734233408481207E-3</v>
      </c>
      <c r="AE9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11374404</v>
      </c>
      <c r="AF99" s="103">
        <v>0</v>
      </c>
      <c r="AG99" s="103">
        <v>0</v>
      </c>
      <c r="AH99" s="107">
        <v>0</v>
      </c>
      <c r="AI99" s="33">
        <v>30000</v>
      </c>
      <c r="AJ99" s="107">
        <v>0</v>
      </c>
      <c r="AK9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30000</v>
      </c>
      <c r="AL99" s="11">
        <f>Ohj.lask.[[#This Row],[Jaettava € 1]]+Ohj.lask.[[#This Row],[Harkinnanvarainen korotus yhteensä, €]]</f>
        <v>6350540</v>
      </c>
      <c r="AM99" s="103">
        <f>Ohj.lask.[[#This Row],[Jaettava € 2]]</f>
        <v>3024633</v>
      </c>
      <c r="AN99" s="11">
        <f>Ohj.lask.[[#This Row],[Jaettava € 3]]+Ohj.lask.[[#This Row],[Jaettava € 4]]+Ohj.lask.[[#This Row],[Jaettava € 5]]+Ohj.lask.[[#This Row],[Jaettava € 6]]+Ohj.lask.[[#This Row],[Jaettava € 7]]</f>
        <v>2029231</v>
      </c>
      <c r="AO99" s="34">
        <f>Ohj.lask.[[#This Row],[Jaettava € 8]]+Ohj.lask.[[#This Row],[Harkinnanvarainen korotus yhteensä, €]]</f>
        <v>11404404</v>
      </c>
      <c r="AP99" s="12">
        <v>1544927</v>
      </c>
      <c r="AQ99" s="34">
        <f>Ohj.lask.[[#This Row],[Perus-, suoritus- ja vaikuttavuusrahoitus yhteensä, €]]+Ohj.lask.[[#This Row],[Alv-korvaus, €]]</f>
        <v>12949331</v>
      </c>
    </row>
    <row r="100" spans="1:43" ht="12.75" x14ac:dyDescent="0.2">
      <c r="A100" s="4" t="s">
        <v>226</v>
      </c>
      <c r="B100" s="8" t="s">
        <v>529</v>
      </c>
      <c r="C100" s="97" t="s">
        <v>181</v>
      </c>
      <c r="D100" s="97" t="s">
        <v>326</v>
      </c>
      <c r="E100" s="97" t="s">
        <v>375</v>
      </c>
      <c r="F100" s="105">
        <v>30</v>
      </c>
      <c r="G100" s="33">
        <v>32</v>
      </c>
      <c r="H100" s="9">
        <f>IFERROR(VLOOKUP(Ohj.lask.[[#This Row],[Y-tunnus]],'2.1 Toteut. op.vuodet'!$A:$T,COLUMN('2.1 Toteut. op.vuodet'!S:S),FALSE),0)</f>
        <v>0.72930011332994737</v>
      </c>
      <c r="I100" s="74">
        <f t="shared" ref="I100:I130" si="3">IFERROR(ROUND(G100*H100,1),0)</f>
        <v>23.3</v>
      </c>
      <c r="J100" s="10">
        <f>IFERROR(Ohj.lask.[[#This Row],[Painotetut opiskelija-vuodet]]/Ohj.lask.[[#Totals],[Painotetut opiskelija-vuodet]],0)</f>
        <v>1.1314744131387003E-4</v>
      </c>
      <c r="K100" s="11">
        <f>ROUND(IFERROR('1.1 Jakotaulu'!L$12*Ohj.lask.[[#This Row],[%-osuus 1]],0),0)</f>
        <v>160861</v>
      </c>
      <c r="L100" s="139">
        <f>IFERROR(ROUND(VLOOKUP(Ohj.lask.[[#This Row],[Y-tunnus]],'2.2 Tutk. ja osien pain. pist.'!$A:$Q,COLUMN('2.2 Tutk. ja osien pain. pist.'!O:O),FALSE),1),0)</f>
        <v>2307.9</v>
      </c>
      <c r="M100" s="10">
        <f>IFERROR(Ohj.lask.[[#This Row],[Painotetut pisteet 2]]/Ohj.lask.[[#Totals],[Painotetut pisteet 2]],0)</f>
        <v>1.4653501360148926E-4</v>
      </c>
      <c r="N100" s="17">
        <f>ROUND(IFERROR('1.1 Jakotaulu'!K$13*Ohj.lask.[[#This Row],[%-osuus 2]],0),0)</f>
        <v>60483</v>
      </c>
      <c r="O100" s="140">
        <f>IFERROR(ROUND(VLOOKUP(Ohj.lask.[[#This Row],[Y-tunnus]],'2.3 Työll. ja jatko-opisk.'!$A:$Y,COLUMN('2.3 Työll. ja jatko-opisk.'!L:L),FALSE),1),0)</f>
        <v>69.3</v>
      </c>
      <c r="P100" s="14">
        <f>IFERROR(Ohj.lask.[[#This Row],[Painotetut pisteet 3]]/Ohj.lask.[[#Totals],[Painotetut pisteet 3]],0)</f>
        <v>2.0531782043134517E-4</v>
      </c>
      <c r="Q100" s="11">
        <f>ROUND(IFERROR('1.1 Jakotaulu'!L$15*Ohj.lask.[[#This Row],[%-osuus 3]],0),0)</f>
        <v>29661</v>
      </c>
      <c r="R100" s="139">
        <f>IFERROR(ROUND(VLOOKUP(Ohj.lask.[[#This Row],[Y-tunnus]],'2.4 Aloittaneet palaute'!$A:$I,COLUMN('2.4 Aloittaneet palaute'!H:H),FALSE),1),0)</f>
        <v>352.6</v>
      </c>
      <c r="S100" s="14">
        <f>IFERROR(Ohj.lask.[[#This Row],[Painotetut pisteet 4]]/Ohj.lask.[[#Totals],[Painotetut pisteet 4]],0)</f>
        <v>2.0280105877566946E-4</v>
      </c>
      <c r="T100" s="17">
        <f>ROUND(IFERROR('1.1 Jakotaulu'!M$17*Ohj.lask.[[#This Row],[%-osuus 4]],0),0)</f>
        <v>1570</v>
      </c>
      <c r="U100" s="139">
        <f>IFERROR(ROUND(VLOOKUP(Ohj.lask.[[#This Row],[Y-tunnus]],'2.5 Päättäneet palaute'!$A:$Y,COLUMN('2.5 Päättäneet palaute'!X:X),FALSE),1),0)</f>
        <v>2935.5</v>
      </c>
      <c r="V100" s="14">
        <f>IFERROR(Ohj.lask.[[#This Row],[Painotetut pisteet 5]]/Ohj.lask.[[#Totals],[Painotetut pisteet 5]],0)</f>
        <v>2.6453824895955488E-4</v>
      </c>
      <c r="W100" s="17">
        <f>ROUND(IFERROR('1.1 Jakotaulu'!M$18*Ohj.lask.[[#This Row],[%-osuus 5]],0),0)</f>
        <v>6142</v>
      </c>
      <c r="X100" s="139">
        <f>IFERROR(ROUND(VLOOKUP(Ohj.lask.[[#This Row],[Y-tunnus]],'2.6 Työpaikkaohjaajakysely'!A:I,COLUMN('2.6 Työpaikkaohjaajakysely'!H:H),FALSE),1),0)</f>
        <v>118494.2</v>
      </c>
      <c r="Y100" s="10">
        <f>IFERROR(Ohj.lask.[[#This Row],[Painotetut pisteet 6]]/Ohj.lask.[[#Totals],[Painotetut pisteet 6]],0)</f>
        <v>3.4529620095657357E-4</v>
      </c>
      <c r="Z100" s="17">
        <f>ROUND(IFERROR('1.1 Jakotaulu'!M$20*Ohj.lask.[[#This Row],[%-osuus 6]],0),0)</f>
        <v>8017</v>
      </c>
      <c r="AA100" s="139">
        <f>IFERROR(ROUND(VLOOKUP(Ohj.lask.[[#This Row],[Y-tunnus]],'2.7 Työpaikkakysely'!A:G,COLUMN('2.7 Työpaikkakysely'!F:F),FALSE),1),0)</f>
        <v>27335</v>
      </c>
      <c r="AB100" s="10">
        <f>IFERROR(Ohj.lask.[[#This Row],[Pisteet 7]]/Ohj.lask.[[#Totals],[Pisteet 7]],0)</f>
        <v>1.3357035269851927E-4</v>
      </c>
      <c r="AC100" s="17">
        <f>ROUND(IFERROR('1.1 Jakotaulu'!M$21*Ohj.lask.[[#This Row],[%-osuus 7]],0),0)</f>
        <v>1034</v>
      </c>
      <c r="AD100" s="13">
        <f>IFERROR(Ohj.lask.[[#This Row],[Jaettava € 8]]/Ohj.lask.[[#Totals],[Jaettava € 8]],"")</f>
        <v>1.3120550502094172E-4</v>
      </c>
      <c r="AE10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267768</v>
      </c>
      <c r="AF100" s="103">
        <v>0</v>
      </c>
      <c r="AG100" s="103">
        <v>0</v>
      </c>
      <c r="AH100" s="107">
        <v>0</v>
      </c>
      <c r="AI100" s="33">
        <v>0</v>
      </c>
      <c r="AJ100" s="107">
        <v>0</v>
      </c>
      <c r="AK10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00" s="11">
        <f>Ohj.lask.[[#This Row],[Jaettava € 1]]+Ohj.lask.[[#This Row],[Harkinnanvarainen korotus yhteensä, €]]</f>
        <v>160861</v>
      </c>
      <c r="AM100" s="103">
        <f>Ohj.lask.[[#This Row],[Jaettava € 2]]</f>
        <v>60483</v>
      </c>
      <c r="AN100" s="11">
        <f>Ohj.lask.[[#This Row],[Jaettava € 3]]+Ohj.lask.[[#This Row],[Jaettava € 4]]+Ohj.lask.[[#This Row],[Jaettava € 5]]+Ohj.lask.[[#This Row],[Jaettava € 6]]+Ohj.lask.[[#This Row],[Jaettava € 7]]</f>
        <v>46424</v>
      </c>
      <c r="AO100" s="34">
        <f>Ohj.lask.[[#This Row],[Jaettava € 8]]+Ohj.lask.[[#This Row],[Harkinnanvarainen korotus yhteensä, €]]</f>
        <v>267768</v>
      </c>
      <c r="AP100" s="12">
        <v>10218</v>
      </c>
      <c r="AQ100" s="34">
        <f>Ohj.lask.[[#This Row],[Perus-, suoritus- ja vaikuttavuusrahoitus yhteensä, €]]+Ohj.lask.[[#This Row],[Alv-korvaus, €]]</f>
        <v>277986</v>
      </c>
    </row>
    <row r="101" spans="1:43" ht="12.75" x14ac:dyDescent="0.2">
      <c r="A101" s="4" t="s">
        <v>225</v>
      </c>
      <c r="B101" s="8" t="s">
        <v>93</v>
      </c>
      <c r="C101" s="8" t="s">
        <v>223</v>
      </c>
      <c r="D101" s="8" t="s">
        <v>326</v>
      </c>
      <c r="E101" s="8" t="s">
        <v>375</v>
      </c>
      <c r="F101" s="106">
        <v>50</v>
      </c>
      <c r="G101" s="33">
        <v>48</v>
      </c>
      <c r="H101" s="9">
        <f>IFERROR(VLOOKUP(Ohj.lask.[[#This Row],[Y-tunnus]],'2.1 Toteut. op.vuodet'!$A:$T,COLUMN('2.1 Toteut. op.vuodet'!S:S),FALSE),0)</f>
        <v>1.018527754340611</v>
      </c>
      <c r="I101" s="74">
        <f t="shared" si="3"/>
        <v>48.9</v>
      </c>
      <c r="J101" s="10">
        <f>IFERROR(Ohj.lask.[[#This Row],[Painotetut opiskelija-vuodet]]/Ohj.lask.[[#Totals],[Painotetut opiskelija-vuodet]],0)</f>
        <v>2.3746394335829376E-4</v>
      </c>
      <c r="K101" s="11">
        <f>ROUND(IFERROR('1.1 Jakotaulu'!L$12*Ohj.lask.[[#This Row],[%-osuus 1]],0),0)</f>
        <v>337602</v>
      </c>
      <c r="L101" s="139">
        <f>IFERROR(ROUND(VLOOKUP(Ohj.lask.[[#This Row],[Y-tunnus]],'2.2 Tutk. ja osien pain. pist.'!$A:$Q,COLUMN('2.2 Tutk. ja osien pain. pist.'!O:O),FALSE),1),0)</f>
        <v>6814.9</v>
      </c>
      <c r="M101" s="10">
        <f>IFERROR(Ohj.lask.[[#This Row],[Painotetut pisteet 2]]/Ohj.lask.[[#Totals],[Painotetut pisteet 2]],0)</f>
        <v>4.326970250846176E-4</v>
      </c>
      <c r="N101" s="17">
        <f>ROUND(IFERROR('1.1 Jakotaulu'!K$13*Ohj.lask.[[#This Row],[%-osuus 2]],0),0)</f>
        <v>178598</v>
      </c>
      <c r="O101" s="140">
        <f>IFERROR(ROUND(VLOOKUP(Ohj.lask.[[#This Row],[Y-tunnus]],'2.3 Työll. ja jatko-opisk.'!$A:$Y,COLUMN('2.3 Työll. ja jatko-opisk.'!L:L),FALSE),1),0)</f>
        <v>150.1</v>
      </c>
      <c r="P101" s="10">
        <f>IFERROR(Ohj.lask.[[#This Row],[Painotetut pisteet 3]]/Ohj.lask.[[#Totals],[Painotetut pisteet 3]],0)</f>
        <v>4.4470714064566972E-4</v>
      </c>
      <c r="Q101" s="11">
        <f>ROUND(IFERROR('1.1 Jakotaulu'!L$15*Ohj.lask.[[#This Row],[%-osuus 3]],0),0)</f>
        <v>64244</v>
      </c>
      <c r="R101" s="139">
        <f>IFERROR(ROUND(VLOOKUP(Ohj.lask.[[#This Row],[Y-tunnus]],'2.4 Aloittaneet palaute'!$A:$I,COLUMN('2.4 Aloittaneet palaute'!H:H),FALSE),1),0)</f>
        <v>464.2</v>
      </c>
      <c r="S101" s="14">
        <f>IFERROR(Ohj.lask.[[#This Row],[Painotetut pisteet 4]]/Ohj.lask.[[#Totals],[Painotetut pisteet 4]],0)</f>
        <v>2.6698880171204128E-4</v>
      </c>
      <c r="T101" s="17">
        <f>ROUND(IFERROR('1.1 Jakotaulu'!M$17*Ohj.lask.[[#This Row],[%-osuus 4]],0),0)</f>
        <v>2066</v>
      </c>
      <c r="U101" s="139">
        <f>IFERROR(ROUND(VLOOKUP(Ohj.lask.[[#This Row],[Y-tunnus]],'2.5 Päättäneet palaute'!$A:$Y,COLUMN('2.5 Päättäneet palaute'!X:X),FALSE),1),0)</f>
        <v>4967.3999999999996</v>
      </c>
      <c r="V101" s="14">
        <f>IFERROR(Ohj.lask.[[#This Row],[Painotetut pisteet 5]]/Ohj.lask.[[#Totals],[Painotetut pisteet 5]],0)</f>
        <v>4.4764683968035867E-4</v>
      </c>
      <c r="W101" s="17">
        <f>ROUND(IFERROR('1.1 Jakotaulu'!M$18*Ohj.lask.[[#This Row],[%-osuus 5]],0),0)</f>
        <v>10393</v>
      </c>
      <c r="X101" s="139">
        <f>IFERROR(ROUND(VLOOKUP(Ohj.lask.[[#This Row],[Y-tunnus]],'2.6 Työpaikkaohjaajakysely'!A:I,COLUMN('2.6 Työpaikkaohjaajakysely'!H:H),FALSE),1),0)</f>
        <v>83098</v>
      </c>
      <c r="Y101" s="10">
        <f>IFERROR(Ohj.lask.[[#This Row],[Painotetut pisteet 6]]/Ohj.lask.[[#Totals],[Painotetut pisteet 6]],0)</f>
        <v>2.421504487737742E-4</v>
      </c>
      <c r="Z101" s="17">
        <f>ROUND(IFERROR('1.1 Jakotaulu'!M$20*Ohj.lask.[[#This Row],[%-osuus 6]],0),0)</f>
        <v>5622</v>
      </c>
      <c r="AA101" s="139">
        <f>IFERROR(ROUND(VLOOKUP(Ohj.lask.[[#This Row],[Y-tunnus]],'2.7 Työpaikkakysely'!A:G,COLUMN('2.7 Työpaikkakysely'!F:F),FALSE),1),0)</f>
        <v>32224</v>
      </c>
      <c r="AB101" s="10">
        <f>IFERROR(Ohj.lask.[[#This Row],[Pisteet 7]]/Ohj.lask.[[#Totals],[Pisteet 7]],0)</f>
        <v>1.5746007116726121E-4</v>
      </c>
      <c r="AC101" s="17">
        <f>ROUND(IFERROR('1.1 Jakotaulu'!M$21*Ohj.lask.[[#This Row],[%-osuus 7]],0),0)</f>
        <v>1219</v>
      </c>
      <c r="AD101" s="13">
        <f>IFERROR(Ohj.lask.[[#This Row],[Jaettava € 8]]/Ohj.lask.[[#Totals],[Jaettava € 8]],"")</f>
        <v>2.9387273461832508E-4</v>
      </c>
      <c r="AE10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599744</v>
      </c>
      <c r="AF101" s="103">
        <v>0</v>
      </c>
      <c r="AG101" s="103">
        <v>0</v>
      </c>
      <c r="AH101" s="107">
        <v>0</v>
      </c>
      <c r="AI101" s="33">
        <v>1000</v>
      </c>
      <c r="AJ101" s="107">
        <v>0</v>
      </c>
      <c r="AK10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101" s="11">
        <f>Ohj.lask.[[#This Row],[Jaettava € 1]]+Ohj.lask.[[#This Row],[Harkinnanvarainen korotus yhteensä, €]]</f>
        <v>338602</v>
      </c>
      <c r="AM101" s="103">
        <f>Ohj.lask.[[#This Row],[Jaettava € 2]]</f>
        <v>178598</v>
      </c>
      <c r="AN101" s="11">
        <f>Ohj.lask.[[#This Row],[Jaettava € 3]]+Ohj.lask.[[#This Row],[Jaettava € 4]]+Ohj.lask.[[#This Row],[Jaettava € 5]]+Ohj.lask.[[#This Row],[Jaettava € 6]]+Ohj.lask.[[#This Row],[Jaettava € 7]]</f>
        <v>83544</v>
      </c>
      <c r="AO101" s="34">
        <f>Ohj.lask.[[#This Row],[Jaettava € 8]]+Ohj.lask.[[#This Row],[Harkinnanvarainen korotus yhteensä, €]]</f>
        <v>600744</v>
      </c>
      <c r="AP101" s="12">
        <v>35814</v>
      </c>
      <c r="AQ101" s="34">
        <f>Ohj.lask.[[#This Row],[Perus-, suoritus- ja vaikuttavuusrahoitus yhteensä, €]]+Ohj.lask.[[#This Row],[Alv-korvaus, €]]</f>
        <v>636558</v>
      </c>
    </row>
    <row r="102" spans="1:43" ht="12.75" x14ac:dyDescent="0.2">
      <c r="A102" s="4" t="s">
        <v>224</v>
      </c>
      <c r="B102" s="8" t="s">
        <v>94</v>
      </c>
      <c r="C102" s="8" t="s">
        <v>223</v>
      </c>
      <c r="D102" s="8" t="s">
        <v>325</v>
      </c>
      <c r="E102" s="8" t="s">
        <v>375</v>
      </c>
      <c r="F102" s="106">
        <v>3103</v>
      </c>
      <c r="G102" s="33">
        <v>2954</v>
      </c>
      <c r="H102" s="9">
        <f>IFERROR(VLOOKUP(Ohj.lask.[[#This Row],[Y-tunnus]],'2.1 Toteut. op.vuodet'!$A:$T,COLUMN('2.1 Toteut. op.vuodet'!S:S),FALSE),0)</f>
        <v>1.2800894379242596</v>
      </c>
      <c r="I102" s="74">
        <f t="shared" si="3"/>
        <v>3781.4</v>
      </c>
      <c r="J102" s="10">
        <f>IFERROR(Ohj.lask.[[#This Row],[Painotetut opiskelija-vuodet]]/Ohj.lask.[[#Totals],[Painotetut opiskelija-vuodet]],0)</f>
        <v>1.8362907063702496E-2</v>
      </c>
      <c r="K102" s="11">
        <f>ROUND(IFERROR('1.1 Jakotaulu'!L$12*Ohj.lask.[[#This Row],[%-osuus 1]],0),0)</f>
        <v>26106490</v>
      </c>
      <c r="L102" s="139">
        <f>IFERROR(ROUND(VLOOKUP(Ohj.lask.[[#This Row],[Y-tunnus]],'2.2 Tutk. ja osien pain. pist.'!$A:$Q,COLUMN('2.2 Tutk. ja osien pain. pist.'!O:O),FALSE),1),0)</f>
        <v>284370.90000000002</v>
      </c>
      <c r="M102" s="10">
        <f>IFERROR(Ohj.lask.[[#This Row],[Painotetut pisteet 2]]/Ohj.lask.[[#Totals],[Painotetut pisteet 2]],0)</f>
        <v>1.8055502274521313E-2</v>
      </c>
      <c r="N102" s="17">
        <f>ROUND(IFERROR('1.1 Jakotaulu'!K$13*Ohj.lask.[[#This Row],[%-osuus 2]],0),0)</f>
        <v>7452499</v>
      </c>
      <c r="O102" s="140">
        <f>IFERROR(ROUND(VLOOKUP(Ohj.lask.[[#This Row],[Y-tunnus]],'2.3 Työll. ja jatko-opisk.'!$A:$Y,COLUMN('2.3 Työll. ja jatko-opisk.'!L:L),FALSE),1),0)</f>
        <v>6120.5</v>
      </c>
      <c r="P102" s="10">
        <f>IFERROR(Ohj.lask.[[#This Row],[Painotetut pisteet 3]]/Ohj.lask.[[#Totals],[Painotetut pisteet 3]],0)</f>
        <v>1.8133444732323929E-2</v>
      </c>
      <c r="Q102" s="11">
        <f>ROUND(IFERROR('1.1 Jakotaulu'!L$15*Ohj.lask.[[#This Row],[%-osuus 3]],0),0)</f>
        <v>2619628</v>
      </c>
      <c r="R102" s="139">
        <f>IFERROR(ROUND(VLOOKUP(Ohj.lask.[[#This Row],[Y-tunnus]],'2.4 Aloittaneet palaute'!$A:$I,COLUMN('2.4 Aloittaneet palaute'!H:H),FALSE),1),0)</f>
        <v>36223.9</v>
      </c>
      <c r="S102" s="14">
        <f>IFERROR(Ohj.lask.[[#This Row],[Painotetut pisteet 4]]/Ohj.lask.[[#Totals],[Painotetut pisteet 4]],0)</f>
        <v>2.0834501625025446E-2</v>
      </c>
      <c r="T102" s="17">
        <f>ROUND(IFERROR('1.1 Jakotaulu'!M$17*Ohj.lask.[[#This Row],[%-osuus 4]],0),0)</f>
        <v>161241</v>
      </c>
      <c r="U102" s="139">
        <f>IFERROR(ROUND(VLOOKUP(Ohj.lask.[[#This Row],[Y-tunnus]],'2.5 Päättäneet palaute'!$A:$Y,COLUMN('2.5 Päättäneet palaute'!X:X),FALSE),1),0)</f>
        <v>190567.6</v>
      </c>
      <c r="V102" s="14">
        <f>IFERROR(Ohj.lask.[[#This Row],[Painotetut pisteet 5]]/Ohj.lask.[[#Totals],[Painotetut pisteet 5]],0)</f>
        <v>1.7173367130786876E-2</v>
      </c>
      <c r="W102" s="17">
        <f>ROUND(IFERROR('1.1 Jakotaulu'!M$18*Ohj.lask.[[#This Row],[%-osuus 5]],0),0)</f>
        <v>398721</v>
      </c>
      <c r="X102" s="139">
        <f>IFERROR(ROUND(VLOOKUP(Ohj.lask.[[#This Row],[Y-tunnus]],'2.6 Työpaikkaohjaajakysely'!A:I,COLUMN('2.6 Työpaikkaohjaajakysely'!H:H),FALSE),1),0)</f>
        <v>7464305.2000000002</v>
      </c>
      <c r="Y102" s="10">
        <f>IFERROR(Ohj.lask.[[#This Row],[Painotetut pisteet 6]]/Ohj.lask.[[#Totals],[Painotetut pisteet 6]],0)</f>
        <v>2.1751243759951099E-2</v>
      </c>
      <c r="Z102" s="17">
        <f>ROUND(IFERROR('1.1 Jakotaulu'!M$20*Ohj.lask.[[#This Row],[%-osuus 6]],0),0)</f>
        <v>505008</v>
      </c>
      <c r="AA102" s="139">
        <f>IFERROR(ROUND(VLOOKUP(Ohj.lask.[[#This Row],[Y-tunnus]],'2.7 Työpaikkakysely'!A:G,COLUMN('2.7 Työpaikkakysely'!F:F),FALSE),1),0)</f>
        <v>4371038.5999999996</v>
      </c>
      <c r="AB102" s="10">
        <f>IFERROR(Ohj.lask.[[#This Row],[Pisteet 7]]/Ohj.lask.[[#Totals],[Pisteet 7]],0)</f>
        <v>2.1358740349765572E-2</v>
      </c>
      <c r="AC102" s="17">
        <f>ROUND(IFERROR('1.1 Jakotaulu'!M$21*Ohj.lask.[[#This Row],[%-osuus 7]],0),0)</f>
        <v>165298</v>
      </c>
      <c r="AD102" s="13">
        <f>IFERROR(Ohj.lask.[[#This Row],[Jaettava € 8]]/Ohj.lask.[[#Totals],[Jaettava € 8]],"")</f>
        <v>1.8330239792265439E-2</v>
      </c>
      <c r="AE10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37408885</v>
      </c>
      <c r="AF102" s="103">
        <v>0</v>
      </c>
      <c r="AG102" s="103">
        <v>30000</v>
      </c>
      <c r="AH102" s="107">
        <v>0</v>
      </c>
      <c r="AI102" s="33">
        <v>48000</v>
      </c>
      <c r="AJ102" s="107">
        <v>20000</v>
      </c>
      <c r="AK10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98000</v>
      </c>
      <c r="AL102" s="11">
        <f>Ohj.lask.[[#This Row],[Jaettava € 1]]+Ohj.lask.[[#This Row],[Harkinnanvarainen korotus yhteensä, €]]</f>
        <v>26204490</v>
      </c>
      <c r="AM102" s="103">
        <f>Ohj.lask.[[#This Row],[Jaettava € 2]]</f>
        <v>7452499</v>
      </c>
      <c r="AN102" s="11">
        <f>Ohj.lask.[[#This Row],[Jaettava € 3]]+Ohj.lask.[[#This Row],[Jaettava € 4]]+Ohj.lask.[[#This Row],[Jaettava € 5]]+Ohj.lask.[[#This Row],[Jaettava € 6]]+Ohj.lask.[[#This Row],[Jaettava € 7]]</f>
        <v>3849896</v>
      </c>
      <c r="AO102" s="34">
        <f>Ohj.lask.[[#This Row],[Jaettava € 8]]+Ohj.lask.[[#This Row],[Harkinnanvarainen korotus yhteensä, €]]</f>
        <v>37506885</v>
      </c>
      <c r="AP102" s="12">
        <v>0</v>
      </c>
      <c r="AQ102" s="34">
        <f>Ohj.lask.[[#This Row],[Perus-, suoritus- ja vaikuttavuusrahoitus yhteensä, €]]+Ohj.lask.[[#This Row],[Alv-korvaus, €]]</f>
        <v>37506885</v>
      </c>
    </row>
    <row r="103" spans="1:43" ht="12.75" x14ac:dyDescent="0.2">
      <c r="A103" s="4" t="s">
        <v>222</v>
      </c>
      <c r="B103" s="8" t="s">
        <v>95</v>
      </c>
      <c r="C103" s="8" t="s">
        <v>187</v>
      </c>
      <c r="D103" s="8" t="s">
        <v>325</v>
      </c>
      <c r="E103" s="8" t="s">
        <v>375</v>
      </c>
      <c r="F103" s="106">
        <v>1889</v>
      </c>
      <c r="G103" s="33">
        <v>1892</v>
      </c>
      <c r="H103" s="9">
        <f>IFERROR(VLOOKUP(Ohj.lask.[[#This Row],[Y-tunnus]],'2.1 Toteut. op.vuodet'!$A:$T,COLUMN('2.1 Toteut. op.vuodet'!S:S),FALSE),0)</f>
        <v>1.0793403684563945</v>
      </c>
      <c r="I103" s="74">
        <f t="shared" si="3"/>
        <v>2042.1</v>
      </c>
      <c r="J103" s="10">
        <f>IFERROR(Ohj.lask.[[#This Row],[Painotetut opiskelija-vuodet]]/Ohj.lask.[[#Totals],[Painotetut opiskelija-vuodet]],0)</f>
        <v>9.9166690947233467E-3</v>
      </c>
      <c r="K103" s="11">
        <f>ROUND(IFERROR('1.1 Jakotaulu'!L$12*Ohj.lask.[[#This Row],[%-osuus 1]],0),0)</f>
        <v>14098499</v>
      </c>
      <c r="L103" s="139">
        <f>IFERROR(ROUND(VLOOKUP(Ohj.lask.[[#This Row],[Y-tunnus]],'2.2 Tutk. ja osien pain. pist.'!$A:$Q,COLUMN('2.2 Tutk. ja osien pain. pist.'!O:O),FALSE),1),0)</f>
        <v>180687.3</v>
      </c>
      <c r="M103" s="10">
        <f>IFERROR(Ohj.lask.[[#This Row],[Painotetut pisteet 2]]/Ohj.lask.[[#Totals],[Painotetut pisteet 2]],0)</f>
        <v>1.1472341073320493E-2</v>
      </c>
      <c r="N103" s="17">
        <f>ROUND(IFERROR('1.1 Jakotaulu'!K$13*Ohj.lask.[[#This Row],[%-osuus 2]],0),0)</f>
        <v>4735266</v>
      </c>
      <c r="O103" s="140">
        <f>IFERROR(ROUND(VLOOKUP(Ohj.lask.[[#This Row],[Y-tunnus]],'2.3 Työll. ja jatko-opisk.'!$A:$Y,COLUMN('2.3 Työll. ja jatko-opisk.'!L:L),FALSE),1),0)</f>
        <v>3955</v>
      </c>
      <c r="P103" s="10">
        <f>IFERROR(Ohj.lask.[[#This Row],[Painotetut pisteet 3]]/Ohj.lask.[[#Totals],[Painotetut pisteet 3]],0)</f>
        <v>1.1717633186233336E-2</v>
      </c>
      <c r="Q103" s="11">
        <f>ROUND(IFERROR('1.1 Jakotaulu'!L$15*Ohj.lask.[[#This Row],[%-osuus 3]],0),0)</f>
        <v>1692775</v>
      </c>
      <c r="R103" s="139">
        <f>IFERROR(ROUND(VLOOKUP(Ohj.lask.[[#This Row],[Y-tunnus]],'2.4 Aloittaneet palaute'!$A:$I,COLUMN('2.4 Aloittaneet palaute'!H:H),FALSE),1),0)</f>
        <v>22822</v>
      </c>
      <c r="S103" s="14">
        <f>IFERROR(Ohj.lask.[[#This Row],[Painotetut pisteet 4]]/Ohj.lask.[[#Totals],[Painotetut pisteet 4]],0)</f>
        <v>1.3126278398690664E-2</v>
      </c>
      <c r="T103" s="17">
        <f>ROUND(IFERROR('1.1 Jakotaulu'!M$17*Ohj.lask.[[#This Row],[%-osuus 4]],0),0)</f>
        <v>101586</v>
      </c>
      <c r="U103" s="139">
        <f>IFERROR(ROUND(VLOOKUP(Ohj.lask.[[#This Row],[Y-tunnus]],'2.5 Päättäneet palaute'!$A:$Y,COLUMN('2.5 Päättäneet palaute'!X:X),FALSE),1),0)</f>
        <v>150123.20000000001</v>
      </c>
      <c r="V103" s="14">
        <f>IFERROR(Ohj.lask.[[#This Row],[Painotetut pisteet 5]]/Ohj.lask.[[#Totals],[Painotetut pisteet 5]],0)</f>
        <v>1.3528641954081095E-2</v>
      </c>
      <c r="W103" s="17">
        <f>ROUND(IFERROR('1.1 Jakotaulu'!M$18*Ohj.lask.[[#This Row],[%-osuus 5]],0),0)</f>
        <v>314100</v>
      </c>
      <c r="X103" s="139">
        <f>IFERROR(ROUND(VLOOKUP(Ohj.lask.[[#This Row],[Y-tunnus]],'2.6 Työpaikkaohjaajakysely'!A:I,COLUMN('2.6 Työpaikkaohjaajakysely'!H:H),FALSE),1),0)</f>
        <v>4100499.5</v>
      </c>
      <c r="Y103" s="10">
        <f>IFERROR(Ohj.lask.[[#This Row],[Painotetut pisteet 6]]/Ohj.lask.[[#Totals],[Painotetut pisteet 6]],0)</f>
        <v>1.1948997498395108E-2</v>
      </c>
      <c r="Z103" s="17">
        <f>ROUND(IFERROR('1.1 Jakotaulu'!M$20*Ohj.lask.[[#This Row],[%-osuus 6]],0),0)</f>
        <v>277425</v>
      </c>
      <c r="AA103" s="139">
        <f>IFERROR(ROUND(VLOOKUP(Ohj.lask.[[#This Row],[Y-tunnus]],'2.7 Työpaikkakysely'!A:G,COLUMN('2.7 Työpaikkakysely'!F:F),FALSE),1),0)</f>
        <v>1299086.5</v>
      </c>
      <c r="AB103" s="10">
        <f>IFERROR(Ohj.lask.[[#This Row],[Pisteet 7]]/Ohj.lask.[[#Totals],[Pisteet 7]],0)</f>
        <v>6.3478852017883648E-3</v>
      </c>
      <c r="AC103" s="17">
        <f>ROUND(IFERROR('1.1 Jakotaulu'!M$21*Ohj.lask.[[#This Row],[%-osuus 7]],0),0)</f>
        <v>49127</v>
      </c>
      <c r="AD103" s="13">
        <f>IFERROR(Ohj.lask.[[#This Row],[Jaettava € 8]]/Ohj.lask.[[#Totals],[Jaettava € 8]],"")</f>
        <v>1.0421636486317614E-2</v>
      </c>
      <c r="AE10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21268778</v>
      </c>
      <c r="AF103" s="103">
        <v>0</v>
      </c>
      <c r="AG103" s="103">
        <v>0</v>
      </c>
      <c r="AH103" s="107">
        <v>0</v>
      </c>
      <c r="AI103" s="33">
        <v>29000</v>
      </c>
      <c r="AJ103" s="107">
        <v>0</v>
      </c>
      <c r="AK10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29000</v>
      </c>
      <c r="AL103" s="11">
        <f>Ohj.lask.[[#This Row],[Jaettava € 1]]+Ohj.lask.[[#This Row],[Harkinnanvarainen korotus yhteensä, €]]</f>
        <v>14127499</v>
      </c>
      <c r="AM103" s="103">
        <f>Ohj.lask.[[#This Row],[Jaettava € 2]]</f>
        <v>4735266</v>
      </c>
      <c r="AN103" s="11">
        <f>Ohj.lask.[[#This Row],[Jaettava € 3]]+Ohj.lask.[[#This Row],[Jaettava € 4]]+Ohj.lask.[[#This Row],[Jaettava € 5]]+Ohj.lask.[[#This Row],[Jaettava € 6]]+Ohj.lask.[[#This Row],[Jaettava € 7]]</f>
        <v>2435013</v>
      </c>
      <c r="AO103" s="34">
        <f>Ohj.lask.[[#This Row],[Jaettava € 8]]+Ohj.lask.[[#This Row],[Harkinnanvarainen korotus yhteensä, €]]</f>
        <v>21297778</v>
      </c>
      <c r="AP103" s="12">
        <v>0</v>
      </c>
      <c r="AQ103" s="34">
        <f>Ohj.lask.[[#This Row],[Perus-, suoritus- ja vaikuttavuusrahoitus yhteensä, €]]+Ohj.lask.[[#This Row],[Alv-korvaus, €]]</f>
        <v>21297778</v>
      </c>
    </row>
    <row r="104" spans="1:43" ht="12.75" x14ac:dyDescent="0.2">
      <c r="A104" s="4" t="s">
        <v>221</v>
      </c>
      <c r="B104" s="8" t="s">
        <v>96</v>
      </c>
      <c r="C104" s="8" t="s">
        <v>183</v>
      </c>
      <c r="D104" s="8" t="s">
        <v>325</v>
      </c>
      <c r="E104" s="8" t="s">
        <v>375</v>
      </c>
      <c r="F104" s="106">
        <v>3394</v>
      </c>
      <c r="G104" s="33">
        <v>3578</v>
      </c>
      <c r="H104" s="9">
        <f>IFERROR(VLOOKUP(Ohj.lask.[[#This Row],[Y-tunnus]],'2.1 Toteut. op.vuodet'!$A:$T,COLUMN('2.1 Toteut. op.vuodet'!S:S),FALSE),0)</f>
        <v>1.053300280308783</v>
      </c>
      <c r="I104" s="74">
        <f t="shared" si="3"/>
        <v>3768.7</v>
      </c>
      <c r="J104" s="10">
        <f>IFERROR(Ohj.lask.[[#This Row],[Painotetut opiskelija-vuodet]]/Ohj.lask.[[#Totals],[Painotetut opiskelija-vuodet]],0)</f>
        <v>1.8301234424016394E-2</v>
      </c>
      <c r="K104" s="11">
        <f>ROUND(IFERROR('1.1 Jakotaulu'!L$12*Ohj.lask.[[#This Row],[%-osuus 1]],0),0)</f>
        <v>26018810</v>
      </c>
      <c r="L104" s="139">
        <f>IFERROR(ROUND(VLOOKUP(Ohj.lask.[[#This Row],[Y-tunnus]],'2.2 Tutk. ja osien pain. pist.'!$A:$Q,COLUMN('2.2 Tutk. ja osien pain. pist.'!O:O),FALSE),1),0)</f>
        <v>318586.09999999998</v>
      </c>
      <c r="M104" s="10">
        <f>IFERROR(Ohj.lask.[[#This Row],[Painotetut pisteet 2]]/Ohj.lask.[[#Totals],[Painotetut pisteet 2]],0)</f>
        <v>2.0227920835714463E-2</v>
      </c>
      <c r="N104" s="17">
        <f>ROUND(IFERROR('1.1 Jakotaulu'!K$13*Ohj.lask.[[#This Row],[%-osuus 2]],0),0)</f>
        <v>8349175</v>
      </c>
      <c r="O104" s="140">
        <f>IFERROR(ROUND(VLOOKUP(Ohj.lask.[[#This Row],[Y-tunnus]],'2.3 Työll. ja jatko-opisk.'!$A:$Y,COLUMN('2.3 Työll. ja jatko-opisk.'!L:L),FALSE),1),0)</f>
        <v>6918.7</v>
      </c>
      <c r="P104" s="10">
        <f>IFERROR(Ohj.lask.[[#This Row],[Painotetut pisteet 3]]/Ohj.lask.[[#Totals],[Painotetut pisteet 3]],0)</f>
        <v>2.0498303091173852E-2</v>
      </c>
      <c r="Q104" s="11">
        <f>ROUND(IFERROR('1.1 Jakotaulu'!L$15*Ohj.lask.[[#This Row],[%-osuus 3]],0),0)</f>
        <v>2961265</v>
      </c>
      <c r="R104" s="139">
        <f>IFERROR(ROUND(VLOOKUP(Ohj.lask.[[#This Row],[Y-tunnus]],'2.4 Aloittaneet palaute'!$A:$I,COLUMN('2.4 Aloittaneet palaute'!H:H),FALSE),1),0)</f>
        <v>28593.5</v>
      </c>
      <c r="S104" s="14">
        <f>IFERROR(Ohj.lask.[[#This Row],[Painotetut pisteet 4]]/Ohj.lask.[[#Totals],[Painotetut pisteet 4]],0)</f>
        <v>1.6445808491497745E-2</v>
      </c>
      <c r="T104" s="17">
        <f>ROUND(IFERROR('1.1 Jakotaulu'!M$17*Ohj.lask.[[#This Row],[%-osuus 4]],0),0)</f>
        <v>127276</v>
      </c>
      <c r="U104" s="139">
        <f>IFERROR(ROUND(VLOOKUP(Ohj.lask.[[#This Row],[Y-tunnus]],'2.5 Päättäneet palaute'!$A:$Y,COLUMN('2.5 Päättäneet palaute'!X:X),FALSE),1),0)</f>
        <v>198988.9</v>
      </c>
      <c r="V104" s="14">
        <f>IFERROR(Ohj.lask.[[#This Row],[Painotetut pisteet 5]]/Ohj.lask.[[#Totals],[Painotetut pisteet 5]],0)</f>
        <v>1.7932268836105592E-2</v>
      </c>
      <c r="W104" s="17">
        <f>ROUND(IFERROR('1.1 Jakotaulu'!M$18*Ohj.lask.[[#This Row],[%-osuus 5]],0),0)</f>
        <v>416341</v>
      </c>
      <c r="X104" s="139">
        <f>IFERROR(ROUND(VLOOKUP(Ohj.lask.[[#This Row],[Y-tunnus]],'2.6 Työpaikkaohjaajakysely'!A:I,COLUMN('2.6 Työpaikkaohjaajakysely'!H:H),FALSE),1),0)</f>
        <v>6748887</v>
      </c>
      <c r="Y104" s="10">
        <f>IFERROR(Ohj.lask.[[#This Row],[Painotetut pisteet 6]]/Ohj.lask.[[#Totals],[Painotetut pisteet 6]],0)</f>
        <v>1.966649035805303E-2</v>
      </c>
      <c r="Z104" s="17">
        <f>ROUND(IFERROR('1.1 Jakotaulu'!M$20*Ohj.lask.[[#This Row],[%-osuus 6]],0),0)</f>
        <v>456605</v>
      </c>
      <c r="AA104" s="139">
        <f>IFERROR(ROUND(VLOOKUP(Ohj.lask.[[#This Row],[Y-tunnus]],'2.7 Työpaikkakysely'!A:G,COLUMN('2.7 Työpaikkakysely'!F:F),FALSE),1),0)</f>
        <v>2436241.5</v>
      </c>
      <c r="AB104" s="10">
        <f>IFERROR(Ohj.lask.[[#This Row],[Pisteet 7]]/Ohj.lask.[[#Totals],[Pisteet 7]],0)</f>
        <v>1.1904504716069861E-2</v>
      </c>
      <c r="AC104" s="17">
        <f>ROUND(IFERROR('1.1 Jakotaulu'!M$21*Ohj.lask.[[#This Row],[%-osuus 7]],0),0)</f>
        <v>92131</v>
      </c>
      <c r="AD104" s="13">
        <f>IFERROR(Ohj.lask.[[#This Row],[Jaettava € 8]]/Ohj.lask.[[#Totals],[Jaettava € 8]],"")</f>
        <v>1.8826468529955519E-2</v>
      </c>
      <c r="AE10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38421603</v>
      </c>
      <c r="AF104" s="103">
        <v>0</v>
      </c>
      <c r="AG104" s="103">
        <v>30000</v>
      </c>
      <c r="AH104" s="107">
        <v>0</v>
      </c>
      <c r="AI104" s="33">
        <v>62000</v>
      </c>
      <c r="AJ104" s="107">
        <v>0</v>
      </c>
      <c r="AK10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92000</v>
      </c>
      <c r="AL104" s="11">
        <f>Ohj.lask.[[#This Row],[Jaettava € 1]]+Ohj.lask.[[#This Row],[Harkinnanvarainen korotus yhteensä, €]]</f>
        <v>26110810</v>
      </c>
      <c r="AM104" s="103">
        <f>Ohj.lask.[[#This Row],[Jaettava € 2]]</f>
        <v>8349175</v>
      </c>
      <c r="AN104" s="11">
        <f>Ohj.lask.[[#This Row],[Jaettava € 3]]+Ohj.lask.[[#This Row],[Jaettava € 4]]+Ohj.lask.[[#This Row],[Jaettava € 5]]+Ohj.lask.[[#This Row],[Jaettava € 6]]+Ohj.lask.[[#This Row],[Jaettava € 7]]</f>
        <v>4053618</v>
      </c>
      <c r="AO104" s="34">
        <f>Ohj.lask.[[#This Row],[Jaettava € 8]]+Ohj.lask.[[#This Row],[Harkinnanvarainen korotus yhteensä, €]]</f>
        <v>38513603</v>
      </c>
      <c r="AP104" s="12">
        <v>0</v>
      </c>
      <c r="AQ104" s="34">
        <f>Ohj.lask.[[#This Row],[Perus-, suoritus- ja vaikuttavuusrahoitus yhteensä, €]]+Ohj.lask.[[#This Row],[Alv-korvaus, €]]</f>
        <v>38513603</v>
      </c>
    </row>
    <row r="105" spans="1:43" ht="12.75" x14ac:dyDescent="0.2">
      <c r="A105" s="4" t="s">
        <v>220</v>
      </c>
      <c r="B105" s="8" t="s">
        <v>97</v>
      </c>
      <c r="C105" s="97" t="s">
        <v>215</v>
      </c>
      <c r="D105" s="97" t="s">
        <v>325</v>
      </c>
      <c r="E105" s="97" t="s">
        <v>375</v>
      </c>
      <c r="F105" s="105">
        <v>1814</v>
      </c>
      <c r="G105" s="33">
        <v>2280</v>
      </c>
      <c r="H105" s="9">
        <f>IFERROR(VLOOKUP(Ohj.lask.[[#This Row],[Y-tunnus]],'2.1 Toteut. op.vuodet'!$A:$T,COLUMN('2.1 Toteut. op.vuodet'!S:S),FALSE),0)</f>
        <v>1.0492745287558531</v>
      </c>
      <c r="I105" s="74">
        <f t="shared" si="3"/>
        <v>2392.3000000000002</v>
      </c>
      <c r="J105" s="10">
        <f>IFERROR(Ohj.lask.[[#This Row],[Painotetut opiskelija-vuodet]]/Ohj.lask.[[#Totals],[Painotetut opiskelija-vuodet]],0)</f>
        <v>1.1617279993784176E-2</v>
      </c>
      <c r="K105" s="11">
        <f>ROUND(IFERROR('1.1 Jakotaulu'!L$12*Ohj.lask.[[#This Row],[%-osuus 1]],0),0)</f>
        <v>16516252</v>
      </c>
      <c r="L105" s="139">
        <f>IFERROR(ROUND(VLOOKUP(Ohj.lask.[[#This Row],[Y-tunnus]],'2.2 Tutk. ja osien pain. pist.'!$A:$Q,COLUMN('2.2 Tutk. ja osien pain. pist.'!O:O),FALSE),1),0)</f>
        <v>248879.3</v>
      </c>
      <c r="M105" s="10">
        <f>IFERROR(Ohj.lask.[[#This Row],[Painotetut pisteet 2]]/Ohj.lask.[[#Totals],[Painotetut pisteet 2]],0)</f>
        <v>1.5802041514203006E-2</v>
      </c>
      <c r="N105" s="17">
        <f>ROUND(IFERROR('1.1 Jakotaulu'!K$13*Ohj.lask.[[#This Row],[%-osuus 2]],0),0)</f>
        <v>6522372</v>
      </c>
      <c r="O105" s="140">
        <f>IFERROR(ROUND(VLOOKUP(Ohj.lask.[[#This Row],[Y-tunnus]],'2.3 Työll. ja jatko-opisk.'!$A:$Y,COLUMN('2.3 Työll. ja jatko-opisk.'!L:L),FALSE),1),0)</f>
        <v>5392</v>
      </c>
      <c r="P105" s="14">
        <f>IFERROR(Ohj.lask.[[#This Row],[Painotetut pisteet 3]]/Ohj.lask.[[#Totals],[Painotetut pisteet 3]],0)</f>
        <v>1.5975089289549976E-2</v>
      </c>
      <c r="Q105" s="11">
        <f>ROUND(IFERROR('1.1 Jakotaulu'!L$15*Ohj.lask.[[#This Row],[%-osuus 3]],0),0)</f>
        <v>2307824</v>
      </c>
      <c r="R105" s="139">
        <f>IFERROR(ROUND(VLOOKUP(Ohj.lask.[[#This Row],[Y-tunnus]],'2.4 Aloittaneet palaute'!$A:$I,COLUMN('2.4 Aloittaneet palaute'!H:H),FALSE),1),0)</f>
        <v>28383.200000000001</v>
      </c>
      <c r="S105" s="14">
        <f>IFERROR(Ohj.lask.[[#This Row],[Painotetut pisteet 4]]/Ohj.lask.[[#Totals],[Painotetut pisteet 4]],0)</f>
        <v>1.6324852556555816E-2</v>
      </c>
      <c r="T105" s="17">
        <f>ROUND(IFERROR('1.1 Jakotaulu'!M$17*Ohj.lask.[[#This Row],[%-osuus 4]],0),0)</f>
        <v>126340</v>
      </c>
      <c r="U105" s="139">
        <f>IFERROR(ROUND(VLOOKUP(Ohj.lask.[[#This Row],[Y-tunnus]],'2.5 Päättäneet palaute'!$A:$Y,COLUMN('2.5 Päättäneet palaute'!X:X),FALSE),1),0)</f>
        <v>216369.3</v>
      </c>
      <c r="V105" s="14">
        <f>IFERROR(Ohj.lask.[[#This Row],[Painotetut pisteet 5]]/Ohj.lask.[[#Totals],[Painotetut pisteet 5]],0)</f>
        <v>1.9498537131870081E-2</v>
      </c>
      <c r="W105" s="17">
        <f>ROUND(IFERROR('1.1 Jakotaulu'!M$18*Ohj.lask.[[#This Row],[%-osuus 5]],0),0)</f>
        <v>452706</v>
      </c>
      <c r="X105" s="139">
        <f>IFERROR(ROUND(VLOOKUP(Ohj.lask.[[#This Row],[Y-tunnus]],'2.6 Työpaikkaohjaajakysely'!A:I,COLUMN('2.6 Työpaikkaohjaajakysely'!H:H),FALSE),1),0)</f>
        <v>10781567.4</v>
      </c>
      <c r="Y105" s="10">
        <f>IFERROR(Ohj.lask.[[#This Row],[Painotetut pisteet 6]]/Ohj.lask.[[#Totals],[Painotetut pisteet 6]],0)</f>
        <v>3.1417860651215358E-2</v>
      </c>
      <c r="Z105" s="17">
        <f>ROUND(IFERROR('1.1 Jakotaulu'!M$20*Ohj.lask.[[#This Row],[%-osuus 6]],0),0)</f>
        <v>729441</v>
      </c>
      <c r="AA105" s="139">
        <f>IFERROR(ROUND(VLOOKUP(Ohj.lask.[[#This Row],[Y-tunnus]],'2.7 Työpaikkakysely'!A:G,COLUMN('2.7 Työpaikkakysely'!F:F),FALSE),1),0)</f>
        <v>12850959.6</v>
      </c>
      <c r="AB105" s="10">
        <f>IFERROR(Ohj.lask.[[#This Row],[Pisteet 7]]/Ohj.lask.[[#Totals],[Pisteet 7]],0)</f>
        <v>6.2795215155896186E-2</v>
      </c>
      <c r="AC105" s="17">
        <f>ROUND(IFERROR('1.1 Jakotaulu'!M$21*Ohj.lask.[[#This Row],[%-osuus 7]],0),0)</f>
        <v>485981</v>
      </c>
      <c r="AD105" s="13">
        <f>IFERROR(Ohj.lask.[[#This Row],[Jaettava € 8]]/Ohj.lask.[[#Totals],[Jaettava € 8]],"")</f>
        <v>1.3298966233870207E-2</v>
      </c>
      <c r="AE10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27140916</v>
      </c>
      <c r="AF105" s="103">
        <v>0</v>
      </c>
      <c r="AG105" s="103">
        <v>0</v>
      </c>
      <c r="AH105" s="107">
        <v>0</v>
      </c>
      <c r="AI105" s="33">
        <v>60000</v>
      </c>
      <c r="AJ105" s="107">
        <v>0</v>
      </c>
      <c r="AK10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60000</v>
      </c>
      <c r="AL105" s="11">
        <f>Ohj.lask.[[#This Row],[Jaettava € 1]]+Ohj.lask.[[#This Row],[Harkinnanvarainen korotus yhteensä, €]]</f>
        <v>16576252</v>
      </c>
      <c r="AM105" s="103">
        <f>Ohj.lask.[[#This Row],[Jaettava € 2]]</f>
        <v>6522372</v>
      </c>
      <c r="AN105" s="11">
        <f>Ohj.lask.[[#This Row],[Jaettava € 3]]+Ohj.lask.[[#This Row],[Jaettava € 4]]+Ohj.lask.[[#This Row],[Jaettava € 5]]+Ohj.lask.[[#This Row],[Jaettava € 6]]+Ohj.lask.[[#This Row],[Jaettava € 7]]</f>
        <v>4102292</v>
      </c>
      <c r="AO105" s="34">
        <f>Ohj.lask.[[#This Row],[Jaettava € 8]]+Ohj.lask.[[#This Row],[Harkinnanvarainen korotus yhteensä, €]]</f>
        <v>27200916</v>
      </c>
      <c r="AP105" s="12">
        <v>0</v>
      </c>
      <c r="AQ105" s="34">
        <f>Ohj.lask.[[#This Row],[Perus-, suoritus- ja vaikuttavuusrahoitus yhteensä, €]]+Ohj.lask.[[#This Row],[Alv-korvaus, €]]</f>
        <v>27200916</v>
      </c>
    </row>
    <row r="106" spans="1:43" ht="12.75" x14ac:dyDescent="0.2">
      <c r="A106" s="4" t="s">
        <v>219</v>
      </c>
      <c r="B106" s="8" t="s">
        <v>98</v>
      </c>
      <c r="C106" s="8" t="s">
        <v>178</v>
      </c>
      <c r="D106" s="8" t="s">
        <v>325</v>
      </c>
      <c r="E106" s="8" t="s">
        <v>375</v>
      </c>
      <c r="F106" s="106">
        <v>5625</v>
      </c>
      <c r="G106" s="33">
        <v>5618</v>
      </c>
      <c r="H106" s="9">
        <f>IFERROR(VLOOKUP(Ohj.lask.[[#This Row],[Y-tunnus]],'2.1 Toteut. op.vuodet'!$A:$T,COLUMN('2.1 Toteut. op.vuodet'!S:S),FALSE),0)</f>
        <v>1.1433965113587445</v>
      </c>
      <c r="I106" s="74">
        <f t="shared" si="3"/>
        <v>6423.6</v>
      </c>
      <c r="J106" s="10">
        <f>IFERROR(Ohj.lask.[[#This Row],[Painotetut opiskelija-vuodet]]/Ohj.lask.[[#Totals],[Painotetut opiskelija-vuodet]],0)</f>
        <v>3.1193729786428138E-2</v>
      </c>
      <c r="K106" s="11">
        <f>ROUND(IFERROR('1.1 Jakotaulu'!L$12*Ohj.lask.[[#This Row],[%-osuus 1]],0),0)</f>
        <v>44348032</v>
      </c>
      <c r="L106" s="139">
        <f>IFERROR(ROUND(VLOOKUP(Ohj.lask.[[#This Row],[Y-tunnus]],'2.2 Tutk. ja osien pain. pist.'!$A:$Q,COLUMN('2.2 Tutk. ja osien pain. pist.'!O:O),FALSE),1),0)</f>
        <v>494425.3</v>
      </c>
      <c r="M106" s="10">
        <f>IFERROR(Ohj.lask.[[#This Row],[Painotetut pisteet 2]]/Ohj.lask.[[#Totals],[Painotetut pisteet 2]],0)</f>
        <v>3.1392442506356602E-2</v>
      </c>
      <c r="N106" s="17">
        <f>ROUND(IFERROR('1.1 Jakotaulu'!K$13*Ohj.lask.[[#This Row],[%-osuus 2]],0),0)</f>
        <v>12957388</v>
      </c>
      <c r="O106" s="140">
        <f>IFERROR(ROUND(VLOOKUP(Ohj.lask.[[#This Row],[Y-tunnus]],'2.3 Työll. ja jatko-opisk.'!$A:$Y,COLUMN('2.3 Työll. ja jatko-opisk.'!L:L),FALSE),1),0)</f>
        <v>10871.9</v>
      </c>
      <c r="P106" s="10">
        <f>IFERROR(Ohj.lask.[[#This Row],[Painotetut pisteet 3]]/Ohj.lask.[[#Totals],[Painotetut pisteet 3]],0)</f>
        <v>3.2210603347006372E-2</v>
      </c>
      <c r="Q106" s="11">
        <f>ROUND(IFERROR('1.1 Jakotaulu'!L$15*Ohj.lask.[[#This Row],[%-osuus 3]],0),0)</f>
        <v>4653269</v>
      </c>
      <c r="R106" s="139">
        <f>IFERROR(ROUND(VLOOKUP(Ohj.lask.[[#This Row],[Y-tunnus]],'2.4 Aloittaneet palaute'!$A:$I,COLUMN('2.4 Aloittaneet palaute'!H:H),FALSE),1),0)</f>
        <v>67897.5</v>
      </c>
      <c r="S106" s="14">
        <f>IFERROR(Ohj.lask.[[#This Row],[Painotetut pisteet 4]]/Ohj.lask.[[#Totals],[Painotetut pisteet 4]],0)</f>
        <v>3.9051857312027843E-2</v>
      </c>
      <c r="T106" s="17">
        <f>ROUND(IFERROR('1.1 Jakotaulu'!M$17*Ohj.lask.[[#This Row],[%-osuus 4]],0),0)</f>
        <v>302228</v>
      </c>
      <c r="U106" s="139">
        <f>IFERROR(ROUND(VLOOKUP(Ohj.lask.[[#This Row],[Y-tunnus]],'2.5 Päättäneet palaute'!$A:$Y,COLUMN('2.5 Päättäneet palaute'!X:X),FALSE),1),0)</f>
        <v>387768.8</v>
      </c>
      <c r="V106" s="14">
        <f>IFERROR(Ohj.lask.[[#This Row],[Painotetut pisteet 5]]/Ohj.lask.[[#Totals],[Painotetut pisteet 5]],0)</f>
        <v>3.4944533930556243E-2</v>
      </c>
      <c r="W106" s="17">
        <f>ROUND(IFERROR('1.1 Jakotaulu'!M$18*Ohj.lask.[[#This Row],[%-osuus 5]],0),0)</f>
        <v>811322</v>
      </c>
      <c r="X106" s="139">
        <f>IFERROR(ROUND(VLOOKUP(Ohj.lask.[[#This Row],[Y-tunnus]],'2.6 Työpaikkaohjaajakysely'!A:I,COLUMN('2.6 Työpaikkaohjaajakysely'!H:H),FALSE),1),0)</f>
        <v>15819491.699999999</v>
      </c>
      <c r="Y106" s="10">
        <f>IFERROR(Ohj.lask.[[#This Row],[Painotetut pisteet 6]]/Ohj.lask.[[#Totals],[Painotetut pisteet 6]],0)</f>
        <v>4.6098546469566001E-2</v>
      </c>
      <c r="Z106" s="17">
        <f>ROUND(IFERROR('1.1 Jakotaulu'!M$20*Ohj.lask.[[#This Row],[%-osuus 6]],0),0)</f>
        <v>1070289</v>
      </c>
      <c r="AA106" s="139">
        <f>IFERROR(ROUND(VLOOKUP(Ohj.lask.[[#This Row],[Y-tunnus]],'2.7 Työpaikkakysely'!A:G,COLUMN('2.7 Työpaikkakysely'!F:F),FALSE),1),0)</f>
        <v>5331769.8</v>
      </c>
      <c r="AB106" s="10">
        <f>IFERROR(Ohj.lask.[[#This Row],[Pisteet 7]]/Ohj.lask.[[#Totals],[Pisteet 7]],0)</f>
        <v>2.605327867910421E-2</v>
      </c>
      <c r="AC106" s="17">
        <f>ROUND(IFERROR('1.1 Jakotaulu'!M$21*Ohj.lask.[[#This Row],[%-osuus 7]],0),0)</f>
        <v>201630</v>
      </c>
      <c r="AD106" s="13">
        <f>IFERROR(Ohj.lask.[[#This Row],[Jaettava € 8]]/Ohj.lask.[[#Totals],[Jaettava € 8]],"")</f>
        <v>3.1528441582030969E-2</v>
      </c>
      <c r="AE10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64344158</v>
      </c>
      <c r="AF106" s="103">
        <v>0</v>
      </c>
      <c r="AG106" s="103">
        <v>15000</v>
      </c>
      <c r="AH106" s="107">
        <v>0</v>
      </c>
      <c r="AI106" s="33">
        <v>91000</v>
      </c>
      <c r="AJ106" s="107">
        <v>41000</v>
      </c>
      <c r="AK10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147000</v>
      </c>
      <c r="AL106" s="11">
        <f>Ohj.lask.[[#This Row],[Jaettava € 1]]+Ohj.lask.[[#This Row],[Harkinnanvarainen korotus yhteensä, €]]</f>
        <v>44495032</v>
      </c>
      <c r="AM106" s="103">
        <f>Ohj.lask.[[#This Row],[Jaettava € 2]]</f>
        <v>12957388</v>
      </c>
      <c r="AN106" s="11">
        <f>Ohj.lask.[[#This Row],[Jaettava € 3]]+Ohj.lask.[[#This Row],[Jaettava € 4]]+Ohj.lask.[[#This Row],[Jaettava € 5]]+Ohj.lask.[[#This Row],[Jaettava € 6]]+Ohj.lask.[[#This Row],[Jaettava € 7]]</f>
        <v>7038738</v>
      </c>
      <c r="AO106" s="34">
        <f>Ohj.lask.[[#This Row],[Jaettava € 8]]+Ohj.lask.[[#This Row],[Harkinnanvarainen korotus yhteensä, €]]</f>
        <v>64491158</v>
      </c>
      <c r="AP106" s="12">
        <v>0</v>
      </c>
      <c r="AQ106" s="34">
        <f>Ohj.lask.[[#This Row],[Perus-, suoritus- ja vaikuttavuusrahoitus yhteensä, €]]+Ohj.lask.[[#This Row],[Alv-korvaus, €]]</f>
        <v>64491158</v>
      </c>
    </row>
    <row r="107" spans="1:43" ht="12.75" x14ac:dyDescent="0.2">
      <c r="A107" s="4" t="s">
        <v>218</v>
      </c>
      <c r="B107" s="8" t="s">
        <v>99</v>
      </c>
      <c r="C107" s="8" t="s">
        <v>200</v>
      </c>
      <c r="D107" s="8" t="s">
        <v>325</v>
      </c>
      <c r="E107" s="8" t="s">
        <v>375</v>
      </c>
      <c r="F107" s="106">
        <v>4109</v>
      </c>
      <c r="G107" s="33">
        <v>4448</v>
      </c>
      <c r="H107" s="9">
        <f>IFERROR(VLOOKUP(Ohj.lask.[[#This Row],[Y-tunnus]],'2.1 Toteut. op.vuodet'!$A:$T,COLUMN('2.1 Toteut. op.vuodet'!S:S),FALSE),0)</f>
        <v>1.1615582310453663</v>
      </c>
      <c r="I107" s="74">
        <f t="shared" si="3"/>
        <v>5166.6000000000004</v>
      </c>
      <c r="J107" s="10">
        <f>IFERROR(Ohj.lask.[[#This Row],[Painotetut opiskelija-vuodet]]/Ohj.lask.[[#Totals],[Painotetut opiskelija-vuodet]],0)</f>
        <v>2.5089595291512487E-2</v>
      </c>
      <c r="K107" s="11">
        <f>ROUND(IFERROR('1.1 Jakotaulu'!L$12*Ohj.lask.[[#This Row],[%-osuus 1]],0),0)</f>
        <v>35669802</v>
      </c>
      <c r="L107" s="139">
        <f>IFERROR(ROUND(VLOOKUP(Ohj.lask.[[#This Row],[Y-tunnus]],'2.2 Tutk. ja osien pain. pist.'!$A:$Q,COLUMN('2.2 Tutk. ja osien pain. pist.'!O:O),FALSE),1),0)</f>
        <v>402067.5</v>
      </c>
      <c r="M107" s="10">
        <f>IFERROR(Ohj.lask.[[#This Row],[Painotetut pisteet 2]]/Ohj.lask.[[#Totals],[Painotetut pisteet 2]],0)</f>
        <v>2.5528387963610545E-2</v>
      </c>
      <c r="N107" s="17">
        <f>ROUND(IFERROR('1.1 Jakotaulu'!K$13*Ohj.lask.[[#This Row],[%-osuus 2]],0),0)</f>
        <v>10536970</v>
      </c>
      <c r="O107" s="140">
        <f>IFERROR(ROUND(VLOOKUP(Ohj.lask.[[#This Row],[Y-tunnus]],'2.3 Työll. ja jatko-opisk.'!$A:$Y,COLUMN('2.3 Työll. ja jatko-opisk.'!L:L),FALSE),1),0)</f>
        <v>8971.5</v>
      </c>
      <c r="P107" s="10">
        <f>IFERROR(Ohj.lask.[[#This Row],[Painotetut pisteet 3]]/Ohj.lask.[[#Totals],[Painotetut pisteet 3]],0)</f>
        <v>2.6580213939391247E-2</v>
      </c>
      <c r="Q107" s="11">
        <f>ROUND(IFERROR('1.1 Jakotaulu'!L$15*Ohj.lask.[[#This Row],[%-osuus 3]],0),0)</f>
        <v>3839881</v>
      </c>
      <c r="R107" s="139">
        <f>IFERROR(ROUND(VLOOKUP(Ohj.lask.[[#This Row],[Y-tunnus]],'2.4 Aloittaneet palaute'!$A:$I,COLUMN('2.4 Aloittaneet palaute'!H:H),FALSE),1),0)</f>
        <v>45032.2</v>
      </c>
      <c r="S107" s="14">
        <f>IFERROR(Ohj.lask.[[#This Row],[Painotetut pisteet 4]]/Ohj.lask.[[#Totals],[Painotetut pisteet 4]],0)</f>
        <v>2.5900674529205053E-2</v>
      </c>
      <c r="T107" s="17">
        <f>ROUND(IFERROR('1.1 Jakotaulu'!M$17*Ohj.lask.[[#This Row],[%-osuus 4]],0),0)</f>
        <v>200449</v>
      </c>
      <c r="U107" s="139">
        <f>IFERROR(ROUND(VLOOKUP(Ohj.lask.[[#This Row],[Y-tunnus]],'2.5 Päättäneet palaute'!$A:$Y,COLUMN('2.5 Päättäneet palaute'!X:X),FALSE),1),0)</f>
        <v>305658.8</v>
      </c>
      <c r="V107" s="14">
        <f>IFERROR(Ohj.lask.[[#This Row],[Painotetut pisteet 5]]/Ohj.lask.[[#Totals],[Painotetut pisteet 5]],0)</f>
        <v>2.7545032781835732E-2</v>
      </c>
      <c r="W107" s="17">
        <f>ROUND(IFERROR('1.1 Jakotaulu'!M$18*Ohj.lask.[[#This Row],[%-osuus 5]],0),0)</f>
        <v>639524</v>
      </c>
      <c r="X107" s="139">
        <f>IFERROR(ROUND(VLOOKUP(Ohj.lask.[[#This Row],[Y-tunnus]],'2.6 Työpaikkaohjaajakysely'!A:I,COLUMN('2.6 Työpaikkaohjaajakysely'!H:H),FALSE),1),0)</f>
        <v>10410427.9</v>
      </c>
      <c r="Y107" s="10">
        <f>IFERROR(Ohj.lask.[[#This Row],[Painotetut pisteet 6]]/Ohj.lask.[[#Totals],[Painotetut pisteet 6]],0)</f>
        <v>3.0336347299718642E-2</v>
      </c>
      <c r="Z107" s="17">
        <f>ROUND(IFERROR('1.1 Jakotaulu'!M$20*Ohj.lask.[[#This Row],[%-osuus 6]],0),0)</f>
        <v>704332</v>
      </c>
      <c r="AA107" s="139">
        <f>IFERROR(ROUND(VLOOKUP(Ohj.lask.[[#This Row],[Y-tunnus]],'2.7 Työpaikkakysely'!A:G,COLUMN('2.7 Työpaikkakysely'!F:F),FALSE),1),0)</f>
        <v>7858146</v>
      </c>
      <c r="AB107" s="10">
        <f>IFERROR(Ohj.lask.[[#This Row],[Pisteet 7]]/Ohj.lask.[[#Totals],[Pisteet 7]],0)</f>
        <v>3.8398219600382602E-2</v>
      </c>
      <c r="AC107" s="17">
        <f>ROUND(IFERROR('1.1 Jakotaulu'!M$21*Ohj.lask.[[#This Row],[%-osuus 7]],0),0)</f>
        <v>297169</v>
      </c>
      <c r="AD107" s="13">
        <f>IFERROR(Ohj.lask.[[#This Row],[Jaettava € 8]]/Ohj.lask.[[#Totals],[Jaettava € 8]],"")</f>
        <v>2.542502430322429E-2</v>
      </c>
      <c r="AE10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51888127</v>
      </c>
      <c r="AF107" s="103">
        <v>0</v>
      </c>
      <c r="AG107" s="103">
        <v>0</v>
      </c>
      <c r="AH107" s="107">
        <v>0</v>
      </c>
      <c r="AI107" s="33">
        <v>63000</v>
      </c>
      <c r="AJ107" s="107">
        <v>11000</v>
      </c>
      <c r="AK10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74000</v>
      </c>
      <c r="AL107" s="11">
        <f>Ohj.lask.[[#This Row],[Jaettava € 1]]+Ohj.lask.[[#This Row],[Harkinnanvarainen korotus yhteensä, €]]</f>
        <v>35743802</v>
      </c>
      <c r="AM107" s="103">
        <f>Ohj.lask.[[#This Row],[Jaettava € 2]]</f>
        <v>10536970</v>
      </c>
      <c r="AN107" s="11">
        <f>Ohj.lask.[[#This Row],[Jaettava € 3]]+Ohj.lask.[[#This Row],[Jaettava € 4]]+Ohj.lask.[[#This Row],[Jaettava € 5]]+Ohj.lask.[[#This Row],[Jaettava € 6]]+Ohj.lask.[[#This Row],[Jaettava € 7]]</f>
        <v>5681355</v>
      </c>
      <c r="AO107" s="34">
        <f>Ohj.lask.[[#This Row],[Jaettava € 8]]+Ohj.lask.[[#This Row],[Harkinnanvarainen korotus yhteensä, €]]</f>
        <v>51962127</v>
      </c>
      <c r="AP107" s="12">
        <v>0</v>
      </c>
      <c r="AQ107" s="34">
        <f>Ohj.lask.[[#This Row],[Perus-, suoritus- ja vaikuttavuusrahoitus yhteensä, €]]+Ohj.lask.[[#This Row],[Alv-korvaus, €]]</f>
        <v>51962127</v>
      </c>
    </row>
    <row r="108" spans="1:43" ht="12.75" x14ac:dyDescent="0.2">
      <c r="A108" s="4" t="s">
        <v>217</v>
      </c>
      <c r="B108" s="8" t="s">
        <v>100</v>
      </c>
      <c r="C108" s="8" t="s">
        <v>174</v>
      </c>
      <c r="D108" s="8" t="s">
        <v>326</v>
      </c>
      <c r="E108" s="8" t="s">
        <v>375</v>
      </c>
      <c r="F108" s="106">
        <v>1564</v>
      </c>
      <c r="G108" s="33">
        <v>1924</v>
      </c>
      <c r="H108" s="9">
        <f>IFERROR(VLOOKUP(Ohj.lask.[[#This Row],[Y-tunnus]],'2.1 Toteut. op.vuodet'!$A:$T,COLUMN('2.1 Toteut. op.vuodet'!S:S),FALSE),0)</f>
        <v>1.0831171698952728</v>
      </c>
      <c r="I108" s="74">
        <f t="shared" si="3"/>
        <v>2083.9</v>
      </c>
      <c r="J108" s="10">
        <f>IFERROR(Ohj.lask.[[#This Row],[Painotetut opiskelija-vuodet]]/Ohj.lask.[[#Totals],[Painotetut opiskelija-vuodet]],0)</f>
        <v>1.0119654633217758E-2</v>
      </c>
      <c r="K108" s="11">
        <f>ROUND(IFERROR('1.1 Jakotaulu'!L$12*Ohj.lask.[[#This Row],[%-osuus 1]],0),0)</f>
        <v>14387083</v>
      </c>
      <c r="L108" s="139">
        <f>IFERROR(ROUND(VLOOKUP(Ohj.lask.[[#This Row],[Y-tunnus]],'2.2 Tutk. ja osien pain. pist.'!$A:$Q,COLUMN('2.2 Tutk. ja osien pain. pist.'!O:O),FALSE),1),0)</f>
        <v>196415.6</v>
      </c>
      <c r="M108" s="10">
        <f>IFERROR(Ohj.lask.[[#This Row],[Painotetut pisteet 2]]/Ohj.lask.[[#Totals],[Painotetut pisteet 2]],0)</f>
        <v>1.2470974746542169E-2</v>
      </c>
      <c r="N108" s="17">
        <f>ROUND(IFERROR('1.1 Jakotaulu'!K$13*Ohj.lask.[[#This Row],[%-osuus 2]],0),0)</f>
        <v>5147457</v>
      </c>
      <c r="O108" s="140">
        <f>IFERROR(ROUND(VLOOKUP(Ohj.lask.[[#This Row],[Y-tunnus]],'2.3 Työll. ja jatko-opisk.'!$A:$Y,COLUMN('2.3 Työll. ja jatko-opisk.'!L:L),FALSE),1),0)</f>
        <v>4411</v>
      </c>
      <c r="P108" s="10">
        <f>IFERROR(Ohj.lask.[[#This Row],[Painotetut pisteet 3]]/Ohj.lask.[[#Totals],[Painotetut pisteet 3]],0)</f>
        <v>1.3068642221106257E-2</v>
      </c>
      <c r="Q108" s="11">
        <f>ROUND(IFERROR('1.1 Jakotaulu'!L$15*Ohj.lask.[[#This Row],[%-osuus 3]],0),0)</f>
        <v>1887947</v>
      </c>
      <c r="R108" s="139">
        <f>IFERROR(ROUND(VLOOKUP(Ohj.lask.[[#This Row],[Y-tunnus]],'2.4 Aloittaneet palaute'!$A:$I,COLUMN('2.4 Aloittaneet palaute'!H:H),FALSE),1),0)</f>
        <v>23066</v>
      </c>
      <c r="S108" s="14">
        <f>IFERROR(Ohj.lask.[[#This Row],[Painotetut pisteet 4]]/Ohj.lask.[[#Totals],[Painotetut pisteet 4]],0)</f>
        <v>1.3266617191490616E-2</v>
      </c>
      <c r="T108" s="17">
        <f>ROUND(IFERROR('1.1 Jakotaulu'!M$17*Ohj.lask.[[#This Row],[%-osuus 4]],0),0)</f>
        <v>102672</v>
      </c>
      <c r="U108" s="139">
        <f>IFERROR(ROUND(VLOOKUP(Ohj.lask.[[#This Row],[Y-tunnus]],'2.5 Päättäneet palaute'!$A:$Y,COLUMN('2.5 Päättäneet palaute'!X:X),FALSE),1),0)</f>
        <v>147194.79999999999</v>
      </c>
      <c r="V108" s="14">
        <f>IFERROR(Ohj.lask.[[#This Row],[Painotetut pisteet 5]]/Ohj.lask.[[#Totals],[Painotetut pisteet 5]],0)</f>
        <v>1.3264743535326822E-2</v>
      </c>
      <c r="W108" s="17">
        <f>ROUND(IFERROR('1.1 Jakotaulu'!M$18*Ohj.lask.[[#This Row],[%-osuus 5]],0),0)</f>
        <v>307973</v>
      </c>
      <c r="X108" s="139">
        <f>IFERROR(ROUND(VLOOKUP(Ohj.lask.[[#This Row],[Y-tunnus]],'2.6 Työpaikkaohjaajakysely'!A:I,COLUMN('2.6 Työpaikkaohjaajakysely'!H:H),FALSE),1),0)</f>
        <v>3504550.8</v>
      </c>
      <c r="Y108" s="10">
        <f>IFERROR(Ohj.lask.[[#This Row],[Painotetut pisteet 6]]/Ohj.lask.[[#Totals],[Painotetut pisteet 6]],0)</f>
        <v>1.0212382355417571E-2</v>
      </c>
      <c r="Z108" s="17">
        <f>ROUND(IFERROR('1.1 Jakotaulu'!M$20*Ohj.lask.[[#This Row],[%-osuus 6]],0),0)</f>
        <v>237105</v>
      </c>
      <c r="AA108" s="139">
        <f>IFERROR(ROUND(VLOOKUP(Ohj.lask.[[#This Row],[Y-tunnus]],'2.7 Työpaikkakysely'!A:G,COLUMN('2.7 Työpaikkakysely'!F:F),FALSE),1),0)</f>
        <v>4637507.4000000004</v>
      </c>
      <c r="AB108" s="10">
        <f>IFERROR(Ohj.lask.[[#This Row],[Pisteet 7]]/Ohj.lask.[[#Totals],[Pisteet 7]],0)</f>
        <v>2.2660819427839516E-2</v>
      </c>
      <c r="AC108" s="17">
        <f>ROUND(IFERROR('1.1 Jakotaulu'!M$21*Ohj.lask.[[#This Row],[%-osuus 7]],0),0)</f>
        <v>175375</v>
      </c>
      <c r="AD108" s="13">
        <f>IFERROR(Ohj.lask.[[#This Row],[Jaettava € 8]]/Ohj.lask.[[#Totals],[Jaettava € 8]],"")</f>
        <v>1.090028217322429E-2</v>
      </c>
      <c r="AE10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22245612</v>
      </c>
      <c r="AF108" s="103">
        <v>0</v>
      </c>
      <c r="AG108" s="103">
        <v>0</v>
      </c>
      <c r="AH108" s="107">
        <v>0</v>
      </c>
      <c r="AI108" s="33">
        <v>47000</v>
      </c>
      <c r="AJ108" s="107">
        <v>0</v>
      </c>
      <c r="AK10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47000</v>
      </c>
      <c r="AL108" s="11">
        <f>Ohj.lask.[[#This Row],[Jaettava € 1]]+Ohj.lask.[[#This Row],[Harkinnanvarainen korotus yhteensä, €]]</f>
        <v>14434083</v>
      </c>
      <c r="AM108" s="103">
        <f>Ohj.lask.[[#This Row],[Jaettava € 2]]</f>
        <v>5147457</v>
      </c>
      <c r="AN108" s="11">
        <f>Ohj.lask.[[#This Row],[Jaettava € 3]]+Ohj.lask.[[#This Row],[Jaettava € 4]]+Ohj.lask.[[#This Row],[Jaettava € 5]]+Ohj.lask.[[#This Row],[Jaettava € 6]]+Ohj.lask.[[#This Row],[Jaettava € 7]]</f>
        <v>2711072</v>
      </c>
      <c r="AO108" s="34">
        <f>Ohj.lask.[[#This Row],[Jaettava € 8]]+Ohj.lask.[[#This Row],[Harkinnanvarainen korotus yhteensä, €]]</f>
        <v>22292612</v>
      </c>
      <c r="AP108" s="12">
        <v>814260</v>
      </c>
      <c r="AQ108" s="34">
        <f>Ohj.lask.[[#This Row],[Perus-, suoritus- ja vaikuttavuusrahoitus yhteensä, €]]+Ohj.lask.[[#This Row],[Alv-korvaus, €]]</f>
        <v>23106872</v>
      </c>
    </row>
    <row r="109" spans="1:43" ht="12.75" x14ac:dyDescent="0.2">
      <c r="A109" s="4" t="s">
        <v>216</v>
      </c>
      <c r="B109" s="8" t="s">
        <v>146</v>
      </c>
      <c r="C109" s="8" t="s">
        <v>215</v>
      </c>
      <c r="D109" s="8" t="s">
        <v>326</v>
      </c>
      <c r="E109" s="8" t="s">
        <v>375</v>
      </c>
      <c r="F109" s="106">
        <v>49</v>
      </c>
      <c r="G109" s="33">
        <v>51</v>
      </c>
      <c r="H109" s="9">
        <f>IFERROR(VLOOKUP(Ohj.lask.[[#This Row],[Y-tunnus]],'2.1 Toteut. op.vuodet'!$A:$T,COLUMN('2.1 Toteut. op.vuodet'!S:S),FALSE),0)</f>
        <v>0.95000000000000306</v>
      </c>
      <c r="I109" s="74">
        <f t="shared" si="3"/>
        <v>48.5</v>
      </c>
      <c r="J109" s="10">
        <f>IFERROR(Ohj.lask.[[#This Row],[Painotetut opiskelija-vuodet]]/Ohj.lask.[[#Totals],[Painotetut opiskelija-vuodet]],0)</f>
        <v>2.3552149801384962E-4</v>
      </c>
      <c r="K109" s="11">
        <f>ROUND(IFERROR('1.1 Jakotaulu'!L$12*Ohj.lask.[[#This Row],[%-osuus 1]],0),0)</f>
        <v>334840</v>
      </c>
      <c r="L109" s="139">
        <f>IFERROR(ROUND(VLOOKUP(Ohj.lask.[[#This Row],[Y-tunnus]],'2.2 Tutk. ja osien pain. pist.'!$A:$Q,COLUMN('2.2 Tutk. ja osien pain. pist.'!O:O),FALSE),1),0)</f>
        <v>0</v>
      </c>
      <c r="M109" s="10">
        <f>IFERROR(Ohj.lask.[[#This Row],[Painotetut pisteet 2]]/Ohj.lask.[[#Totals],[Painotetut pisteet 2]],0)</f>
        <v>0</v>
      </c>
      <c r="N109" s="17">
        <f>ROUND(IFERROR('1.1 Jakotaulu'!K$13*Ohj.lask.[[#This Row],[%-osuus 2]],0),0)</f>
        <v>0</v>
      </c>
      <c r="O109" s="140">
        <f>IFERROR(ROUND(VLOOKUP(Ohj.lask.[[#This Row],[Y-tunnus]],'2.3 Työll. ja jatko-opisk.'!$A:$Y,COLUMN('2.3 Työll. ja jatko-opisk.'!L:L),FALSE),1),0)</f>
        <v>0</v>
      </c>
      <c r="P109" s="10">
        <f>IFERROR(Ohj.lask.[[#This Row],[Painotetut pisteet 3]]/Ohj.lask.[[#Totals],[Painotetut pisteet 3]],0)</f>
        <v>0</v>
      </c>
      <c r="Q109" s="11">
        <f>ROUND(IFERROR('1.1 Jakotaulu'!L$15*Ohj.lask.[[#This Row],[%-osuus 3]],0),0)</f>
        <v>0</v>
      </c>
      <c r="R109" s="139">
        <f>IFERROR(ROUND(VLOOKUP(Ohj.lask.[[#This Row],[Y-tunnus]],'2.4 Aloittaneet palaute'!$A:$I,COLUMN('2.4 Aloittaneet palaute'!H:H),FALSE),1),0)</f>
        <v>0</v>
      </c>
      <c r="S109" s="14">
        <f>IFERROR(Ohj.lask.[[#This Row],[Painotetut pisteet 4]]/Ohj.lask.[[#Totals],[Painotetut pisteet 4]],0)</f>
        <v>0</v>
      </c>
      <c r="T109" s="17">
        <f>ROUND(IFERROR('1.1 Jakotaulu'!M$17*Ohj.lask.[[#This Row],[%-osuus 4]],0),0)</f>
        <v>0</v>
      </c>
      <c r="U109" s="139">
        <f>IFERROR(ROUND(VLOOKUP(Ohj.lask.[[#This Row],[Y-tunnus]],'2.5 Päättäneet palaute'!$A:$Y,COLUMN('2.5 Päättäneet palaute'!X:X),FALSE),1),0)</f>
        <v>0</v>
      </c>
      <c r="V109" s="14">
        <f>IFERROR(Ohj.lask.[[#This Row],[Painotetut pisteet 5]]/Ohj.lask.[[#Totals],[Painotetut pisteet 5]],0)</f>
        <v>0</v>
      </c>
      <c r="W109" s="17">
        <f>ROUND(IFERROR('1.1 Jakotaulu'!M$18*Ohj.lask.[[#This Row],[%-osuus 5]],0),0)</f>
        <v>0</v>
      </c>
      <c r="X109" s="139">
        <f>IFERROR(ROUND(VLOOKUP(Ohj.lask.[[#This Row],[Y-tunnus]],'2.6 Työpaikkaohjaajakysely'!A:I,COLUMN('2.6 Työpaikkaohjaajakysely'!H:H),FALSE),1),0)</f>
        <v>0</v>
      </c>
      <c r="Y109" s="10">
        <f>IFERROR(Ohj.lask.[[#This Row],[Painotetut pisteet 6]]/Ohj.lask.[[#Totals],[Painotetut pisteet 6]],0)</f>
        <v>0</v>
      </c>
      <c r="Z109" s="17">
        <f>ROUND(IFERROR('1.1 Jakotaulu'!M$20*Ohj.lask.[[#This Row],[%-osuus 6]],0),0)</f>
        <v>0</v>
      </c>
      <c r="AA109" s="139">
        <f>IFERROR(ROUND(VLOOKUP(Ohj.lask.[[#This Row],[Y-tunnus]],'2.7 Työpaikkakysely'!A:G,COLUMN('2.7 Työpaikkakysely'!F:F),FALSE),1),0)</f>
        <v>0</v>
      </c>
      <c r="AB109" s="10">
        <f>IFERROR(Ohj.lask.[[#This Row],[Pisteet 7]]/Ohj.lask.[[#Totals],[Pisteet 7]],0)</f>
        <v>0</v>
      </c>
      <c r="AC109" s="17">
        <f>ROUND(IFERROR('1.1 Jakotaulu'!M$21*Ohj.lask.[[#This Row],[%-osuus 7]],0),0)</f>
        <v>0</v>
      </c>
      <c r="AD109" s="13">
        <f>IFERROR(Ohj.lask.[[#This Row],[Jaettava € 8]]/Ohj.lask.[[#Totals],[Jaettava € 8]],"")</f>
        <v>1.6407058088050897E-4</v>
      </c>
      <c r="AE10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334840</v>
      </c>
      <c r="AF109" s="103">
        <v>6750000</v>
      </c>
      <c r="AG109" s="103">
        <v>0</v>
      </c>
      <c r="AH109" s="107">
        <v>0</v>
      </c>
      <c r="AI109" s="33">
        <v>0</v>
      </c>
      <c r="AJ109" s="107">
        <v>0</v>
      </c>
      <c r="AK10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6750000</v>
      </c>
      <c r="AL109" s="11">
        <f>Ohj.lask.[[#This Row],[Jaettava € 1]]+Ohj.lask.[[#This Row],[Harkinnanvarainen korotus yhteensä, €]]</f>
        <v>7084840</v>
      </c>
      <c r="AM109" s="103">
        <f>Ohj.lask.[[#This Row],[Jaettava € 2]]</f>
        <v>0</v>
      </c>
      <c r="AN109" s="11">
        <f>Ohj.lask.[[#This Row],[Jaettava € 3]]+Ohj.lask.[[#This Row],[Jaettava € 4]]+Ohj.lask.[[#This Row],[Jaettava € 5]]+Ohj.lask.[[#This Row],[Jaettava € 6]]+Ohj.lask.[[#This Row],[Jaettava € 7]]</f>
        <v>0</v>
      </c>
      <c r="AO109" s="34">
        <f>Ohj.lask.[[#This Row],[Jaettava € 8]]+Ohj.lask.[[#This Row],[Harkinnanvarainen korotus yhteensä, €]]</f>
        <v>7084840</v>
      </c>
      <c r="AP109" s="12">
        <v>1026887</v>
      </c>
      <c r="AQ109" s="34">
        <f>Ohj.lask.[[#This Row],[Perus-, suoritus- ja vaikuttavuusrahoitus yhteensä, €]]+Ohj.lask.[[#This Row],[Alv-korvaus, €]]</f>
        <v>8111727</v>
      </c>
    </row>
    <row r="110" spans="1:43" ht="12.75" x14ac:dyDescent="0.2">
      <c r="A110" s="4" t="s">
        <v>214</v>
      </c>
      <c r="B110" s="8" t="s">
        <v>101</v>
      </c>
      <c r="C110" s="8" t="s">
        <v>174</v>
      </c>
      <c r="D110" s="8" t="s">
        <v>326</v>
      </c>
      <c r="E110" s="8" t="s">
        <v>375</v>
      </c>
      <c r="F110" s="106">
        <v>27</v>
      </c>
      <c r="G110" s="33">
        <v>27</v>
      </c>
      <c r="H110" s="9">
        <f>IFERROR(VLOOKUP(Ohj.lask.[[#This Row],[Y-tunnus]],'2.1 Toteut. op.vuodet'!$A:$T,COLUMN('2.1 Toteut. op.vuodet'!S:S),FALSE),0)</f>
        <v>1.1279345300950372</v>
      </c>
      <c r="I110" s="74">
        <f t="shared" si="3"/>
        <v>30.5</v>
      </c>
      <c r="J110" s="10">
        <f>IFERROR(Ohj.lask.[[#This Row],[Painotetut opiskelija-vuodet]]/Ohj.lask.[[#Totals],[Painotetut opiskelija-vuodet]],0)</f>
        <v>1.481114575138642E-4</v>
      </c>
      <c r="K110" s="11">
        <f>ROUND(IFERROR('1.1 Jakotaulu'!L$12*Ohj.lask.[[#This Row],[%-osuus 1]],0),0)</f>
        <v>210570</v>
      </c>
      <c r="L110" s="139">
        <f>IFERROR(ROUND(VLOOKUP(Ohj.lask.[[#This Row],[Y-tunnus]],'2.2 Tutk. ja osien pain. pist.'!$A:$Q,COLUMN('2.2 Tutk. ja osien pain. pist.'!O:O),FALSE),1),0)</f>
        <v>3034.6</v>
      </c>
      <c r="M110" s="10">
        <f>IFERROR(Ohj.lask.[[#This Row],[Painotetut pisteet 2]]/Ohj.lask.[[#Totals],[Painotetut pisteet 2]],0)</f>
        <v>1.9267522521559827E-4</v>
      </c>
      <c r="N110" s="17">
        <f>ROUND(IFERROR('1.1 Jakotaulu'!K$13*Ohj.lask.[[#This Row],[%-osuus 2]],0),0)</f>
        <v>79528</v>
      </c>
      <c r="O110" s="140">
        <f>IFERROR(ROUND(VLOOKUP(Ohj.lask.[[#This Row],[Y-tunnus]],'2.3 Työll. ja jatko-opisk.'!$A:$Y,COLUMN('2.3 Työll. ja jatko-opisk.'!L:L),FALSE),1),0)</f>
        <v>100.9</v>
      </c>
      <c r="P110" s="10">
        <f>IFERROR(Ohj.lask.[[#This Row],[Painotetut pisteet 3]]/Ohj.lask.[[#Totals],[Painotetut pisteet 3]],0)</f>
        <v>2.9894037635674935E-4</v>
      </c>
      <c r="Q110" s="11">
        <f>ROUND(IFERROR('1.1 Jakotaulu'!L$15*Ohj.lask.[[#This Row],[%-osuus 3]],0),0)</f>
        <v>43186</v>
      </c>
      <c r="R110" s="139">
        <f>IFERROR(ROUND(VLOOKUP(Ohj.lask.[[#This Row],[Y-tunnus]],'2.4 Aloittaneet palaute'!$A:$I,COLUMN('2.4 Aloittaneet palaute'!H:H),FALSE),1),0)</f>
        <v>93</v>
      </c>
      <c r="S110" s="14">
        <f>IFERROR(Ohj.lask.[[#This Row],[Painotetut pisteet 4]]/Ohj.lask.[[#Totals],[Painotetut pisteet 4]],0)</f>
        <v>5.3489785780309868E-5</v>
      </c>
      <c r="T110" s="17">
        <f>ROUND(IFERROR('1.1 Jakotaulu'!M$17*Ohj.lask.[[#This Row],[%-osuus 4]],0),0)</f>
        <v>414</v>
      </c>
      <c r="U110" s="139">
        <f>IFERROR(ROUND(VLOOKUP(Ohj.lask.[[#This Row],[Y-tunnus]],'2.5 Päättäneet palaute'!$A:$Y,COLUMN('2.5 Päättäneet palaute'!X:X),FALSE),1),0)</f>
        <v>1059.5999999999999</v>
      </c>
      <c r="V110" s="14">
        <f>IFERROR(Ohj.lask.[[#This Row],[Painotetut pisteet 5]]/Ohj.lask.[[#Totals],[Painotetut pisteet 5]],0)</f>
        <v>9.5487899368947143E-5</v>
      </c>
      <c r="W110" s="17">
        <f>ROUND(IFERROR('1.1 Jakotaulu'!M$18*Ohj.lask.[[#This Row],[%-osuus 5]],0),0)</f>
        <v>2217</v>
      </c>
      <c r="X110" s="139">
        <f>IFERROR(ROUND(VLOOKUP(Ohj.lask.[[#This Row],[Y-tunnus]],'2.6 Työpaikkaohjaajakysely'!A:I,COLUMN('2.6 Työpaikkaohjaajakysely'!H:H),FALSE),1),0)</f>
        <v>0</v>
      </c>
      <c r="Y110" s="10">
        <f>IFERROR(Ohj.lask.[[#This Row],[Painotetut pisteet 6]]/Ohj.lask.[[#Totals],[Painotetut pisteet 6]],0)</f>
        <v>0</v>
      </c>
      <c r="Z110" s="17">
        <f>ROUND(IFERROR('1.1 Jakotaulu'!M$20*Ohj.lask.[[#This Row],[%-osuus 6]],0),0)</f>
        <v>0</v>
      </c>
      <c r="AA110" s="139">
        <f>IFERROR(ROUND(VLOOKUP(Ohj.lask.[[#This Row],[Y-tunnus]],'2.7 Työpaikkakysely'!A:G,COLUMN('2.7 Työpaikkakysely'!F:F),FALSE),1),0)</f>
        <v>0</v>
      </c>
      <c r="AB110" s="10">
        <f>IFERROR(Ohj.lask.[[#This Row],[Pisteet 7]]/Ohj.lask.[[#Totals],[Pisteet 7]],0)</f>
        <v>0</v>
      </c>
      <c r="AC110" s="17">
        <f>ROUND(IFERROR('1.1 Jakotaulu'!M$21*Ohj.lask.[[#This Row],[%-osuus 7]],0),0)</f>
        <v>0</v>
      </c>
      <c r="AD110" s="13">
        <f>IFERROR(Ohj.lask.[[#This Row],[Jaettava € 8]]/Ohj.lask.[[#Totals],[Jaettava € 8]],"")</f>
        <v>1.6459732760863748E-4</v>
      </c>
      <c r="AE11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335915</v>
      </c>
      <c r="AF110" s="103">
        <v>310000</v>
      </c>
      <c r="AG110" s="103">
        <v>0</v>
      </c>
      <c r="AH110" s="107">
        <v>0</v>
      </c>
      <c r="AI110" s="33">
        <v>0</v>
      </c>
      <c r="AJ110" s="107">
        <v>0</v>
      </c>
      <c r="AK11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310000</v>
      </c>
      <c r="AL110" s="11">
        <f>Ohj.lask.[[#This Row],[Jaettava € 1]]+Ohj.lask.[[#This Row],[Harkinnanvarainen korotus yhteensä, €]]</f>
        <v>520570</v>
      </c>
      <c r="AM110" s="103">
        <f>Ohj.lask.[[#This Row],[Jaettava € 2]]</f>
        <v>79528</v>
      </c>
      <c r="AN110" s="11">
        <f>Ohj.lask.[[#This Row],[Jaettava € 3]]+Ohj.lask.[[#This Row],[Jaettava € 4]]+Ohj.lask.[[#This Row],[Jaettava € 5]]+Ohj.lask.[[#This Row],[Jaettava € 6]]+Ohj.lask.[[#This Row],[Jaettava € 7]]</f>
        <v>45817</v>
      </c>
      <c r="AO110" s="34">
        <f>Ohj.lask.[[#This Row],[Jaettava € 8]]+Ohj.lask.[[#This Row],[Harkinnanvarainen korotus yhteensä, €]]</f>
        <v>645915</v>
      </c>
      <c r="AP110" s="12">
        <v>25536</v>
      </c>
      <c r="AQ110" s="34">
        <f>Ohj.lask.[[#This Row],[Perus-, suoritus- ja vaikuttavuusrahoitus yhteensä, €]]+Ohj.lask.[[#This Row],[Alv-korvaus, €]]</f>
        <v>671451</v>
      </c>
    </row>
    <row r="111" spans="1:43" ht="12.75" x14ac:dyDescent="0.2">
      <c r="A111" s="4" t="s">
        <v>213</v>
      </c>
      <c r="B111" s="8" t="s">
        <v>130</v>
      </c>
      <c r="C111" s="8" t="s">
        <v>174</v>
      </c>
      <c r="D111" s="8" t="s">
        <v>326</v>
      </c>
      <c r="E111" s="8" t="s">
        <v>375</v>
      </c>
      <c r="F111" s="106">
        <v>20</v>
      </c>
      <c r="G111" s="33">
        <v>17</v>
      </c>
      <c r="H111" s="9">
        <f>IFERROR(VLOOKUP(Ohj.lask.[[#This Row],[Y-tunnus]],'2.1 Toteut. op.vuodet'!$A:$T,COLUMN('2.1 Toteut. op.vuodet'!S:S),FALSE),0)</f>
        <v>0.9950999999999981</v>
      </c>
      <c r="I111" s="74">
        <f t="shared" si="3"/>
        <v>16.899999999999999</v>
      </c>
      <c r="J111" s="10">
        <f>IFERROR(Ohj.lask.[[#This Row],[Painotetut opiskelija-vuodet]]/Ohj.lask.[[#Totals],[Painotetut opiskelija-vuodet]],0)</f>
        <v>8.2068315802764094E-5</v>
      </c>
      <c r="K111" s="11">
        <f>ROUND(IFERROR('1.1 Jakotaulu'!L$12*Ohj.lask.[[#This Row],[%-osuus 1]],0),0)</f>
        <v>116676</v>
      </c>
      <c r="L111" s="139">
        <f>IFERROR(ROUND(VLOOKUP(Ohj.lask.[[#This Row],[Y-tunnus]],'2.2 Tutk. ja osien pain. pist.'!$A:$Q,COLUMN('2.2 Tutk. ja osien pain. pist.'!O:O),FALSE),1),0)</f>
        <v>2174.1</v>
      </c>
      <c r="M111" s="10">
        <f>IFERROR(Ohj.lask.[[#This Row],[Painotetut pisteet 2]]/Ohj.lask.[[#Totals],[Painotetut pisteet 2]],0)</f>
        <v>1.3803967809307064E-4</v>
      </c>
      <c r="N111" s="17">
        <f>ROUND(IFERROR('1.1 Jakotaulu'!K$13*Ohj.lask.[[#This Row],[%-osuus 2]],0),0)</f>
        <v>56977</v>
      </c>
      <c r="O111" s="140">
        <f>IFERROR(ROUND(VLOOKUP(Ohj.lask.[[#This Row],[Y-tunnus]],'2.3 Työll. ja jatko-opisk.'!$A:$Y,COLUMN('2.3 Työll. ja jatko-opisk.'!L:L),FALSE),1),0)</f>
        <v>66.3</v>
      </c>
      <c r="P111" s="10">
        <f>IFERROR(Ohj.lask.[[#This Row],[Painotetut pisteet 3]]/Ohj.lask.[[#Totals],[Painotetut pisteet 3]],0)</f>
        <v>1.9642960309665492E-4</v>
      </c>
      <c r="Q111" s="11">
        <f>ROUND(IFERROR('1.1 Jakotaulu'!L$15*Ohj.lask.[[#This Row],[%-osuus 3]],0),0)</f>
        <v>28377</v>
      </c>
      <c r="R111" s="139">
        <f>IFERROR(ROUND(VLOOKUP(Ohj.lask.[[#This Row],[Y-tunnus]],'2.4 Aloittaneet palaute'!$A:$I,COLUMN('2.4 Aloittaneet palaute'!H:H),FALSE),1),0)</f>
        <v>650.4</v>
      </c>
      <c r="S111" s="10">
        <f>IFERROR(Ohj.lask.[[#This Row],[Painotetut pisteet 4]]/Ohj.lask.[[#Totals],[Painotetut pisteet 4]],0)</f>
        <v>3.7408340507003799E-4</v>
      </c>
      <c r="T111" s="17">
        <f>ROUND(IFERROR('1.1 Jakotaulu'!M$17*Ohj.lask.[[#This Row],[%-osuus 4]],0),0)</f>
        <v>2895</v>
      </c>
      <c r="U111" s="139">
        <f>IFERROR(ROUND(VLOOKUP(Ohj.lask.[[#This Row],[Y-tunnus]],'2.5 Päättäneet palaute'!$A:$Y,COLUMN('2.5 Päättäneet palaute'!X:X),FALSE),1),0)</f>
        <v>5230.1000000000004</v>
      </c>
      <c r="V111" s="10">
        <f>IFERROR(Ohj.lask.[[#This Row],[Painotetut pisteet 5]]/Ohj.lask.[[#Totals],[Painotetut pisteet 5]],0)</f>
        <v>4.7132055727588761E-4</v>
      </c>
      <c r="W111" s="17">
        <f>ROUND(IFERROR('1.1 Jakotaulu'!M$18*Ohj.lask.[[#This Row],[%-osuus 5]],0),0)</f>
        <v>10943</v>
      </c>
      <c r="X111" s="139">
        <f>IFERROR(ROUND(VLOOKUP(Ohj.lask.[[#This Row],[Y-tunnus]],'2.6 Työpaikkaohjaajakysely'!A:I,COLUMN('2.6 Työpaikkaohjaajakysely'!H:H),FALSE),1),0)</f>
        <v>5259.1</v>
      </c>
      <c r="Y111" s="10">
        <f>IFERROR(Ohj.lask.[[#This Row],[Painotetut pisteet 6]]/Ohj.lask.[[#Totals],[Painotetut pisteet 6]],0)</f>
        <v>1.5325199465043152E-5</v>
      </c>
      <c r="Z111" s="17">
        <f>ROUND(IFERROR('1.1 Jakotaulu'!M$20*Ohj.lask.[[#This Row],[%-osuus 6]],0),0)</f>
        <v>356</v>
      </c>
      <c r="AA111" s="139">
        <f>IFERROR(ROUND(VLOOKUP(Ohj.lask.[[#This Row],[Y-tunnus]],'2.7 Työpaikkakysely'!A:G,COLUMN('2.7 Työpaikkakysely'!F:F),FALSE),1),0)</f>
        <v>3357</v>
      </c>
      <c r="AB111" s="10">
        <f>IFERROR(Ohj.lask.[[#This Row],[Pisteet 7]]/Ohj.lask.[[#Totals],[Pisteet 7]],0)</f>
        <v>1.6403719554012408E-5</v>
      </c>
      <c r="AC111" s="17">
        <f>ROUND(IFERROR('1.1 Jakotaulu'!M$21*Ohj.lask.[[#This Row],[%-osuus 7]],0),0)</f>
        <v>127</v>
      </c>
      <c r="AD111" s="13">
        <f>IFERROR(Ohj.lask.[[#This Row],[Jaettava € 8]]/Ohj.lask.[[#Totals],[Jaettava € 8]],"")</f>
        <v>1.0601133151379465E-4</v>
      </c>
      <c r="AE11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216351</v>
      </c>
      <c r="AF111" s="103">
        <v>0</v>
      </c>
      <c r="AG111" s="103">
        <v>0</v>
      </c>
      <c r="AH111" s="107">
        <v>0</v>
      </c>
      <c r="AI111" s="33">
        <v>0</v>
      </c>
      <c r="AJ111" s="107">
        <v>0</v>
      </c>
      <c r="AK11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11" s="11">
        <f>Ohj.lask.[[#This Row],[Jaettava € 1]]+Ohj.lask.[[#This Row],[Harkinnanvarainen korotus yhteensä, €]]</f>
        <v>116676</v>
      </c>
      <c r="AM111" s="103">
        <f>Ohj.lask.[[#This Row],[Jaettava € 2]]</f>
        <v>56977</v>
      </c>
      <c r="AN111" s="11">
        <f>Ohj.lask.[[#This Row],[Jaettava € 3]]+Ohj.lask.[[#This Row],[Jaettava € 4]]+Ohj.lask.[[#This Row],[Jaettava € 5]]+Ohj.lask.[[#This Row],[Jaettava € 6]]+Ohj.lask.[[#This Row],[Jaettava € 7]]</f>
        <v>42698</v>
      </c>
      <c r="AO111" s="34">
        <f>Ohj.lask.[[#This Row],[Jaettava € 8]]+Ohj.lask.[[#This Row],[Harkinnanvarainen korotus yhteensä, €]]</f>
        <v>216351</v>
      </c>
      <c r="AP111" s="12">
        <v>14253</v>
      </c>
      <c r="AQ111" s="34">
        <f>Ohj.lask.[[#This Row],[Perus-, suoritus- ja vaikuttavuusrahoitus yhteensä, €]]+Ohj.lask.[[#This Row],[Alv-korvaus, €]]</f>
        <v>230604</v>
      </c>
    </row>
    <row r="112" spans="1:43" ht="12.75" x14ac:dyDescent="0.2">
      <c r="A112" s="4" t="s">
        <v>212</v>
      </c>
      <c r="B112" s="8" t="s">
        <v>467</v>
      </c>
      <c r="C112" s="97" t="s">
        <v>201</v>
      </c>
      <c r="D112" s="97" t="s">
        <v>326</v>
      </c>
      <c r="E112" s="97" t="s">
        <v>375</v>
      </c>
      <c r="F112" s="105">
        <v>102</v>
      </c>
      <c r="G112" s="33">
        <v>101</v>
      </c>
      <c r="H112" s="9">
        <f>IFERROR(VLOOKUP(Ohj.lask.[[#This Row],[Y-tunnus]],'2.1 Toteut. op.vuodet'!$A:$T,COLUMN('2.1 Toteut. op.vuodet'!S:S),FALSE),0)</f>
        <v>1.4285471372393315</v>
      </c>
      <c r="I112" s="74">
        <f t="shared" si="3"/>
        <v>144.30000000000001</v>
      </c>
      <c r="J112" s="10">
        <f>IFERROR(Ohj.lask.[[#This Row],[Painotetut opiskelija-vuodet]]/Ohj.lask.[[#Totals],[Painotetut opiskelija-vuodet]],0)</f>
        <v>7.0073715800821664E-4</v>
      </c>
      <c r="K112" s="11">
        <f>ROUND(IFERROR('1.1 Jakotaulu'!L$12*Ohj.lask.[[#This Row],[%-osuus 1]],0),0)</f>
        <v>996236</v>
      </c>
      <c r="L112" s="139">
        <f>IFERROR(ROUND(VLOOKUP(Ohj.lask.[[#This Row],[Y-tunnus]],'2.2 Tutk. ja osien pain. pist.'!$A:$Q,COLUMN('2.2 Tutk. ja osien pain. pist.'!O:O),FALSE),1),0)</f>
        <v>10403.1</v>
      </c>
      <c r="M112" s="10">
        <f>IFERROR(Ohj.lask.[[#This Row],[Painotetut pisteet 2]]/Ohj.lask.[[#Totals],[Painotetut pisteet 2]],0)</f>
        <v>6.6052185969827672E-4</v>
      </c>
      <c r="N112" s="17">
        <f>ROUND(IFERROR('1.1 Jakotaulu'!K$13*Ohj.lask.[[#This Row],[%-osuus 2]],0),0)</f>
        <v>272634</v>
      </c>
      <c r="O112" s="140">
        <f>IFERROR(ROUND(VLOOKUP(Ohj.lask.[[#This Row],[Y-tunnus]],'2.3 Työll. ja jatko-opisk.'!$A:$Y,COLUMN('2.3 Työll. ja jatko-opisk.'!L:L),FALSE),1),0)</f>
        <v>308</v>
      </c>
      <c r="P112" s="14">
        <f>IFERROR(Ohj.lask.[[#This Row],[Painotetut pisteet 3]]/Ohj.lask.[[#Totals],[Painotetut pisteet 3]],0)</f>
        <v>9.1252364636153422E-4</v>
      </c>
      <c r="Q112" s="11">
        <f>ROUND(IFERROR('1.1 Jakotaulu'!L$15*Ohj.lask.[[#This Row],[%-osuus 3]],0),0)</f>
        <v>131827</v>
      </c>
      <c r="R112" s="139">
        <f>IFERROR(ROUND(VLOOKUP(Ohj.lask.[[#This Row],[Y-tunnus]],'2.4 Aloittaneet palaute'!$A:$I,COLUMN('2.4 Aloittaneet palaute'!H:H),FALSE),1),0)</f>
        <v>699.1</v>
      </c>
      <c r="S112" s="14">
        <f>IFERROR(Ohj.lask.[[#This Row],[Painotetut pisteet 4]]/Ohj.lask.[[#Totals],[Painotetut pisteet 4]],0)</f>
        <v>4.020936477313401E-4</v>
      </c>
      <c r="T112" s="17">
        <f>ROUND(IFERROR('1.1 Jakotaulu'!M$17*Ohj.lask.[[#This Row],[%-osuus 4]],0),0)</f>
        <v>3112</v>
      </c>
      <c r="U112" s="139">
        <f>IFERROR(ROUND(VLOOKUP(Ohj.lask.[[#This Row],[Y-tunnus]],'2.5 Päättäneet palaute'!$A:$Y,COLUMN('2.5 Päättäneet palaute'!X:X),FALSE),1),0)</f>
        <v>5446.5</v>
      </c>
      <c r="V112" s="14">
        <f>IFERROR(Ohj.lask.[[#This Row],[Painotetut pisteet 5]]/Ohj.lask.[[#Totals],[Painotetut pisteet 5]],0)</f>
        <v>4.9082186099751852E-4</v>
      </c>
      <c r="W112" s="17">
        <f>ROUND(IFERROR('1.1 Jakotaulu'!M$18*Ohj.lask.[[#This Row],[%-osuus 5]],0),0)</f>
        <v>11396</v>
      </c>
      <c r="X112" s="139">
        <f>IFERROR(ROUND(VLOOKUP(Ohj.lask.[[#This Row],[Y-tunnus]],'2.6 Työpaikkaohjaajakysely'!A:I,COLUMN('2.6 Työpaikkaohjaajakysely'!H:H),FALSE),1),0)</f>
        <v>378139.3</v>
      </c>
      <c r="Y112" s="10">
        <f>IFERROR(Ohj.lask.[[#This Row],[Painotetut pisteet 6]]/Ohj.lask.[[#Totals],[Painotetut pisteet 6]],0)</f>
        <v>1.1019110110231393E-3</v>
      </c>
      <c r="Z112" s="17">
        <f>ROUND(IFERROR('1.1 Jakotaulu'!M$20*Ohj.lask.[[#This Row],[%-osuus 6]],0),0)</f>
        <v>25584</v>
      </c>
      <c r="AA112" s="139">
        <f>IFERROR(ROUND(VLOOKUP(Ohj.lask.[[#This Row],[Y-tunnus]],'2.7 Työpaikkakysely'!A:G,COLUMN('2.7 Työpaikkakysely'!F:F),FALSE),1),0)</f>
        <v>179957</v>
      </c>
      <c r="AB112" s="10">
        <f>IFERROR(Ohj.lask.[[#This Row],[Pisteet 7]]/Ohj.lask.[[#Totals],[Pisteet 7]],0)</f>
        <v>8.7934589210050969E-4</v>
      </c>
      <c r="AC112" s="17">
        <f>ROUND(IFERROR('1.1 Jakotaulu'!M$21*Ohj.lask.[[#This Row],[%-osuus 7]],0),0)</f>
        <v>6805</v>
      </c>
      <c r="AD112" s="13">
        <f>IFERROR(Ohj.lask.[[#This Row],[Jaettava € 8]]/Ohj.lask.[[#Totals],[Jaettava € 8]],"")</f>
        <v>7.093166541008826E-4</v>
      </c>
      <c r="AE11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1447594</v>
      </c>
      <c r="AF112" s="103">
        <v>0</v>
      </c>
      <c r="AG112" s="103">
        <v>0</v>
      </c>
      <c r="AH112" s="107">
        <v>0</v>
      </c>
      <c r="AI112" s="33">
        <v>0</v>
      </c>
      <c r="AJ112" s="107">
        <v>0</v>
      </c>
      <c r="AK11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12" s="11">
        <f>Ohj.lask.[[#This Row],[Jaettava € 1]]+Ohj.lask.[[#This Row],[Harkinnanvarainen korotus yhteensä, €]]</f>
        <v>996236</v>
      </c>
      <c r="AM112" s="103">
        <f>Ohj.lask.[[#This Row],[Jaettava € 2]]</f>
        <v>272634</v>
      </c>
      <c r="AN112" s="11">
        <f>Ohj.lask.[[#This Row],[Jaettava € 3]]+Ohj.lask.[[#This Row],[Jaettava € 4]]+Ohj.lask.[[#This Row],[Jaettava € 5]]+Ohj.lask.[[#This Row],[Jaettava € 6]]+Ohj.lask.[[#This Row],[Jaettava € 7]]</f>
        <v>178724</v>
      </c>
      <c r="AO112" s="34">
        <f>Ohj.lask.[[#This Row],[Jaettava € 8]]+Ohj.lask.[[#This Row],[Harkinnanvarainen korotus yhteensä, €]]</f>
        <v>1447594</v>
      </c>
      <c r="AP112" s="12">
        <v>120587</v>
      </c>
      <c r="AQ112" s="34">
        <f>Ohj.lask.[[#This Row],[Perus-, suoritus- ja vaikuttavuusrahoitus yhteensä, €]]+Ohj.lask.[[#This Row],[Alv-korvaus, €]]</f>
        <v>1568181</v>
      </c>
    </row>
    <row r="113" spans="1:43" ht="12.75" x14ac:dyDescent="0.2">
      <c r="A113" s="4" t="s">
        <v>211</v>
      </c>
      <c r="B113" s="8" t="s">
        <v>103</v>
      </c>
      <c r="C113" s="97" t="s">
        <v>186</v>
      </c>
      <c r="D113" s="97" t="s">
        <v>326</v>
      </c>
      <c r="E113" s="97" t="s">
        <v>375</v>
      </c>
      <c r="F113" s="105">
        <v>218</v>
      </c>
      <c r="G113" s="33">
        <v>265</v>
      </c>
      <c r="H113" s="9">
        <f>IFERROR(VLOOKUP(Ohj.lask.[[#This Row],[Y-tunnus]],'2.1 Toteut. op.vuodet'!$A:$T,COLUMN('2.1 Toteut. op.vuodet'!S:S),FALSE),0)</f>
        <v>1.2651681842590403</v>
      </c>
      <c r="I113" s="74">
        <f t="shared" si="3"/>
        <v>335.3</v>
      </c>
      <c r="J113" s="10">
        <f>IFERROR(Ohj.lask.[[#This Row],[Painotetut opiskelija-vuodet]]/Ohj.lask.[[#Totals],[Painotetut opiskelija-vuodet]],0)</f>
        <v>1.6282548099802842E-3</v>
      </c>
      <c r="K113" s="11">
        <f>ROUND(IFERROR('1.1 Jakotaulu'!L$12*Ohj.lask.[[#This Row],[%-osuus 1]],0),0)</f>
        <v>2314885</v>
      </c>
      <c r="L113" s="139">
        <f>IFERROR(ROUND(VLOOKUP(Ohj.lask.[[#This Row],[Y-tunnus]],'2.2 Tutk. ja osien pain. pist.'!$A:$Q,COLUMN('2.2 Tutk. ja osien pain. pist.'!O:O),FALSE),1),0)</f>
        <v>30565.8</v>
      </c>
      <c r="M113" s="10">
        <f>IFERROR(Ohj.lask.[[#This Row],[Painotetut pisteet 2]]/Ohj.lask.[[#Totals],[Painotetut pisteet 2]],0)</f>
        <v>1.940707967737077E-3</v>
      </c>
      <c r="N113" s="17">
        <f>ROUND(IFERROR('1.1 Jakotaulu'!K$13*Ohj.lask.[[#This Row],[%-osuus 2]],0),0)</f>
        <v>801037</v>
      </c>
      <c r="O113" s="140">
        <f>IFERROR(ROUND(VLOOKUP(Ohj.lask.[[#This Row],[Y-tunnus]],'2.3 Työll. ja jatko-opisk.'!$A:$Y,COLUMN('2.3 Työll. ja jatko-opisk.'!L:L),FALSE),1),0)</f>
        <v>721</v>
      </c>
      <c r="P113" s="14">
        <f>IFERROR(Ohj.lask.[[#This Row],[Painotetut pisteet 3]]/Ohj.lask.[[#Totals],[Painotetut pisteet 3]],0)</f>
        <v>2.1361348994372279E-3</v>
      </c>
      <c r="Q113" s="11">
        <f>ROUND(IFERROR('1.1 Jakotaulu'!L$15*Ohj.lask.[[#This Row],[%-osuus 3]],0),0)</f>
        <v>308594</v>
      </c>
      <c r="R113" s="139">
        <f>IFERROR(ROUND(VLOOKUP(Ohj.lask.[[#This Row],[Y-tunnus]],'2.4 Aloittaneet palaute'!$A:$I,COLUMN('2.4 Aloittaneet palaute'!H:H),FALSE),1),0)</f>
        <v>3640.5</v>
      </c>
      <c r="S113" s="14">
        <f>IFERROR(Ohj.lask.[[#This Row],[Painotetut pisteet 4]]/Ohj.lask.[[#Totals],[Painotetut pisteet 4]],0)</f>
        <v>2.0938662917550331E-3</v>
      </c>
      <c r="T113" s="17">
        <f>ROUND(IFERROR('1.1 Jakotaulu'!M$17*Ohj.lask.[[#This Row],[%-osuus 4]],0),0)</f>
        <v>16205</v>
      </c>
      <c r="U113" s="139">
        <f>IFERROR(ROUND(VLOOKUP(Ohj.lask.[[#This Row],[Y-tunnus]],'2.5 Päättäneet palaute'!$A:$Y,COLUMN('2.5 Päättäneet palaute'!X:X),FALSE),1),0)</f>
        <v>30264.1</v>
      </c>
      <c r="V113" s="14">
        <f>IFERROR(Ohj.lask.[[#This Row],[Painotetut pisteet 5]]/Ohj.lask.[[#Totals],[Painotetut pisteet 5]],0)</f>
        <v>2.7273077909510694E-3</v>
      </c>
      <c r="W113" s="17">
        <f>ROUND(IFERROR('1.1 Jakotaulu'!M$18*Ohj.lask.[[#This Row],[%-osuus 5]],0),0)</f>
        <v>63321</v>
      </c>
      <c r="X113" s="139">
        <f>IFERROR(ROUND(VLOOKUP(Ohj.lask.[[#This Row],[Y-tunnus]],'2.6 Työpaikkaohjaajakysely'!A:I,COLUMN('2.6 Työpaikkaohjaajakysely'!H:H),FALSE),1),0)</f>
        <v>574340.4</v>
      </c>
      <c r="Y113" s="10">
        <f>IFERROR(Ohj.lask.[[#This Row],[Painotetut pisteet 6]]/Ohj.lask.[[#Totals],[Painotetut pisteet 6]],0)</f>
        <v>1.6736478087187295E-3</v>
      </c>
      <c r="Z113" s="17">
        <f>ROUND(IFERROR('1.1 Jakotaulu'!M$20*Ohj.lask.[[#This Row],[%-osuus 6]],0),0)</f>
        <v>38858</v>
      </c>
      <c r="AA113" s="139">
        <f>IFERROR(ROUND(VLOOKUP(Ohj.lask.[[#This Row],[Y-tunnus]],'2.7 Työpaikkakysely'!A:G,COLUMN('2.7 Työpaikkakysely'!F:F),FALSE),1),0)</f>
        <v>350944.5</v>
      </c>
      <c r="AB113" s="10">
        <f>IFERROR(Ohj.lask.[[#This Row],[Pisteet 7]]/Ohj.lask.[[#Totals],[Pisteet 7]],0)</f>
        <v>1.7148630196672946E-3</v>
      </c>
      <c r="AC113" s="17">
        <f>ROUND(IFERROR('1.1 Jakotaulu'!M$21*Ohj.lask.[[#This Row],[%-osuus 7]],0),0)</f>
        <v>13272</v>
      </c>
      <c r="AD113" s="13">
        <f>IFERROR(Ohj.lask.[[#This Row],[Jaettava € 8]]/Ohj.lask.[[#Totals],[Jaettava € 8]],"")</f>
        <v>1.7425134564299407E-3</v>
      </c>
      <c r="AE11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3556172</v>
      </c>
      <c r="AF113" s="103">
        <v>0</v>
      </c>
      <c r="AG113" s="103">
        <v>0</v>
      </c>
      <c r="AH113" s="107">
        <v>0</v>
      </c>
      <c r="AI113" s="33">
        <v>3000</v>
      </c>
      <c r="AJ113" s="107">
        <v>0</v>
      </c>
      <c r="AK11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3000</v>
      </c>
      <c r="AL113" s="11">
        <f>Ohj.lask.[[#This Row],[Jaettava € 1]]+Ohj.lask.[[#This Row],[Harkinnanvarainen korotus yhteensä, €]]</f>
        <v>2317885</v>
      </c>
      <c r="AM113" s="103">
        <f>Ohj.lask.[[#This Row],[Jaettava € 2]]</f>
        <v>801037</v>
      </c>
      <c r="AN113" s="11">
        <f>Ohj.lask.[[#This Row],[Jaettava € 3]]+Ohj.lask.[[#This Row],[Jaettava € 4]]+Ohj.lask.[[#This Row],[Jaettava € 5]]+Ohj.lask.[[#This Row],[Jaettava € 6]]+Ohj.lask.[[#This Row],[Jaettava € 7]]</f>
        <v>440250</v>
      </c>
      <c r="AO113" s="34">
        <f>Ohj.lask.[[#This Row],[Jaettava € 8]]+Ohj.lask.[[#This Row],[Harkinnanvarainen korotus yhteensä, €]]</f>
        <v>3559172</v>
      </c>
      <c r="AP113" s="12">
        <v>402242</v>
      </c>
      <c r="AQ113" s="34">
        <f>Ohj.lask.[[#This Row],[Perus-, suoritus- ja vaikuttavuusrahoitus yhteensä, €]]+Ohj.lask.[[#This Row],[Alv-korvaus, €]]</f>
        <v>3961414</v>
      </c>
    </row>
    <row r="114" spans="1:43" ht="12.75" x14ac:dyDescent="0.2">
      <c r="A114" s="4" t="s">
        <v>210</v>
      </c>
      <c r="B114" s="8" t="s">
        <v>104</v>
      </c>
      <c r="C114" s="8" t="s">
        <v>174</v>
      </c>
      <c r="D114" s="8" t="s">
        <v>326</v>
      </c>
      <c r="E114" s="8" t="s">
        <v>375</v>
      </c>
      <c r="F114" s="106">
        <v>169</v>
      </c>
      <c r="G114" s="33">
        <v>226</v>
      </c>
      <c r="H114" s="9">
        <f>IFERROR(VLOOKUP(Ohj.lask.[[#This Row],[Y-tunnus]],'2.1 Toteut. op.vuodet'!$A:$T,COLUMN('2.1 Toteut. op.vuodet'!S:S),FALSE),0)</f>
        <v>0.73439087707776929</v>
      </c>
      <c r="I114" s="74">
        <f t="shared" si="3"/>
        <v>166</v>
      </c>
      <c r="J114" s="10">
        <f>IFERROR(Ohj.lask.[[#This Row],[Painotetut opiskelija-vuodet]]/Ohj.lask.[[#Totals],[Painotetut opiskelija-vuodet]],0)</f>
        <v>8.0611481794431008E-4</v>
      </c>
      <c r="K114" s="11">
        <f>ROUND(IFERROR('1.1 Jakotaulu'!L$12*Ohj.lask.[[#This Row],[%-osuus 1]],0),0)</f>
        <v>1146051</v>
      </c>
      <c r="L114" s="139">
        <f>IFERROR(ROUND(VLOOKUP(Ohj.lask.[[#This Row],[Y-tunnus]],'2.2 Tutk. ja osien pain. pist.'!$A:$Q,COLUMN('2.2 Tutk. ja osien pain. pist.'!O:O),FALSE),1),0)</f>
        <v>18929.8</v>
      </c>
      <c r="M114" s="10">
        <f>IFERROR(Ohj.lask.[[#This Row],[Painotetut pisteet 2]]/Ohj.lask.[[#Totals],[Painotetut pisteet 2]],0)</f>
        <v>1.2019058453457564E-3</v>
      </c>
      <c r="N114" s="17">
        <f>ROUND(IFERROR('1.1 Jakotaulu'!K$13*Ohj.lask.[[#This Row],[%-osuus 2]],0),0)</f>
        <v>496093</v>
      </c>
      <c r="O114" s="140">
        <f>IFERROR(ROUND(VLOOKUP(Ohj.lask.[[#This Row],[Y-tunnus]],'2.3 Työll. ja jatko-opisk.'!$A:$Y,COLUMN('2.3 Työll. ja jatko-opisk.'!L:L),FALSE),1),0)</f>
        <v>420.1</v>
      </c>
      <c r="P114" s="10">
        <f>IFERROR(Ohj.lask.[[#This Row],[Painotetut pisteet 3]]/Ohj.lask.[[#Totals],[Painotetut pisteet 3]],0)</f>
        <v>1.2446467007677939E-3</v>
      </c>
      <c r="Q114" s="11">
        <f>ROUND(IFERROR('1.1 Jakotaulu'!L$15*Ohj.lask.[[#This Row],[%-osuus 3]],0),0)</f>
        <v>179807</v>
      </c>
      <c r="R114" s="139">
        <f>IFERROR(ROUND(VLOOKUP(Ohj.lask.[[#This Row],[Y-tunnus]],'2.4 Aloittaneet palaute'!$A:$I,COLUMN('2.4 Aloittaneet palaute'!H:H),FALSE),1),0)</f>
        <v>4047.9</v>
      </c>
      <c r="S114" s="14">
        <f>IFERROR(Ohj.lask.[[#This Row],[Painotetut pisteet 4]]/Ohj.lask.[[#Totals],[Painotetut pisteet 4]],0)</f>
        <v>2.3281860630120035E-3</v>
      </c>
      <c r="T114" s="17">
        <f>ROUND(IFERROR('1.1 Jakotaulu'!M$17*Ohj.lask.[[#This Row],[%-osuus 4]],0),0)</f>
        <v>18018</v>
      </c>
      <c r="U114" s="139">
        <f>IFERROR(ROUND(VLOOKUP(Ohj.lask.[[#This Row],[Y-tunnus]],'2.5 Päättäneet palaute'!$A:$Y,COLUMN('2.5 Päättäneet palaute'!X:X),FALSE),1),0)</f>
        <v>41806.1</v>
      </c>
      <c r="V114" s="14">
        <f>IFERROR(Ohj.lask.[[#This Row],[Painotetut pisteet 5]]/Ohj.lask.[[#Totals],[Painotetut pisteet 5]],0)</f>
        <v>3.7674374007249352E-3</v>
      </c>
      <c r="W114" s="17">
        <f>ROUND(IFERROR('1.1 Jakotaulu'!M$18*Ohj.lask.[[#This Row],[%-osuus 5]],0),0)</f>
        <v>87470</v>
      </c>
      <c r="X114" s="139">
        <f>IFERROR(ROUND(VLOOKUP(Ohj.lask.[[#This Row],[Y-tunnus]],'2.6 Työpaikkaohjaajakysely'!A:I,COLUMN('2.6 Työpaikkaohjaajakysely'!H:H),FALSE),1),0)</f>
        <v>657663</v>
      </c>
      <c r="Y114" s="10">
        <f>IFERROR(Ohj.lask.[[#This Row],[Painotetut pisteet 6]]/Ohj.lask.[[#Totals],[Painotetut pisteet 6]],0)</f>
        <v>1.916452749667942E-3</v>
      </c>
      <c r="Z114" s="17">
        <f>ROUND(IFERROR('1.1 Jakotaulu'!M$20*Ohj.lask.[[#This Row],[%-osuus 6]],0),0)</f>
        <v>44495</v>
      </c>
      <c r="AA114" s="139">
        <f>IFERROR(ROUND(VLOOKUP(Ohj.lask.[[#This Row],[Y-tunnus]],'2.7 Työpaikkakysely'!A:G,COLUMN('2.7 Työpaikkakysely'!F:F),FALSE),1),0)</f>
        <v>544831</v>
      </c>
      <c r="AB114" s="10">
        <f>IFERROR(Ohj.lask.[[#This Row],[Pisteet 7]]/Ohj.lask.[[#Totals],[Pisteet 7]],0)</f>
        <v>2.6622743307513062E-3</v>
      </c>
      <c r="AC114" s="17">
        <f>ROUND(IFERROR('1.1 Jakotaulu'!M$21*Ohj.lask.[[#This Row],[%-osuus 7]],0),0)</f>
        <v>20604</v>
      </c>
      <c r="AD114" s="13">
        <f>IFERROR(Ohj.lask.[[#This Row],[Jaettava € 8]]/Ohj.lask.[[#Totals],[Jaettava € 8]],"")</f>
        <v>9.7633755550856403E-4</v>
      </c>
      <c r="AE11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1992538</v>
      </c>
      <c r="AF114" s="103">
        <v>0</v>
      </c>
      <c r="AG114" s="103">
        <v>0</v>
      </c>
      <c r="AH114" s="107">
        <v>0</v>
      </c>
      <c r="AI114" s="33">
        <v>6000</v>
      </c>
      <c r="AJ114" s="107">
        <v>0</v>
      </c>
      <c r="AK11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6000</v>
      </c>
      <c r="AL114" s="11">
        <f>Ohj.lask.[[#This Row],[Jaettava € 1]]+Ohj.lask.[[#This Row],[Harkinnanvarainen korotus yhteensä, €]]</f>
        <v>1152051</v>
      </c>
      <c r="AM114" s="103">
        <f>Ohj.lask.[[#This Row],[Jaettava € 2]]</f>
        <v>496093</v>
      </c>
      <c r="AN114" s="11">
        <f>Ohj.lask.[[#This Row],[Jaettava € 3]]+Ohj.lask.[[#This Row],[Jaettava € 4]]+Ohj.lask.[[#This Row],[Jaettava € 5]]+Ohj.lask.[[#This Row],[Jaettava € 6]]+Ohj.lask.[[#This Row],[Jaettava € 7]]</f>
        <v>350394</v>
      </c>
      <c r="AO114" s="34">
        <f>Ohj.lask.[[#This Row],[Jaettava € 8]]+Ohj.lask.[[#This Row],[Harkinnanvarainen korotus yhteensä, €]]</f>
        <v>1998538</v>
      </c>
      <c r="AP114" s="12">
        <v>105292</v>
      </c>
      <c r="AQ114" s="34">
        <f>Ohj.lask.[[#This Row],[Perus-, suoritus- ja vaikuttavuusrahoitus yhteensä, €]]+Ohj.lask.[[#This Row],[Alv-korvaus, €]]</f>
        <v>2103830</v>
      </c>
    </row>
    <row r="115" spans="1:43" ht="12.75" x14ac:dyDescent="0.2">
      <c r="A115" s="4" t="s">
        <v>209</v>
      </c>
      <c r="B115" s="8" t="s">
        <v>433</v>
      </c>
      <c r="C115" s="8" t="s">
        <v>200</v>
      </c>
      <c r="D115" s="8" t="s">
        <v>326</v>
      </c>
      <c r="E115" s="8" t="s">
        <v>375</v>
      </c>
      <c r="F115" s="106">
        <v>488</v>
      </c>
      <c r="G115" s="33">
        <v>620</v>
      </c>
      <c r="H115" s="9">
        <f>IFERROR(VLOOKUP(Ohj.lask.[[#This Row],[Y-tunnus]],'2.1 Toteut. op.vuodet'!$A:$T,COLUMN('2.1 Toteut. op.vuodet'!S:S),FALSE),0)</f>
        <v>0.83092125837425401</v>
      </c>
      <c r="I115" s="74">
        <f t="shared" si="3"/>
        <v>515.20000000000005</v>
      </c>
      <c r="J115" s="10">
        <f>IFERROR(Ohj.lask.[[#This Row],[Painotetut opiskelija-vuodet]]/Ohj.lask.[[#Totals],[Painotetut opiskelija-vuodet]],0)</f>
        <v>2.5018696036440279E-3</v>
      </c>
      <c r="K115" s="11">
        <f>ROUND(IFERROR('1.1 Jakotaulu'!L$12*Ohj.lask.[[#This Row],[%-osuus 1]],0),0)</f>
        <v>3556901</v>
      </c>
      <c r="L115" s="139">
        <f>IFERROR(ROUND(VLOOKUP(Ohj.lask.[[#This Row],[Y-tunnus]],'2.2 Tutk. ja osien pain. pist.'!$A:$Q,COLUMN('2.2 Tutk. ja osien pain. pist.'!O:O),FALSE),1),0)</f>
        <v>64627.4</v>
      </c>
      <c r="M115" s="10">
        <f>IFERROR(Ohj.lask.[[#This Row],[Painotetut pisteet 2]]/Ohj.lask.[[#Totals],[Painotetut pisteet 2]],0)</f>
        <v>4.103374036149264E-3</v>
      </c>
      <c r="N115" s="17">
        <f>ROUND(IFERROR('1.1 Jakotaulu'!K$13*Ohj.lask.[[#This Row],[%-osuus 2]],0),0)</f>
        <v>1693688</v>
      </c>
      <c r="O115" s="140">
        <f>IFERROR(ROUND(VLOOKUP(Ohj.lask.[[#This Row],[Y-tunnus]],'2.3 Työll. ja jatko-opisk.'!$A:$Y,COLUMN('2.3 Työll. ja jatko-opisk.'!L:L),FALSE),1),0)</f>
        <v>1902.3</v>
      </c>
      <c r="P115" s="10">
        <f>IFERROR(Ohj.lask.[[#This Row],[Painotetut pisteet 3]]/Ohj.lask.[[#Totals],[Painotetut pisteet 3]],0)</f>
        <v>5.6360186119270989E-3</v>
      </c>
      <c r="Q115" s="11">
        <f>ROUND(IFERROR('1.1 Jakotaulu'!L$15*Ohj.lask.[[#This Row],[%-osuus 3]],0),0)</f>
        <v>814201</v>
      </c>
      <c r="R115" s="139">
        <f>IFERROR(ROUND(VLOOKUP(Ohj.lask.[[#This Row],[Y-tunnus]],'2.4 Aloittaneet palaute'!$A:$I,COLUMN('2.4 Aloittaneet palaute'!H:H),FALSE),1),0)</f>
        <v>22741.8</v>
      </c>
      <c r="S115" s="14">
        <f>IFERROR(Ohj.lask.[[#This Row],[Painotetut pisteet 4]]/Ohj.lask.[[#Totals],[Painotetut pisteet 4]],0)</f>
        <v>1.3080150647942483E-2</v>
      </c>
      <c r="T115" s="17">
        <f>ROUND(IFERROR('1.1 Jakotaulu'!M$17*Ohj.lask.[[#This Row],[%-osuus 4]],0),0)</f>
        <v>101229</v>
      </c>
      <c r="U115" s="139">
        <f>IFERROR(ROUND(VLOOKUP(Ohj.lask.[[#This Row],[Y-tunnus]],'2.5 Päättäneet palaute'!$A:$Y,COLUMN('2.5 Päättäneet palaute'!X:X),FALSE),1),0)</f>
        <v>113311.7</v>
      </c>
      <c r="V115" s="14">
        <f>IFERROR(Ohj.lask.[[#This Row],[Painotetut pisteet 5]]/Ohj.lask.[[#Totals],[Painotetut pisteet 5]],0)</f>
        <v>1.0211302573541269E-2</v>
      </c>
      <c r="W115" s="17">
        <f>ROUND(IFERROR('1.1 Jakotaulu'!M$18*Ohj.lask.[[#This Row],[%-osuus 5]],0),0)</f>
        <v>237080</v>
      </c>
      <c r="X115" s="139">
        <f>IFERROR(ROUND(VLOOKUP(Ohj.lask.[[#This Row],[Y-tunnus]],'2.6 Työpaikkaohjaajakysely'!A:I,COLUMN('2.6 Työpaikkaohjaajakysely'!H:H),FALSE),1),0)</f>
        <v>475637</v>
      </c>
      <c r="Y115" s="10">
        <f>IFERROR(Ohj.lask.[[#This Row],[Painotetut pisteet 6]]/Ohj.lask.[[#Totals],[Painotetut pisteet 6]],0)</f>
        <v>1.3860226841008404E-3</v>
      </c>
      <c r="Z115" s="17">
        <f>ROUND(IFERROR('1.1 Jakotaulu'!M$20*Ohj.lask.[[#This Row],[%-osuus 6]],0),0)</f>
        <v>32180</v>
      </c>
      <c r="AA115" s="139">
        <f>IFERROR(ROUND(VLOOKUP(Ohj.lask.[[#This Row],[Y-tunnus]],'2.7 Työpaikkakysely'!A:G,COLUMN('2.7 Työpaikkakysely'!F:F),FALSE),1),0)</f>
        <v>43575</v>
      </c>
      <c r="AB115" s="10">
        <f>IFERROR(Ohj.lask.[[#This Row],[Pisteet 7]]/Ohj.lask.[[#Totals],[Pisteet 7]],0)</f>
        <v>2.1292585033246672E-4</v>
      </c>
      <c r="AC115" s="17">
        <f>ROUND(IFERROR('1.1 Jakotaulu'!M$21*Ohj.lask.[[#This Row],[%-osuus 7]],0),0)</f>
        <v>1648</v>
      </c>
      <c r="AD115" s="13">
        <f>IFERROR(Ohj.lask.[[#This Row],[Jaettava € 8]]/Ohj.lask.[[#Totals],[Jaettava € 8]],"")</f>
        <v>3.154074638560005E-3</v>
      </c>
      <c r="AE11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6436927</v>
      </c>
      <c r="AF115" s="103">
        <v>0</v>
      </c>
      <c r="AG115" s="103">
        <v>0</v>
      </c>
      <c r="AH115" s="107">
        <v>0</v>
      </c>
      <c r="AI115" s="33">
        <v>10000</v>
      </c>
      <c r="AJ115" s="107">
        <v>0</v>
      </c>
      <c r="AK11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10000</v>
      </c>
      <c r="AL115" s="11">
        <f>Ohj.lask.[[#This Row],[Jaettava € 1]]+Ohj.lask.[[#This Row],[Harkinnanvarainen korotus yhteensä, €]]</f>
        <v>3566901</v>
      </c>
      <c r="AM115" s="103">
        <f>Ohj.lask.[[#This Row],[Jaettava € 2]]</f>
        <v>1693688</v>
      </c>
      <c r="AN115" s="11">
        <f>Ohj.lask.[[#This Row],[Jaettava € 3]]+Ohj.lask.[[#This Row],[Jaettava € 4]]+Ohj.lask.[[#This Row],[Jaettava € 5]]+Ohj.lask.[[#This Row],[Jaettava € 6]]+Ohj.lask.[[#This Row],[Jaettava € 7]]</f>
        <v>1186338</v>
      </c>
      <c r="AO115" s="34">
        <f>Ohj.lask.[[#This Row],[Jaettava € 8]]+Ohj.lask.[[#This Row],[Harkinnanvarainen korotus yhteensä, €]]</f>
        <v>6446927</v>
      </c>
      <c r="AP115" s="12">
        <v>251855</v>
      </c>
      <c r="AQ115" s="34">
        <f>Ohj.lask.[[#This Row],[Perus-, suoritus- ja vaikuttavuusrahoitus yhteensä, €]]+Ohj.lask.[[#This Row],[Alv-korvaus, €]]</f>
        <v>6698782</v>
      </c>
    </row>
    <row r="116" spans="1:43" ht="12.75" x14ac:dyDescent="0.2">
      <c r="A116" s="4" t="s">
        <v>208</v>
      </c>
      <c r="B116" s="8" t="s">
        <v>556</v>
      </c>
      <c r="C116" s="8" t="s">
        <v>200</v>
      </c>
      <c r="D116" s="8" t="s">
        <v>325</v>
      </c>
      <c r="E116" s="8" t="s">
        <v>375</v>
      </c>
      <c r="F116" s="106">
        <v>514</v>
      </c>
      <c r="G116" s="33">
        <v>498</v>
      </c>
      <c r="H116" s="9">
        <f>IFERROR(VLOOKUP(Ohj.lask.[[#This Row],[Y-tunnus]],'2.1 Toteut. op.vuodet'!$A:$T,COLUMN('2.1 Toteut. op.vuodet'!S:S),FALSE),0)</f>
        <v>1.2916359509688053</v>
      </c>
      <c r="I116" s="74">
        <f t="shared" si="3"/>
        <v>643.20000000000005</v>
      </c>
      <c r="J116" s="10">
        <f>IFERROR(Ohj.lask.[[#This Row],[Painotetut opiskelija-vuodet]]/Ohj.lask.[[#Totals],[Painotetut opiskelija-vuodet]],0)</f>
        <v>3.1234521138661462E-3</v>
      </c>
      <c r="K116" s="11">
        <f>ROUND(IFERROR('1.1 Jakotaulu'!L$12*Ohj.lask.[[#This Row],[%-osuus 1]],0),0)</f>
        <v>4440602</v>
      </c>
      <c r="L116" s="139">
        <f>IFERROR(ROUND(VLOOKUP(Ohj.lask.[[#This Row],[Y-tunnus]],'2.2 Tutk. ja osien pain. pist.'!$A:$Q,COLUMN('2.2 Tutk. ja osien pain. pist.'!O:O),FALSE),1),0)</f>
        <v>50461.5</v>
      </c>
      <c r="M116" s="10">
        <f>IFERROR(Ohj.lask.[[#This Row],[Painotetut pisteet 2]]/Ohj.lask.[[#Totals],[Painotetut pisteet 2]],0)</f>
        <v>3.2039415004339656E-3</v>
      </c>
      <c r="N116" s="17">
        <f>ROUND(IFERROR('1.1 Jakotaulu'!K$13*Ohj.lask.[[#This Row],[%-osuus 2]],0),0)</f>
        <v>1322443</v>
      </c>
      <c r="O116" s="140">
        <f>IFERROR(ROUND(VLOOKUP(Ohj.lask.[[#This Row],[Y-tunnus]],'2.3 Työll. ja jatko-opisk.'!$A:$Y,COLUMN('2.3 Työll. ja jatko-opisk.'!L:L),FALSE),1),0)</f>
        <v>806.2</v>
      </c>
      <c r="P116" s="10">
        <f>IFERROR(Ohj.lask.[[#This Row],[Painotetut pisteet 3]]/Ohj.lask.[[#Totals],[Painotetut pisteet 3]],0)</f>
        <v>2.3885602717424316E-3</v>
      </c>
      <c r="Q116" s="11">
        <f>ROUND(IFERROR('1.1 Jakotaulu'!L$15*Ohj.lask.[[#This Row],[%-osuus 3]],0),0)</f>
        <v>345061</v>
      </c>
      <c r="R116" s="139">
        <f>IFERROR(ROUND(VLOOKUP(Ohj.lask.[[#This Row],[Y-tunnus]],'2.4 Aloittaneet palaute'!$A:$I,COLUMN('2.4 Aloittaneet palaute'!H:H),FALSE),1),0)</f>
        <v>5346.6</v>
      </c>
      <c r="S116" s="14">
        <f>IFERROR(Ohj.lask.[[#This Row],[Painotetut pisteet 4]]/Ohj.lask.[[#Totals],[Painotetut pisteet 4]],0)</f>
        <v>3.0751450392796208E-3</v>
      </c>
      <c r="T116" s="17">
        <f>ROUND(IFERROR('1.1 Jakotaulu'!M$17*Ohj.lask.[[#This Row],[%-osuus 4]],0),0)</f>
        <v>23799</v>
      </c>
      <c r="U116" s="139">
        <f>IFERROR(ROUND(VLOOKUP(Ohj.lask.[[#This Row],[Y-tunnus]],'2.5 Päättäneet palaute'!$A:$Y,COLUMN('2.5 Päättäneet palaute'!X:X),FALSE),1),0)</f>
        <v>24182.1</v>
      </c>
      <c r="V116" s="14">
        <f>IFERROR(Ohj.lask.[[#This Row],[Painotetut pisteet 5]]/Ohj.lask.[[#Totals],[Painotetut pisteet 5]],0)</f>
        <v>2.1792166207340665E-3</v>
      </c>
      <c r="W116" s="17">
        <f>ROUND(IFERROR('1.1 Jakotaulu'!M$18*Ohj.lask.[[#This Row],[%-osuus 5]],0),0)</f>
        <v>50596</v>
      </c>
      <c r="X116" s="139">
        <f>IFERROR(ROUND(VLOOKUP(Ohj.lask.[[#This Row],[Y-tunnus]],'2.6 Työpaikkaohjaajakysely'!A:I,COLUMN('2.6 Työpaikkaohjaajakysely'!H:H),FALSE),1),0)</f>
        <v>1040744.6</v>
      </c>
      <c r="Y116" s="10">
        <f>IFERROR(Ohj.lask.[[#This Row],[Painotetut pisteet 6]]/Ohj.lask.[[#Totals],[Painotetut pisteet 6]],0)</f>
        <v>3.0327657939888098E-3</v>
      </c>
      <c r="Z116" s="17">
        <f>ROUND(IFERROR('1.1 Jakotaulu'!M$20*Ohj.lask.[[#This Row],[%-osuus 6]],0),0)</f>
        <v>70413</v>
      </c>
      <c r="AA116" s="139">
        <f>IFERROR(ROUND(VLOOKUP(Ohj.lask.[[#This Row],[Y-tunnus]],'2.7 Työpaikkakysely'!A:G,COLUMN('2.7 Työpaikkakysely'!F:F),FALSE),1),0)</f>
        <v>633760</v>
      </c>
      <c r="AB116" s="10">
        <f>IFERROR(Ohj.lask.[[#This Row],[Pisteet 7]]/Ohj.lask.[[#Totals],[Pisteet 7]],0)</f>
        <v>3.0968189766311899E-3</v>
      </c>
      <c r="AC116" s="17">
        <f>ROUND(IFERROR('1.1 Jakotaulu'!M$21*Ohj.lask.[[#This Row],[%-osuus 7]],0),0)</f>
        <v>23967</v>
      </c>
      <c r="AD116" s="13">
        <f>IFERROR(Ohj.lask.[[#This Row],[Jaettava € 8]]/Ohj.lask.[[#Totals],[Jaettava € 8]],"")</f>
        <v>3.0756525856762335E-3</v>
      </c>
      <c r="AE11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6276881</v>
      </c>
      <c r="AF116" s="103">
        <v>0</v>
      </c>
      <c r="AG116" s="103">
        <v>0</v>
      </c>
      <c r="AH116" s="107">
        <v>0</v>
      </c>
      <c r="AI116" s="33">
        <v>0</v>
      </c>
      <c r="AJ116" s="107">
        <v>0</v>
      </c>
      <c r="AK11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16" s="11">
        <f>Ohj.lask.[[#This Row],[Jaettava € 1]]+Ohj.lask.[[#This Row],[Harkinnanvarainen korotus yhteensä, €]]</f>
        <v>4440602</v>
      </c>
      <c r="AM116" s="103">
        <f>Ohj.lask.[[#This Row],[Jaettava € 2]]</f>
        <v>1322443</v>
      </c>
      <c r="AN116" s="11">
        <f>Ohj.lask.[[#This Row],[Jaettava € 3]]+Ohj.lask.[[#This Row],[Jaettava € 4]]+Ohj.lask.[[#This Row],[Jaettava € 5]]+Ohj.lask.[[#This Row],[Jaettava € 6]]+Ohj.lask.[[#This Row],[Jaettava € 7]]</f>
        <v>513836</v>
      </c>
      <c r="AO116" s="34">
        <f>Ohj.lask.[[#This Row],[Jaettava € 8]]+Ohj.lask.[[#This Row],[Harkinnanvarainen korotus yhteensä, €]]</f>
        <v>6276881</v>
      </c>
      <c r="AP116" s="12">
        <v>0</v>
      </c>
      <c r="AQ116" s="34">
        <f>Ohj.lask.[[#This Row],[Perus-, suoritus- ja vaikuttavuusrahoitus yhteensä, €]]+Ohj.lask.[[#This Row],[Alv-korvaus, €]]</f>
        <v>6276881</v>
      </c>
    </row>
    <row r="117" spans="1:43" ht="12.75" x14ac:dyDescent="0.2">
      <c r="A117" s="4" t="s">
        <v>207</v>
      </c>
      <c r="B117" s="8" t="s">
        <v>106</v>
      </c>
      <c r="C117" s="8" t="s">
        <v>174</v>
      </c>
      <c r="D117" s="8" t="s">
        <v>326</v>
      </c>
      <c r="E117" s="8" t="s">
        <v>376</v>
      </c>
      <c r="F117" s="106">
        <v>1087</v>
      </c>
      <c r="G117" s="33">
        <v>1061</v>
      </c>
      <c r="H117" s="9">
        <f>IFERROR(VLOOKUP(Ohj.lask.[[#This Row],[Y-tunnus]],'2.1 Toteut. op.vuodet'!$A:$T,COLUMN('2.1 Toteut. op.vuodet'!S:S),FALSE),0)</f>
        <v>1.1147924322301186</v>
      </c>
      <c r="I117" s="74">
        <f t="shared" si="3"/>
        <v>1182.8</v>
      </c>
      <c r="J117" s="10">
        <f>IFERROR(Ohj.lask.[[#This Row],[Painotetut opiskelija-vuodet]]/Ohj.lask.[[#Totals],[Painotetut opiskelija-vuodet]],0)</f>
        <v>5.7438108835212651E-3</v>
      </c>
      <c r="K117" s="11">
        <f>ROUND(IFERROR('1.1 Jakotaulu'!L$12*Ohj.lask.[[#This Row],[%-osuus 1]],0),0)</f>
        <v>8165959</v>
      </c>
      <c r="L117" s="139">
        <f>IFERROR(ROUND(VLOOKUP(Ohj.lask.[[#This Row],[Y-tunnus]],'2.2 Tutk. ja osien pain. pist.'!$A:$Q,COLUMN('2.2 Tutk. ja osien pain. pist.'!O:O),FALSE),1),0)</f>
        <v>86708.6</v>
      </c>
      <c r="M117" s="10">
        <f>IFERROR(Ohj.lask.[[#This Row],[Painotetut pisteet 2]]/Ohj.lask.[[#Totals],[Painotetut pisteet 2]],0)</f>
        <v>5.5053710647628108E-3</v>
      </c>
      <c r="N117" s="17">
        <f>ROUND(IFERROR('1.1 Jakotaulu'!K$13*Ohj.lask.[[#This Row],[%-osuus 2]],0),0)</f>
        <v>2272369</v>
      </c>
      <c r="O117" s="140">
        <f>IFERROR(ROUND(VLOOKUP(Ohj.lask.[[#This Row],[Y-tunnus]],'2.3 Työll. ja jatko-opisk.'!$A:$Y,COLUMN('2.3 Työll. ja jatko-opisk.'!L:L),FALSE),1),0)</f>
        <v>1910.8</v>
      </c>
      <c r="P117" s="10">
        <f>IFERROR(Ohj.lask.[[#This Row],[Painotetut pisteet 3]]/Ohj.lask.[[#Totals],[Painotetut pisteet 3]],0)</f>
        <v>5.6612018943753874E-3</v>
      </c>
      <c r="Q117" s="11">
        <f>ROUND(IFERROR('1.1 Jakotaulu'!L$15*Ohj.lask.[[#This Row],[%-osuus 3]],0),0)</f>
        <v>817839</v>
      </c>
      <c r="R117" s="139">
        <f>IFERROR(ROUND(VLOOKUP(Ohj.lask.[[#This Row],[Y-tunnus]],'2.4 Aloittaneet palaute'!$A:$I,COLUMN('2.4 Aloittaneet palaute'!H:H),FALSE),1),0)</f>
        <v>9597.2000000000007</v>
      </c>
      <c r="S117" s="14">
        <f>IFERROR(Ohj.lask.[[#This Row],[Painotetut pisteet 4]]/Ohj.lask.[[#Totals],[Painotetut pisteet 4]],0)</f>
        <v>5.5199158289332244E-3</v>
      </c>
      <c r="T117" s="17">
        <f>ROUND(IFERROR('1.1 Jakotaulu'!M$17*Ohj.lask.[[#This Row],[%-osuus 4]],0),0)</f>
        <v>42719</v>
      </c>
      <c r="U117" s="139">
        <f>IFERROR(ROUND(VLOOKUP(Ohj.lask.[[#This Row],[Y-tunnus]],'2.5 Päättäneet palaute'!$A:$Y,COLUMN('2.5 Päättäneet palaute'!X:X),FALSE),1),0)</f>
        <v>45591.5</v>
      </c>
      <c r="V117" s="14">
        <f>IFERROR(Ohj.lask.[[#This Row],[Painotetut pisteet 5]]/Ohj.lask.[[#Totals],[Painotetut pisteet 5]],0)</f>
        <v>4.1085660287649619E-3</v>
      </c>
      <c r="W117" s="17">
        <f>ROUND(IFERROR('1.1 Jakotaulu'!M$18*Ohj.lask.[[#This Row],[%-osuus 5]],0),0)</f>
        <v>95390</v>
      </c>
      <c r="X117" s="139">
        <f>IFERROR(ROUND(VLOOKUP(Ohj.lask.[[#This Row],[Y-tunnus]],'2.6 Työpaikkaohjaajakysely'!A:I,COLUMN('2.6 Työpaikkaohjaajakysely'!H:H),FALSE),1),0)</f>
        <v>1452748.4</v>
      </c>
      <c r="Y117" s="10">
        <f>IFERROR(Ohj.lask.[[#This Row],[Painotetut pisteet 6]]/Ohj.lask.[[#Totals],[Painotetut pisteet 6]],0)</f>
        <v>4.2333591303687504E-3</v>
      </c>
      <c r="Z117" s="17">
        <f>ROUND(IFERROR('1.1 Jakotaulu'!M$20*Ohj.lask.[[#This Row],[%-osuus 6]],0),0)</f>
        <v>98288</v>
      </c>
      <c r="AA117" s="139">
        <f>IFERROR(ROUND(VLOOKUP(Ohj.lask.[[#This Row],[Y-tunnus]],'2.7 Työpaikkakysely'!A:G,COLUMN('2.7 Työpaikkakysely'!F:F),FALSE),1),0)</f>
        <v>326601</v>
      </c>
      <c r="AB117" s="10">
        <f>IFERROR(Ohj.lask.[[#This Row],[Pisteet 7]]/Ohj.lask.[[#Totals],[Pisteet 7]],0)</f>
        <v>1.5959103991837972E-3</v>
      </c>
      <c r="AC117" s="17">
        <f>ROUND(IFERROR('1.1 Jakotaulu'!M$21*Ohj.lask.[[#This Row],[%-osuus 7]],0),0)</f>
        <v>12351</v>
      </c>
      <c r="AD117" s="13">
        <f>IFERROR(Ohj.lask.[[#This Row],[Jaettava € 8]]/Ohj.lask.[[#Totals],[Jaettava € 8]],"")</f>
        <v>5.6373733336246594E-3</v>
      </c>
      <c r="AE11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11504915</v>
      </c>
      <c r="AF117" s="103">
        <v>0</v>
      </c>
      <c r="AG117" s="103">
        <v>0</v>
      </c>
      <c r="AH117" s="107">
        <v>0</v>
      </c>
      <c r="AI117" s="33">
        <v>11000</v>
      </c>
      <c r="AJ117" s="107">
        <v>15000</v>
      </c>
      <c r="AK11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26000</v>
      </c>
      <c r="AL117" s="11">
        <f>Ohj.lask.[[#This Row],[Jaettava € 1]]+Ohj.lask.[[#This Row],[Harkinnanvarainen korotus yhteensä, €]]</f>
        <v>8191959</v>
      </c>
      <c r="AM117" s="103">
        <f>Ohj.lask.[[#This Row],[Jaettava € 2]]</f>
        <v>2272369</v>
      </c>
      <c r="AN117" s="11">
        <f>Ohj.lask.[[#This Row],[Jaettava € 3]]+Ohj.lask.[[#This Row],[Jaettava € 4]]+Ohj.lask.[[#This Row],[Jaettava € 5]]+Ohj.lask.[[#This Row],[Jaettava € 6]]+Ohj.lask.[[#This Row],[Jaettava € 7]]</f>
        <v>1066587</v>
      </c>
      <c r="AO117" s="34">
        <f>Ohj.lask.[[#This Row],[Jaettava € 8]]+Ohj.lask.[[#This Row],[Harkinnanvarainen korotus yhteensä, €]]</f>
        <v>11530915</v>
      </c>
      <c r="AP117" s="12">
        <v>865267</v>
      </c>
      <c r="AQ117" s="34">
        <f>Ohj.lask.[[#This Row],[Perus-, suoritus- ja vaikuttavuusrahoitus yhteensä, €]]+Ohj.lask.[[#This Row],[Alv-korvaus, €]]</f>
        <v>12396182</v>
      </c>
    </row>
    <row r="118" spans="1:43" ht="12.75" x14ac:dyDescent="0.2">
      <c r="A118" s="4" t="s">
        <v>206</v>
      </c>
      <c r="B118" s="8" t="s">
        <v>107</v>
      </c>
      <c r="C118" s="8" t="s">
        <v>180</v>
      </c>
      <c r="D118" s="8" t="s">
        <v>325</v>
      </c>
      <c r="E118" s="8" t="s">
        <v>376</v>
      </c>
      <c r="F118" s="106">
        <v>1394</v>
      </c>
      <c r="G118" s="33">
        <v>1392</v>
      </c>
      <c r="H118" s="9">
        <f>IFERROR(VLOOKUP(Ohj.lask.[[#This Row],[Y-tunnus]],'2.1 Toteut. op.vuodet'!$A:$T,COLUMN('2.1 Toteut. op.vuodet'!S:S),FALSE),0)</f>
        <v>1.1426744609794941</v>
      </c>
      <c r="I118" s="74">
        <f t="shared" si="3"/>
        <v>1590.6</v>
      </c>
      <c r="J118" s="10">
        <f>IFERROR(Ohj.lask.[[#This Row],[Painotetut opiskelija-vuodet]]/Ohj.lask.[[#Totals],[Painotetut opiskelija-vuodet]],0)</f>
        <v>7.7241339121820454E-3</v>
      </c>
      <c r="K118" s="11">
        <f>ROUND(IFERROR('1.1 Jakotaulu'!L$12*Ohj.lask.[[#This Row],[%-osuus 1]],0),0)</f>
        <v>10981378</v>
      </c>
      <c r="L118" s="139">
        <f>IFERROR(ROUND(VLOOKUP(Ohj.lask.[[#This Row],[Y-tunnus]],'2.2 Tutk. ja osien pain. pist.'!$A:$Q,COLUMN('2.2 Tutk. ja osien pain. pist.'!O:O),FALSE),1),0)</f>
        <v>124310</v>
      </c>
      <c r="M118" s="10">
        <f>IFERROR(Ohj.lask.[[#This Row],[Painotetut pisteet 2]]/Ohj.lask.[[#Totals],[Painotetut pisteet 2]],0)</f>
        <v>7.8927889166779883E-3</v>
      </c>
      <c r="N118" s="17">
        <f>ROUND(IFERROR('1.1 Jakotaulu'!K$13*Ohj.lask.[[#This Row],[%-osuus 2]],0),0)</f>
        <v>3257788</v>
      </c>
      <c r="O118" s="140">
        <f>IFERROR(ROUND(VLOOKUP(Ohj.lask.[[#This Row],[Y-tunnus]],'2.3 Työll. ja jatko-opisk.'!$A:$Y,COLUMN('2.3 Työll. ja jatko-opisk.'!L:L),FALSE),1),0)</f>
        <v>2902.4</v>
      </c>
      <c r="P118" s="10">
        <f>IFERROR(Ohj.lask.[[#This Row],[Painotetut pisteet 3]]/Ohj.lask.[[#Totals],[Painotetut pisteet 3]],0)</f>
        <v>8.5990539974016775E-3</v>
      </c>
      <c r="Q118" s="11">
        <f>ROUND(IFERROR('1.1 Jakotaulu'!L$15*Ohj.lask.[[#This Row],[%-osuus 3]],0),0)</f>
        <v>1242253</v>
      </c>
      <c r="R118" s="139">
        <f>IFERROR(ROUND(VLOOKUP(Ohj.lask.[[#This Row],[Y-tunnus]],'2.4 Aloittaneet palaute'!$A:$I,COLUMN('2.4 Aloittaneet palaute'!H:H),FALSE),1),0)</f>
        <v>15230.2</v>
      </c>
      <c r="S118" s="14">
        <f>IFERROR(Ohj.lask.[[#This Row],[Painotetut pisteet 4]]/Ohj.lask.[[#Totals],[Painotetut pisteet 4]],0)</f>
        <v>8.759786402056725E-3</v>
      </c>
      <c r="T118" s="17">
        <f>ROUND(IFERROR('1.1 Jakotaulu'!M$17*Ohj.lask.[[#This Row],[%-osuus 4]],0),0)</f>
        <v>67793</v>
      </c>
      <c r="U118" s="139">
        <f>IFERROR(ROUND(VLOOKUP(Ohj.lask.[[#This Row],[Y-tunnus]],'2.5 Päättäneet palaute'!$A:$Y,COLUMN('2.5 Päättäneet palaute'!X:X),FALSE),1),0)</f>
        <v>86125.7</v>
      </c>
      <c r="V118" s="14">
        <f>IFERROR(Ohj.lask.[[#This Row],[Painotetut pisteet 5]]/Ohj.lask.[[#Totals],[Painotetut pisteet 5]],0)</f>
        <v>7.7613837058136386E-3</v>
      </c>
      <c r="W118" s="17">
        <f>ROUND(IFERROR('1.1 Jakotaulu'!M$18*Ohj.lask.[[#This Row],[%-osuus 5]],0),0)</f>
        <v>180199</v>
      </c>
      <c r="X118" s="139">
        <f>IFERROR(ROUND(VLOOKUP(Ohj.lask.[[#This Row],[Y-tunnus]],'2.6 Työpaikkaohjaajakysely'!A:I,COLUMN('2.6 Työpaikkaohjaajakysely'!H:H),FALSE),1),0)</f>
        <v>3836738.2</v>
      </c>
      <c r="Y118" s="10">
        <f>IFERROR(Ohj.lask.[[#This Row],[Painotetut pisteet 6]]/Ohj.lask.[[#Totals],[Painotetut pisteet 6]],0)</f>
        <v>1.1180387939029611E-2</v>
      </c>
      <c r="Z118" s="17">
        <f>ROUND(IFERROR('1.1 Jakotaulu'!M$20*Ohj.lask.[[#This Row],[%-osuus 6]],0),0)</f>
        <v>259580</v>
      </c>
      <c r="AA118" s="139">
        <f>IFERROR(ROUND(VLOOKUP(Ohj.lask.[[#This Row],[Y-tunnus]],'2.7 Työpaikkakysely'!A:G,COLUMN('2.7 Työpaikkakysely'!F:F),FALSE),1),0)</f>
        <v>1180152.5</v>
      </c>
      <c r="AB118" s="10">
        <f>IFERROR(Ohj.lask.[[#This Row],[Pisteet 7]]/Ohj.lask.[[#Totals],[Pisteet 7]],0)</f>
        <v>5.7667234557541346E-3</v>
      </c>
      <c r="AC118" s="17">
        <f>ROUND(IFERROR('1.1 Jakotaulu'!M$21*Ohj.lask.[[#This Row],[%-osuus 7]],0),0)</f>
        <v>44629</v>
      </c>
      <c r="AD118" s="13">
        <f>IFERROR(Ohj.lask.[[#This Row],[Jaettava € 8]]/Ohj.lask.[[#Totals],[Jaettava € 8]],"")</f>
        <v>7.8564250000518043E-3</v>
      </c>
      <c r="AE11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16033620</v>
      </c>
      <c r="AF118" s="103">
        <v>0</v>
      </c>
      <c r="AG118" s="103">
        <v>0</v>
      </c>
      <c r="AH118" s="107">
        <v>0</v>
      </c>
      <c r="AI118" s="33">
        <v>19000</v>
      </c>
      <c r="AJ118" s="107">
        <v>0</v>
      </c>
      <c r="AK11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19000</v>
      </c>
      <c r="AL118" s="11">
        <f>Ohj.lask.[[#This Row],[Jaettava € 1]]+Ohj.lask.[[#This Row],[Harkinnanvarainen korotus yhteensä, €]]</f>
        <v>11000378</v>
      </c>
      <c r="AM118" s="103">
        <f>Ohj.lask.[[#This Row],[Jaettava € 2]]</f>
        <v>3257788</v>
      </c>
      <c r="AN118" s="11">
        <f>Ohj.lask.[[#This Row],[Jaettava € 3]]+Ohj.lask.[[#This Row],[Jaettava € 4]]+Ohj.lask.[[#This Row],[Jaettava € 5]]+Ohj.lask.[[#This Row],[Jaettava € 6]]+Ohj.lask.[[#This Row],[Jaettava € 7]]</f>
        <v>1794454</v>
      </c>
      <c r="AO118" s="34">
        <f>Ohj.lask.[[#This Row],[Jaettava € 8]]+Ohj.lask.[[#This Row],[Harkinnanvarainen korotus yhteensä, €]]</f>
        <v>16052620</v>
      </c>
      <c r="AP118" s="12">
        <v>0</v>
      </c>
      <c r="AQ118" s="34">
        <f>Ohj.lask.[[#This Row],[Perus-, suoritus- ja vaikuttavuusrahoitus yhteensä, €]]+Ohj.lask.[[#This Row],[Alv-korvaus, €]]</f>
        <v>16052620</v>
      </c>
    </row>
    <row r="119" spans="1:43" ht="12.75" x14ac:dyDescent="0.2">
      <c r="A119" s="4" t="s">
        <v>205</v>
      </c>
      <c r="B119" s="8" t="s">
        <v>108</v>
      </c>
      <c r="C119" s="97" t="s">
        <v>183</v>
      </c>
      <c r="D119" s="97" t="s">
        <v>326</v>
      </c>
      <c r="E119" s="97" t="s">
        <v>375</v>
      </c>
      <c r="F119" s="105">
        <v>956</v>
      </c>
      <c r="G119" s="33">
        <v>2136</v>
      </c>
      <c r="H119" s="9">
        <f>IFERROR(VLOOKUP(Ohj.lask.[[#This Row],[Y-tunnus]],'2.1 Toteut. op.vuodet'!$A:$T,COLUMN('2.1 Toteut. op.vuodet'!S:S),FALSE),0)</f>
        <v>0.90350815723275923</v>
      </c>
      <c r="I119" s="74">
        <f t="shared" si="3"/>
        <v>1929.9</v>
      </c>
      <c r="J119" s="10">
        <f>IFERROR(Ohj.lask.[[#This Row],[Painotetut opiskelija-vuodet]]/Ohj.lask.[[#Totals],[Painotetut opiskelija-vuodet]],0)</f>
        <v>9.3718131756067719E-3</v>
      </c>
      <c r="K119" s="11">
        <f>ROUND(IFERROR('1.1 Jakotaulu'!L$12*Ohj.lask.[[#This Row],[%-osuus 1]],0),0)</f>
        <v>13323879</v>
      </c>
      <c r="L119" s="139">
        <f>IFERROR(ROUND(VLOOKUP(Ohj.lask.[[#This Row],[Y-tunnus]],'2.2 Tutk. ja osien pain. pist.'!$A:$Q,COLUMN('2.2 Tutk. ja osien pain. pist.'!O:O),FALSE),1),0)</f>
        <v>221755</v>
      </c>
      <c r="M119" s="10">
        <f>IFERROR(Ohj.lask.[[#This Row],[Painotetut pisteet 2]]/Ohj.lask.[[#Totals],[Painotetut pisteet 2]],0)</f>
        <v>1.407984398856027E-2</v>
      </c>
      <c r="N119" s="17">
        <f>ROUND(IFERROR('1.1 Jakotaulu'!K$13*Ohj.lask.[[#This Row],[%-osuus 2]],0),0)</f>
        <v>5811526</v>
      </c>
      <c r="O119" s="140">
        <f>IFERROR(ROUND(VLOOKUP(Ohj.lask.[[#This Row],[Y-tunnus]],'2.3 Työll. ja jatko-opisk.'!$A:$Y,COLUMN('2.3 Työll. ja jatko-opisk.'!L:L),FALSE),1),0)</f>
        <v>5412.8</v>
      </c>
      <c r="P119" s="14">
        <f>IFERROR(Ohj.lask.[[#This Row],[Painotetut pisteet 3]]/Ohj.lask.[[#Totals],[Painotetut pisteet 3]],0)</f>
        <v>1.6036714263070493E-2</v>
      </c>
      <c r="Q119" s="11">
        <f>ROUND(IFERROR('1.1 Jakotaulu'!L$15*Ohj.lask.[[#This Row],[%-osuus 3]],0),0)</f>
        <v>2316726</v>
      </c>
      <c r="R119" s="139">
        <f>IFERROR(ROUND(VLOOKUP(Ohj.lask.[[#This Row],[Y-tunnus]],'2.4 Aloittaneet palaute'!$A:$I,COLUMN('2.4 Aloittaneet palaute'!H:H),FALSE),1),0)</f>
        <v>32612.7</v>
      </c>
      <c r="S119" s="14">
        <f>IFERROR(Ohj.lask.[[#This Row],[Painotetut pisteet 4]]/Ohj.lask.[[#Totals],[Painotetut pisteet 4]],0)</f>
        <v>1.8757487491586147E-2</v>
      </c>
      <c r="T119" s="17">
        <f>ROUND(IFERROR('1.1 Jakotaulu'!M$17*Ohj.lask.[[#This Row],[%-osuus 4]],0),0)</f>
        <v>145167</v>
      </c>
      <c r="U119" s="139">
        <f>IFERROR(ROUND(VLOOKUP(Ohj.lask.[[#This Row],[Y-tunnus]],'2.5 Päättäneet palaute'!$A:$Y,COLUMN('2.5 Päättäneet palaute'!X:X),FALSE),1),0)</f>
        <v>230384</v>
      </c>
      <c r="V119" s="14">
        <f>IFERROR(Ohj.lask.[[#This Row],[Painotetut pisteet 5]]/Ohj.lask.[[#Totals],[Painotetut pisteet 5]],0)</f>
        <v>2.0761498875250587E-2</v>
      </c>
      <c r="W119" s="17">
        <f>ROUND(IFERROR('1.1 Jakotaulu'!M$18*Ohj.lask.[[#This Row],[%-osuus 5]],0),0)</f>
        <v>482028</v>
      </c>
      <c r="X119" s="139">
        <f>IFERROR(ROUND(VLOOKUP(Ohj.lask.[[#This Row],[Y-tunnus]],'2.6 Työpaikkaohjaajakysely'!A:I,COLUMN('2.6 Työpaikkaohjaajakysely'!H:H),FALSE),1),0)</f>
        <v>7425099.2999999998</v>
      </c>
      <c r="Y119" s="10">
        <f>IFERROR(Ohj.lask.[[#This Row],[Painotetut pisteet 6]]/Ohj.lask.[[#Totals],[Painotetut pisteet 6]],0)</f>
        <v>2.1636996410080104E-2</v>
      </c>
      <c r="Z119" s="17">
        <f>ROUND(IFERROR('1.1 Jakotaulu'!M$20*Ohj.lask.[[#This Row],[%-osuus 6]],0),0)</f>
        <v>502355</v>
      </c>
      <c r="AA119" s="139">
        <f>IFERROR(ROUND(VLOOKUP(Ohj.lask.[[#This Row],[Y-tunnus]],'2.7 Työpaikkakysely'!A:G,COLUMN('2.7 Työpaikkakysely'!F:F),FALSE),1),0)</f>
        <v>3981316.3</v>
      </c>
      <c r="AB119" s="10">
        <f>IFERROR(Ohj.lask.[[#This Row],[Pisteet 7]]/Ohj.lask.[[#Totals],[Pisteet 7]],0)</f>
        <v>1.9454392624670341E-2</v>
      </c>
      <c r="AC119" s="17">
        <f>ROUND(IFERROR('1.1 Jakotaulu'!M$21*Ohj.lask.[[#This Row],[%-osuus 7]],0),0)</f>
        <v>150560</v>
      </c>
      <c r="AD119" s="13">
        <f>IFERROR(Ohj.lask.[[#This Row],[Jaettava € 8]]/Ohj.lask.[[#Totals],[Jaettava € 8]],"")</f>
        <v>1.1138728902119586E-2</v>
      </c>
      <c r="AE11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22732241</v>
      </c>
      <c r="AF119" s="103">
        <v>0</v>
      </c>
      <c r="AG119" s="103">
        <v>150000</v>
      </c>
      <c r="AH119" s="107">
        <v>0</v>
      </c>
      <c r="AI119" s="33">
        <v>81000</v>
      </c>
      <c r="AJ119" s="107">
        <v>0</v>
      </c>
      <c r="AK11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231000</v>
      </c>
      <c r="AL119" s="11">
        <f>Ohj.lask.[[#This Row],[Jaettava € 1]]+Ohj.lask.[[#This Row],[Harkinnanvarainen korotus yhteensä, €]]</f>
        <v>13554879</v>
      </c>
      <c r="AM119" s="103">
        <f>Ohj.lask.[[#This Row],[Jaettava € 2]]</f>
        <v>5811526</v>
      </c>
      <c r="AN119" s="11">
        <f>Ohj.lask.[[#This Row],[Jaettava € 3]]+Ohj.lask.[[#This Row],[Jaettava € 4]]+Ohj.lask.[[#This Row],[Jaettava € 5]]+Ohj.lask.[[#This Row],[Jaettava € 6]]+Ohj.lask.[[#This Row],[Jaettava € 7]]</f>
        <v>3596836</v>
      </c>
      <c r="AO119" s="34">
        <f>Ohj.lask.[[#This Row],[Jaettava € 8]]+Ohj.lask.[[#This Row],[Harkinnanvarainen korotus yhteensä, €]]</f>
        <v>22963241</v>
      </c>
      <c r="AP119" s="12">
        <v>1347141</v>
      </c>
      <c r="AQ119" s="34">
        <f>Ohj.lask.[[#This Row],[Perus-, suoritus- ja vaikuttavuusrahoitus yhteensä, €]]+Ohj.lask.[[#This Row],[Alv-korvaus, €]]</f>
        <v>24310382</v>
      </c>
    </row>
    <row r="120" spans="1:43" ht="12.75" x14ac:dyDescent="0.2">
      <c r="A120" s="4" t="s">
        <v>204</v>
      </c>
      <c r="B120" s="8" t="s">
        <v>109</v>
      </c>
      <c r="C120" s="8" t="s">
        <v>183</v>
      </c>
      <c r="D120" s="8" t="s">
        <v>327</v>
      </c>
      <c r="E120" s="8" t="s">
        <v>375</v>
      </c>
      <c r="F120" s="106">
        <v>8065</v>
      </c>
      <c r="G120" s="33">
        <v>8298</v>
      </c>
      <c r="H120" s="9">
        <f>IFERROR(VLOOKUP(Ohj.lask.[[#This Row],[Y-tunnus]],'2.1 Toteut. op.vuodet'!$A:$T,COLUMN('2.1 Toteut. op.vuodet'!S:S),FALSE),0)</f>
        <v>1.1587527998553455</v>
      </c>
      <c r="I120" s="74">
        <f t="shared" si="3"/>
        <v>9615.2999999999993</v>
      </c>
      <c r="J120" s="10">
        <f>IFERROR(Ohj.lask.[[#This Row],[Painotetut opiskelija-vuodet]]/Ohj.lask.[[#Totals],[Painotetut opiskelija-vuodet]],0)</f>
        <v>4.6692986801083879E-2</v>
      </c>
      <c r="K120" s="11">
        <f>ROUND(IFERROR('1.1 Jakotaulu'!L$12*Ohj.lask.[[#This Row],[%-osuus 1]],0),0)</f>
        <v>66383279</v>
      </c>
      <c r="L120" s="139">
        <f>IFERROR(ROUND(VLOOKUP(Ohj.lask.[[#This Row],[Y-tunnus]],'2.2 Tutk. ja osien pain. pist.'!$A:$Q,COLUMN('2.2 Tutk. ja osien pain. pist.'!O:O),FALSE),1),0)</f>
        <v>767982.2</v>
      </c>
      <c r="M120" s="10">
        <f>IFERROR(Ohj.lask.[[#This Row],[Painotetut pisteet 2]]/Ohj.lask.[[#Totals],[Painotetut pisteet 2]],0)</f>
        <v>4.8761333733134724E-2</v>
      </c>
      <c r="N120" s="17">
        <f>ROUND(IFERROR('1.1 Jakotaulu'!K$13*Ohj.lask.[[#This Row],[%-osuus 2]],0),0)</f>
        <v>20126484</v>
      </c>
      <c r="O120" s="140">
        <f>IFERROR(ROUND(VLOOKUP(Ohj.lask.[[#This Row],[Y-tunnus]],'2.3 Työll. ja jatko-opisk.'!$A:$Y,COLUMN('2.3 Työll. ja jatko-opisk.'!L:L),FALSE),1),0)</f>
        <v>17835.5</v>
      </c>
      <c r="P120" s="10">
        <f>IFERROR(Ohj.lask.[[#This Row],[Painotetut pisteet 3]]/Ohj.lask.[[#Totals],[Painotetut pisteet 3]],0)</f>
        <v>5.2841933424289424E-2</v>
      </c>
      <c r="Q120" s="11">
        <f>ROUND(IFERROR('1.1 Jakotaulu'!L$15*Ohj.lask.[[#This Row],[%-osuus 3]],0),0)</f>
        <v>7633752</v>
      </c>
      <c r="R120" s="139">
        <f>IFERROR(ROUND(VLOOKUP(Ohj.lask.[[#This Row],[Y-tunnus]],'2.4 Aloittaneet palaute'!$A:$I,COLUMN('2.4 Aloittaneet palaute'!H:H),FALSE),1),0)</f>
        <v>62895.4</v>
      </c>
      <c r="S120" s="14">
        <f>IFERROR(Ohj.lask.[[#This Row],[Painotetut pisteet 4]]/Ohj.lask.[[#Totals],[Painotetut pisteet 4]],0)</f>
        <v>3.6174854543730123E-2</v>
      </c>
      <c r="T120" s="17">
        <f>ROUND(IFERROR('1.1 Jakotaulu'!M$17*Ohj.lask.[[#This Row],[%-osuus 4]],0),0)</f>
        <v>279962</v>
      </c>
      <c r="U120" s="139">
        <f>IFERROR(ROUND(VLOOKUP(Ohj.lask.[[#This Row],[Y-tunnus]],'2.5 Päättäneet palaute'!$A:$Y,COLUMN('2.5 Päättäneet palaute'!X:X),FALSE),1),0)</f>
        <v>422442.1</v>
      </c>
      <c r="V120" s="14">
        <f>IFERROR(Ohj.lask.[[#This Row],[Painotetut pisteet 5]]/Ohj.lask.[[#Totals],[Painotetut pisteet 5]],0)</f>
        <v>3.806918529068206E-2</v>
      </c>
      <c r="W120" s="17">
        <f>ROUND(IFERROR('1.1 Jakotaulu'!M$18*Ohj.lask.[[#This Row],[%-osuus 5]],0),0)</f>
        <v>883868</v>
      </c>
      <c r="X120" s="139">
        <f>IFERROR(ROUND(VLOOKUP(Ohj.lask.[[#This Row],[Y-tunnus]],'2.6 Työpaikkaohjaajakysely'!A:I,COLUMN('2.6 Työpaikkaohjaajakysely'!H:H),FALSE),1),0)</f>
        <v>17536469.5</v>
      </c>
      <c r="Y120" s="10">
        <f>IFERROR(Ohj.lask.[[#This Row],[Painotetut pisteet 6]]/Ohj.lask.[[#Totals],[Painotetut pisteet 6]],0)</f>
        <v>5.1101879218905431E-2</v>
      </c>
      <c r="Z120" s="17">
        <f>ROUND(IFERROR('1.1 Jakotaulu'!M$20*Ohj.lask.[[#This Row],[%-osuus 6]],0),0)</f>
        <v>1186453</v>
      </c>
      <c r="AA120" s="139">
        <f>IFERROR(ROUND(VLOOKUP(Ohj.lask.[[#This Row],[Y-tunnus]],'2.7 Työpaikkakysely'!A:G,COLUMN('2.7 Työpaikkakysely'!F:F),FALSE),1),0)</f>
        <v>7628416.4000000004</v>
      </c>
      <c r="AB120" s="10">
        <f>IFERROR(Ohj.lask.[[#This Row],[Pisteet 7]]/Ohj.lask.[[#Totals],[Pisteet 7]],0)</f>
        <v>3.7275663767300848E-2</v>
      </c>
      <c r="AC120" s="17">
        <f>ROUND(IFERROR('1.1 Jakotaulu'!M$21*Ohj.lask.[[#This Row],[%-osuus 7]],0),0)</f>
        <v>288482</v>
      </c>
      <c r="AD120" s="13">
        <f>IFERROR(Ohj.lask.[[#This Row],[Jaettava € 8]]/Ohj.lask.[[#Totals],[Jaettava € 8]],"")</f>
        <v>4.7423022633317602E-2</v>
      </c>
      <c r="AE12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96782280</v>
      </c>
      <c r="AF120" s="103">
        <v>0</v>
      </c>
      <c r="AG120" s="103">
        <v>70000</v>
      </c>
      <c r="AH120" s="107">
        <v>0</v>
      </c>
      <c r="AI120" s="33">
        <v>114000</v>
      </c>
      <c r="AJ120" s="107">
        <v>100000</v>
      </c>
      <c r="AK12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284000</v>
      </c>
      <c r="AL120" s="11">
        <f>Ohj.lask.[[#This Row],[Jaettava € 1]]+Ohj.lask.[[#This Row],[Harkinnanvarainen korotus yhteensä, €]]</f>
        <v>66667279</v>
      </c>
      <c r="AM120" s="103">
        <f>Ohj.lask.[[#This Row],[Jaettava € 2]]</f>
        <v>20126484</v>
      </c>
      <c r="AN120" s="11">
        <f>Ohj.lask.[[#This Row],[Jaettava € 3]]+Ohj.lask.[[#This Row],[Jaettava € 4]]+Ohj.lask.[[#This Row],[Jaettava € 5]]+Ohj.lask.[[#This Row],[Jaettava € 6]]+Ohj.lask.[[#This Row],[Jaettava € 7]]</f>
        <v>10272517</v>
      </c>
      <c r="AO120" s="34">
        <f>Ohj.lask.[[#This Row],[Jaettava € 8]]+Ohj.lask.[[#This Row],[Harkinnanvarainen korotus yhteensä, €]]</f>
        <v>97066280</v>
      </c>
      <c r="AP120" s="12">
        <v>0</v>
      </c>
      <c r="AQ120" s="34">
        <f>Ohj.lask.[[#This Row],[Perus-, suoritus- ja vaikuttavuusrahoitus yhteensä, €]]+Ohj.lask.[[#This Row],[Alv-korvaus, €]]</f>
        <v>97066280</v>
      </c>
    </row>
    <row r="121" spans="1:43" ht="12.75" x14ac:dyDescent="0.2">
      <c r="A121" s="4" t="s">
        <v>203</v>
      </c>
      <c r="B121" s="8" t="s">
        <v>110</v>
      </c>
      <c r="C121" s="8" t="s">
        <v>183</v>
      </c>
      <c r="D121" s="8" t="s">
        <v>326</v>
      </c>
      <c r="E121" s="8" t="s">
        <v>375</v>
      </c>
      <c r="F121" s="106">
        <v>61</v>
      </c>
      <c r="G121" s="33">
        <v>63</v>
      </c>
      <c r="H121" s="9">
        <f>IFERROR(VLOOKUP(Ohj.lask.[[#This Row],[Y-tunnus]],'2.1 Toteut. op.vuodet'!$A:$T,COLUMN('2.1 Toteut. op.vuodet'!S:S),FALSE),0)</f>
        <v>1.3322098697074016</v>
      </c>
      <c r="I121" s="74">
        <f t="shared" si="3"/>
        <v>83.9</v>
      </c>
      <c r="J121" s="10">
        <f>IFERROR(Ohj.lask.[[#This Row],[Painotetut opiskelija-vuodet]]/Ohj.lask.[[#Totals],[Painotetut opiskelija-vuodet]],0)</f>
        <v>4.0742791099715437E-4</v>
      </c>
      <c r="K121" s="11">
        <f>ROUND(IFERROR('1.1 Jakotaulu'!L$12*Ohj.lask.[[#This Row],[%-osuus 1]],0),0)</f>
        <v>579239</v>
      </c>
      <c r="L121" s="139">
        <f>IFERROR(ROUND(VLOOKUP(Ohj.lask.[[#This Row],[Y-tunnus]],'2.2 Tutk. ja osien pain. pist.'!$A:$Q,COLUMN('2.2 Tutk. ja osien pain. pist.'!O:O),FALSE),1),0)</f>
        <v>6155.9</v>
      </c>
      <c r="M121" s="10">
        <f>IFERROR(Ohj.lask.[[#This Row],[Painotetut pisteet 2]]/Ohj.lask.[[#Totals],[Painotetut pisteet 2]],0)</f>
        <v>3.9085527545795209E-4</v>
      </c>
      <c r="N121" s="17">
        <f>ROUND(IFERROR('1.1 Jakotaulu'!K$13*Ohj.lask.[[#This Row],[%-osuus 2]],0),0)</f>
        <v>161327</v>
      </c>
      <c r="O121" s="140">
        <f>IFERROR(ROUND(VLOOKUP(Ohj.lask.[[#This Row],[Y-tunnus]],'2.3 Työll. ja jatko-opisk.'!$A:$Y,COLUMN('2.3 Työll. ja jatko-opisk.'!L:L),FALSE),1),0)</f>
        <v>169.9</v>
      </c>
      <c r="P121" s="10">
        <f>IFERROR(Ohj.lask.[[#This Row],[Painotetut pisteet 3]]/Ohj.lask.[[#Totals],[Painotetut pisteet 3]],0)</f>
        <v>5.0336937505462552E-4</v>
      </c>
      <c r="Q121" s="11">
        <f>ROUND(IFERROR('1.1 Jakotaulu'!L$15*Ohj.lask.[[#This Row],[%-osuus 3]],0),0)</f>
        <v>72719</v>
      </c>
      <c r="R121" s="139">
        <f>IFERROR(ROUND(VLOOKUP(Ohj.lask.[[#This Row],[Y-tunnus]],'2.4 Aloittaneet palaute'!$A:$I,COLUMN('2.4 Aloittaneet palaute'!H:H),FALSE),1),0)</f>
        <v>176.3</v>
      </c>
      <c r="S121" s="14">
        <f>IFERROR(Ohj.lask.[[#This Row],[Painotetut pisteet 4]]/Ohj.lask.[[#Totals],[Painotetut pisteet 4]],0)</f>
        <v>1.0140052938783473E-4</v>
      </c>
      <c r="T121" s="17">
        <f>ROUND(IFERROR('1.1 Jakotaulu'!M$17*Ohj.lask.[[#This Row],[%-osuus 4]],0),0)</f>
        <v>785</v>
      </c>
      <c r="U121" s="139">
        <f>IFERROR(ROUND(VLOOKUP(Ohj.lask.[[#This Row],[Y-tunnus]],'2.5 Päättäneet palaute'!$A:$Y,COLUMN('2.5 Päättäneet palaute'!X:X),FALSE),1),0)</f>
        <v>3247.4</v>
      </c>
      <c r="V121" s="14">
        <f>IFERROR(Ohj.lask.[[#This Row],[Painotetut pisteet 5]]/Ohj.lask.[[#Totals],[Painotetut pisteet 5]],0)</f>
        <v>2.9264571952691484E-4</v>
      </c>
      <c r="W121" s="17">
        <f>ROUND(IFERROR('1.1 Jakotaulu'!M$18*Ohj.lask.[[#This Row],[%-osuus 5]],0),0)</f>
        <v>6794</v>
      </c>
      <c r="X121" s="139">
        <f>IFERROR(ROUND(VLOOKUP(Ohj.lask.[[#This Row],[Y-tunnus]],'2.6 Työpaikkaohjaajakysely'!A:I,COLUMN('2.6 Työpaikkaohjaajakysely'!H:H),FALSE),1),0)</f>
        <v>0</v>
      </c>
      <c r="Y121" s="10">
        <f>IFERROR(Ohj.lask.[[#This Row],[Painotetut pisteet 6]]/Ohj.lask.[[#Totals],[Painotetut pisteet 6]],0)</f>
        <v>0</v>
      </c>
      <c r="Z121" s="17">
        <f>ROUND(IFERROR('1.1 Jakotaulu'!M$20*Ohj.lask.[[#This Row],[%-osuus 6]],0),0)</f>
        <v>0</v>
      </c>
      <c r="AA121" s="139">
        <f>IFERROR(ROUND(VLOOKUP(Ohj.lask.[[#This Row],[Y-tunnus]],'2.7 Työpaikkakysely'!A:G,COLUMN('2.7 Työpaikkakysely'!F:F),FALSE),1),0)</f>
        <v>0</v>
      </c>
      <c r="AB121" s="10">
        <f>IFERROR(Ohj.lask.[[#This Row],[Pisteet 7]]/Ohj.lask.[[#Totals],[Pisteet 7]],0)</f>
        <v>0</v>
      </c>
      <c r="AC121" s="17">
        <f>ROUND(IFERROR('1.1 Jakotaulu'!M$21*Ohj.lask.[[#This Row],[%-osuus 7]],0),0)</f>
        <v>0</v>
      </c>
      <c r="AD121" s="13">
        <f>IFERROR(Ohj.lask.[[#This Row],[Jaettava € 8]]/Ohj.lask.[[#Totals],[Jaettava € 8]],"")</f>
        <v>4.0222086161718467E-4</v>
      </c>
      <c r="AE12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820864</v>
      </c>
      <c r="AF121" s="103">
        <v>0</v>
      </c>
      <c r="AG121" s="103">
        <v>0</v>
      </c>
      <c r="AH121" s="107">
        <v>0</v>
      </c>
      <c r="AI121" s="33">
        <v>0</v>
      </c>
      <c r="AJ121" s="107">
        <v>0</v>
      </c>
      <c r="AK12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21" s="11">
        <f>Ohj.lask.[[#This Row],[Jaettava € 1]]+Ohj.lask.[[#This Row],[Harkinnanvarainen korotus yhteensä, €]]</f>
        <v>579239</v>
      </c>
      <c r="AM121" s="103">
        <f>Ohj.lask.[[#This Row],[Jaettava € 2]]</f>
        <v>161327</v>
      </c>
      <c r="AN121" s="11">
        <f>Ohj.lask.[[#This Row],[Jaettava € 3]]+Ohj.lask.[[#This Row],[Jaettava € 4]]+Ohj.lask.[[#This Row],[Jaettava € 5]]+Ohj.lask.[[#This Row],[Jaettava € 6]]+Ohj.lask.[[#This Row],[Jaettava € 7]]</f>
        <v>80298</v>
      </c>
      <c r="AO121" s="34">
        <f>Ohj.lask.[[#This Row],[Jaettava € 8]]+Ohj.lask.[[#This Row],[Harkinnanvarainen korotus yhteensä, €]]</f>
        <v>820864</v>
      </c>
      <c r="AP121" s="12">
        <v>48598</v>
      </c>
      <c r="AQ121" s="34">
        <f>Ohj.lask.[[#This Row],[Perus-, suoritus- ja vaikuttavuusrahoitus yhteensä, €]]+Ohj.lask.[[#This Row],[Alv-korvaus, €]]</f>
        <v>869462</v>
      </c>
    </row>
    <row r="122" spans="1:43" ht="12.75" x14ac:dyDescent="0.2">
      <c r="A122" s="4" t="s">
        <v>202</v>
      </c>
      <c r="B122" s="8" t="s">
        <v>111</v>
      </c>
      <c r="C122" s="8" t="s">
        <v>201</v>
      </c>
      <c r="D122" s="8" t="s">
        <v>326</v>
      </c>
      <c r="E122" s="8" t="s">
        <v>375</v>
      </c>
      <c r="F122" s="106">
        <v>66</v>
      </c>
      <c r="G122" s="33">
        <v>69</v>
      </c>
      <c r="H122" s="9">
        <f>IFERROR(VLOOKUP(Ohj.lask.[[#This Row],[Y-tunnus]],'2.1 Toteut. op.vuodet'!$A:$T,COLUMN('2.1 Toteut. op.vuodet'!S:S),FALSE),0)</f>
        <v>1.8991941400964318</v>
      </c>
      <c r="I122" s="74">
        <f t="shared" si="3"/>
        <v>131</v>
      </c>
      <c r="J122" s="10">
        <f>IFERROR(Ohj.lask.[[#This Row],[Painotetut opiskelija-vuodet]]/Ohj.lask.[[#Totals],[Painotetut opiskelija-vuodet]],0)</f>
        <v>6.3615085030544957E-4</v>
      </c>
      <c r="K122" s="11">
        <f>ROUND(IFERROR('1.1 Jakotaulu'!L$12*Ohj.lask.[[#This Row],[%-osuus 1]],0),0)</f>
        <v>904414</v>
      </c>
      <c r="L122" s="139">
        <f>IFERROR(ROUND(VLOOKUP(Ohj.lask.[[#This Row],[Y-tunnus]],'2.2 Tutk. ja osien pain. pist.'!$A:$Q,COLUMN('2.2 Tutk. ja osien pain. pist.'!O:O),FALSE),1),0)</f>
        <v>9010.2000000000007</v>
      </c>
      <c r="M122" s="10">
        <f>IFERROR(Ohj.lask.[[#This Row],[Painotetut pisteet 2]]/Ohj.lask.[[#Totals],[Painotetut pisteet 2]],0)</f>
        <v>5.7208275035839447E-4</v>
      </c>
      <c r="N122" s="17">
        <f>ROUND(IFERROR('1.1 Jakotaulu'!K$13*Ohj.lask.[[#This Row],[%-osuus 2]],0),0)</f>
        <v>236130</v>
      </c>
      <c r="O122" s="140">
        <f>IFERROR(ROUND(VLOOKUP(Ohj.lask.[[#This Row],[Y-tunnus]],'2.3 Työll. ja jatko-opisk.'!$A:$Y,COLUMN('2.3 Työll. ja jatko-opisk.'!L:L),FALSE),1),0)</f>
        <v>247.8</v>
      </c>
      <c r="P122" s="10">
        <f>IFERROR(Ohj.lask.[[#This Row],[Painotetut pisteet 3]]/Ohj.lask.[[#Totals],[Painotetut pisteet 3]],0)</f>
        <v>7.3416675184541618E-4</v>
      </c>
      <c r="Q122" s="11">
        <f>ROUND(IFERROR('1.1 Jakotaulu'!L$15*Ohj.lask.[[#This Row],[%-osuus 3]],0),0)</f>
        <v>106061</v>
      </c>
      <c r="R122" s="139">
        <f>IFERROR(ROUND(VLOOKUP(Ohj.lask.[[#This Row],[Y-tunnus]],'2.4 Aloittaneet palaute'!$A:$I,COLUMN('2.4 Aloittaneet palaute'!H:H),FALSE),1),0)</f>
        <v>1203.5999999999999</v>
      </c>
      <c r="S122" s="14">
        <f>IFERROR(Ohj.lask.[[#This Row],[Painotetut pisteet 4]]/Ohj.lask.[[#Totals],[Painotetut pisteet 4]],0)</f>
        <v>6.9226135661484888E-4</v>
      </c>
      <c r="T122" s="17">
        <f>ROUND(IFERROR('1.1 Jakotaulu'!M$17*Ohj.lask.[[#This Row],[%-osuus 4]],0),0)</f>
        <v>5358</v>
      </c>
      <c r="U122" s="139">
        <f>IFERROR(ROUND(VLOOKUP(Ohj.lask.[[#This Row],[Y-tunnus]],'2.5 Päättäneet palaute'!$A:$Y,COLUMN('2.5 Päättäneet palaute'!X:X),FALSE),1),0)</f>
        <v>5185.2</v>
      </c>
      <c r="V122" s="14">
        <f>IFERROR(Ohj.lask.[[#This Row],[Painotetut pisteet 5]]/Ohj.lask.[[#Totals],[Painotetut pisteet 5]],0)</f>
        <v>4.6727430710444013E-4</v>
      </c>
      <c r="W122" s="17">
        <f>ROUND(IFERROR('1.1 Jakotaulu'!M$18*Ohj.lask.[[#This Row],[%-osuus 5]],0),0)</f>
        <v>10849</v>
      </c>
      <c r="X122" s="139">
        <f>IFERROR(ROUND(VLOOKUP(Ohj.lask.[[#This Row],[Y-tunnus]],'2.6 Työpaikkaohjaajakysely'!A:I,COLUMN('2.6 Työpaikkaohjaajakysely'!H:H),FALSE),1),0)</f>
        <v>291648.59999999998</v>
      </c>
      <c r="Y122" s="10">
        <f>IFERROR(Ohj.lask.[[#This Row],[Painotetut pisteet 6]]/Ohj.lask.[[#Totals],[Painotetut pisteet 6]],0)</f>
        <v>8.4987411699731584E-4</v>
      </c>
      <c r="Z122" s="17">
        <f>ROUND(IFERROR('1.1 Jakotaulu'!M$20*Ohj.lask.[[#This Row],[%-osuus 6]],0),0)</f>
        <v>19732</v>
      </c>
      <c r="AA122" s="139">
        <f>IFERROR(ROUND(VLOOKUP(Ohj.lask.[[#This Row],[Y-tunnus]],'2.7 Työpaikkakysely'!A:G,COLUMN('2.7 Työpaikkakysely'!F:F),FALSE),1),0)</f>
        <v>154169</v>
      </c>
      <c r="AB122" s="10">
        <f>IFERROR(Ohj.lask.[[#This Row],[Pisteet 7]]/Ohj.lask.[[#Totals],[Pisteet 7]],0)</f>
        <v>7.5333483465074146E-4</v>
      </c>
      <c r="AC122" s="17">
        <f>ROUND(IFERROR('1.1 Jakotaulu'!M$21*Ohj.lask.[[#This Row],[%-osuus 7]],0),0)</f>
        <v>5830</v>
      </c>
      <c r="AD122" s="13">
        <f>IFERROR(Ohj.lask.[[#This Row],[Jaettava € 8]]/Ohj.lask.[[#Totals],[Jaettava € 8]],"")</f>
        <v>6.3129933870309659E-4</v>
      </c>
      <c r="AE12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1288374</v>
      </c>
      <c r="AF122" s="103">
        <v>0</v>
      </c>
      <c r="AG122" s="103">
        <v>0</v>
      </c>
      <c r="AH122" s="107">
        <v>0</v>
      </c>
      <c r="AI122" s="33">
        <v>2000</v>
      </c>
      <c r="AJ122" s="107">
        <v>0</v>
      </c>
      <c r="AK12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122" s="11">
        <f>Ohj.lask.[[#This Row],[Jaettava € 1]]+Ohj.lask.[[#This Row],[Harkinnanvarainen korotus yhteensä, €]]</f>
        <v>906414</v>
      </c>
      <c r="AM122" s="103">
        <f>Ohj.lask.[[#This Row],[Jaettava € 2]]</f>
        <v>236130</v>
      </c>
      <c r="AN122" s="11">
        <f>Ohj.lask.[[#This Row],[Jaettava € 3]]+Ohj.lask.[[#This Row],[Jaettava € 4]]+Ohj.lask.[[#This Row],[Jaettava € 5]]+Ohj.lask.[[#This Row],[Jaettava € 6]]+Ohj.lask.[[#This Row],[Jaettava € 7]]</f>
        <v>147830</v>
      </c>
      <c r="AO122" s="34">
        <f>Ohj.lask.[[#This Row],[Jaettava € 8]]+Ohj.lask.[[#This Row],[Harkinnanvarainen korotus yhteensä, €]]</f>
        <v>1290374</v>
      </c>
      <c r="AP122" s="12">
        <v>70264</v>
      </c>
      <c r="AQ122" s="34">
        <f>Ohj.lask.[[#This Row],[Perus-, suoritus- ja vaikuttavuusrahoitus yhteensä, €]]+Ohj.lask.[[#This Row],[Alv-korvaus, €]]</f>
        <v>1360638</v>
      </c>
    </row>
    <row r="123" spans="1:43" ht="12.75" x14ac:dyDescent="0.2">
      <c r="A123" s="4" t="s">
        <v>198</v>
      </c>
      <c r="B123" s="8" t="s">
        <v>112</v>
      </c>
      <c r="C123" s="8" t="s">
        <v>178</v>
      </c>
      <c r="D123" s="8" t="s">
        <v>326</v>
      </c>
      <c r="E123" s="8" t="s">
        <v>375</v>
      </c>
      <c r="F123" s="106">
        <v>184</v>
      </c>
      <c r="G123" s="33">
        <v>177</v>
      </c>
      <c r="H123" s="9">
        <f>IFERROR(VLOOKUP(Ohj.lask.[[#This Row],[Y-tunnus]],'2.1 Toteut. op.vuodet'!$A:$T,COLUMN('2.1 Toteut. op.vuodet'!S:S),FALSE),0)</f>
        <v>1.333152521376729</v>
      </c>
      <c r="I123" s="74">
        <f t="shared" si="3"/>
        <v>236</v>
      </c>
      <c r="J123" s="10">
        <f>IFERROR(Ohj.lask.[[#This Row],[Painotetut opiskelija-vuodet]]/Ohj.lask.[[#Totals],[Painotetut opiskelija-vuodet]],0)</f>
        <v>1.1460427532220313E-3</v>
      </c>
      <c r="K123" s="11">
        <f>ROUND(IFERROR('1.1 Jakotaulu'!L$12*Ohj.lask.[[#This Row],[%-osuus 1]],0),0)</f>
        <v>1629326</v>
      </c>
      <c r="L123" s="139">
        <f>IFERROR(ROUND(VLOOKUP(Ohj.lask.[[#This Row],[Y-tunnus]],'2.2 Tutk. ja osien pain. pist.'!$A:$Q,COLUMN('2.2 Tutk. ja osien pain. pist.'!O:O),FALSE),1),0)</f>
        <v>20780.7</v>
      </c>
      <c r="M123" s="10">
        <f>IFERROR(Ohj.lask.[[#This Row],[Painotetut pisteet 2]]/Ohj.lask.[[#Totals],[Painotetut pisteet 2]],0)</f>
        <v>1.3194246532122135E-3</v>
      </c>
      <c r="N123" s="17">
        <f>ROUND(IFERROR('1.1 Jakotaulu'!K$13*Ohj.lask.[[#This Row],[%-osuus 2]],0),0)</f>
        <v>544599</v>
      </c>
      <c r="O123" s="140">
        <f>IFERROR(ROUND(VLOOKUP(Ohj.lask.[[#This Row],[Y-tunnus]],'2.3 Työll. ja jatko-opisk.'!$A:$Y,COLUMN('2.3 Työll. ja jatko-opisk.'!L:L),FALSE),1),0)</f>
        <v>386.3</v>
      </c>
      <c r="P123" s="10">
        <f>IFERROR(Ohj.lask.[[#This Row],[Painotetut pisteet 3]]/Ohj.lask.[[#Totals],[Painotetut pisteet 3]],0)</f>
        <v>1.1445061187969501E-3</v>
      </c>
      <c r="Q123" s="11">
        <f>ROUND(IFERROR('1.1 Jakotaulu'!L$15*Ohj.lask.[[#This Row],[%-osuus 3]],0),0)</f>
        <v>165340</v>
      </c>
      <c r="R123" s="139">
        <f>IFERROR(ROUND(VLOOKUP(Ohj.lask.[[#This Row],[Y-tunnus]],'2.4 Aloittaneet palaute'!$A:$I,COLUMN('2.4 Aloittaneet palaute'!H:H),FALSE),1),0)</f>
        <v>1390.7</v>
      </c>
      <c r="S123" s="14">
        <f>IFERROR(Ohj.lask.[[#This Row],[Painotetut pisteet 4]]/Ohj.lask.[[#Totals],[Painotetut pisteet 4]],0)</f>
        <v>7.9987360306104228E-4</v>
      </c>
      <c r="T123" s="17">
        <f>ROUND(IFERROR('1.1 Jakotaulu'!M$17*Ohj.lask.[[#This Row],[%-osuus 4]],0),0)</f>
        <v>6190</v>
      </c>
      <c r="U123" s="139">
        <f>IFERROR(ROUND(VLOOKUP(Ohj.lask.[[#This Row],[Y-tunnus]],'2.5 Päättäneet palaute'!$A:$Y,COLUMN('2.5 Päättäneet palaute'!X:X),FALSE),1),0)</f>
        <v>10600.5</v>
      </c>
      <c r="V123" s="14">
        <f>IFERROR(Ohj.lask.[[#This Row],[Painotetut pisteet 5]]/Ohj.lask.[[#Totals],[Painotetut pisteet 5]],0)</f>
        <v>9.5528451987591948E-4</v>
      </c>
      <c r="W123" s="17">
        <f>ROUND(IFERROR('1.1 Jakotaulu'!M$18*Ohj.lask.[[#This Row],[%-osuus 5]],0),0)</f>
        <v>22179</v>
      </c>
      <c r="X123" s="139">
        <f>IFERROR(ROUND(VLOOKUP(Ohj.lask.[[#This Row],[Y-tunnus]],'2.6 Työpaikkaohjaajakysely'!A:I,COLUMN('2.6 Työpaikkaohjaajakysely'!H:H),FALSE),1),0)</f>
        <v>240597.9</v>
      </c>
      <c r="Y123" s="10">
        <f>IFERROR(Ohj.lask.[[#This Row],[Painotetut pisteet 6]]/Ohj.lask.[[#Totals],[Painotetut pisteet 6]],0)</f>
        <v>7.0111060987060629E-4</v>
      </c>
      <c r="Z123" s="17">
        <f>ROUND(IFERROR('1.1 Jakotaulu'!M$20*Ohj.lask.[[#This Row],[%-osuus 6]],0),0)</f>
        <v>16278</v>
      </c>
      <c r="AA123" s="139">
        <f>IFERROR(ROUND(VLOOKUP(Ohj.lask.[[#This Row],[Y-tunnus]],'2.7 Työpaikkakysely'!A:G,COLUMN('2.7 Työpaikkakysely'!F:F),FALSE),1),0)</f>
        <v>73617</v>
      </c>
      <c r="AB123" s="10">
        <f>IFERROR(Ohj.lask.[[#This Row],[Pisteet 7]]/Ohj.lask.[[#Totals],[Pisteet 7]],0)</f>
        <v>3.5972374811073324E-4</v>
      </c>
      <c r="AC123" s="17">
        <f>ROUND(IFERROR('1.1 Jakotaulu'!M$21*Ohj.lask.[[#This Row],[%-osuus 7]],0),0)</f>
        <v>2784</v>
      </c>
      <c r="AD123" s="13">
        <f>IFERROR(Ohj.lask.[[#This Row],[Jaettava € 8]]/Ohj.lask.[[#Totals],[Jaettava € 8]],"")</f>
        <v>1.1694737758487256E-3</v>
      </c>
      <c r="AE12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2386696</v>
      </c>
      <c r="AF123" s="103">
        <v>0</v>
      </c>
      <c r="AG123" s="103">
        <v>0</v>
      </c>
      <c r="AH123" s="107">
        <v>0</v>
      </c>
      <c r="AI123" s="33">
        <v>1000</v>
      </c>
      <c r="AJ123" s="107">
        <v>0</v>
      </c>
      <c r="AK12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1000</v>
      </c>
      <c r="AL123" s="11">
        <f>Ohj.lask.[[#This Row],[Jaettava € 1]]+Ohj.lask.[[#This Row],[Harkinnanvarainen korotus yhteensä, €]]</f>
        <v>1630326</v>
      </c>
      <c r="AM123" s="103">
        <f>Ohj.lask.[[#This Row],[Jaettava € 2]]</f>
        <v>544599</v>
      </c>
      <c r="AN123" s="11">
        <f>Ohj.lask.[[#This Row],[Jaettava € 3]]+Ohj.lask.[[#This Row],[Jaettava € 4]]+Ohj.lask.[[#This Row],[Jaettava € 5]]+Ohj.lask.[[#This Row],[Jaettava € 6]]+Ohj.lask.[[#This Row],[Jaettava € 7]]</f>
        <v>212771</v>
      </c>
      <c r="AO123" s="34">
        <f>Ohj.lask.[[#This Row],[Jaettava € 8]]+Ohj.lask.[[#This Row],[Harkinnanvarainen korotus yhteensä, €]]</f>
        <v>2387696</v>
      </c>
      <c r="AP123" s="12">
        <v>245015</v>
      </c>
      <c r="AQ123" s="34">
        <f>Ohj.lask.[[#This Row],[Perus-, suoritus- ja vaikuttavuusrahoitus yhteensä, €]]+Ohj.lask.[[#This Row],[Alv-korvaus, €]]</f>
        <v>2632711</v>
      </c>
    </row>
    <row r="124" spans="1:43" ht="12.75" x14ac:dyDescent="0.2">
      <c r="A124" s="4" t="s">
        <v>199</v>
      </c>
      <c r="B124" s="8" t="s">
        <v>113</v>
      </c>
      <c r="C124" s="8" t="s">
        <v>178</v>
      </c>
      <c r="D124" s="8" t="s">
        <v>326</v>
      </c>
      <c r="E124" s="8" t="s">
        <v>375</v>
      </c>
      <c r="F124" s="106">
        <v>0</v>
      </c>
      <c r="G124" s="33">
        <v>50</v>
      </c>
      <c r="H124" s="9">
        <f>IFERROR(VLOOKUP(Ohj.lask.[[#This Row],[Y-tunnus]],'2.1 Toteut. op.vuodet'!$A:$T,COLUMN('2.1 Toteut. op.vuodet'!S:S),FALSE),0)</f>
        <v>0.98472563760275522</v>
      </c>
      <c r="I124" s="74">
        <f t="shared" si="3"/>
        <v>49.2</v>
      </c>
      <c r="J124" s="10">
        <f>IFERROR(Ohj.lask.[[#This Row],[Painotetut opiskelija-vuodet]]/Ohj.lask.[[#Totals],[Painotetut opiskelija-vuodet]],0)</f>
        <v>2.3892077736662685E-4</v>
      </c>
      <c r="K124" s="11">
        <f>ROUND(IFERROR('1.1 Jakotaulu'!L$12*Ohj.lask.[[#This Row],[%-osuus 1]],0),0)</f>
        <v>339673</v>
      </c>
      <c r="L124" s="139">
        <f>IFERROR(ROUND(VLOOKUP(Ohj.lask.[[#This Row],[Y-tunnus]],'2.2 Tutk. ja osien pain. pist.'!$A:$Q,COLUMN('2.2 Tutk. ja osien pain. pist.'!O:O),FALSE),1),0)</f>
        <v>4129.1000000000004</v>
      </c>
      <c r="M124" s="10">
        <f>IFERROR(Ohj.lask.[[#This Row],[Painotetut pisteet 2]]/Ohj.lask.[[#Totals],[Painotetut pisteet 2]],0)</f>
        <v>2.6216808555912702E-4</v>
      </c>
      <c r="N124" s="17">
        <f>ROUND(IFERROR('1.1 Jakotaulu'!K$13*Ohj.lask.[[#This Row],[%-osuus 2]],0),0)</f>
        <v>108211</v>
      </c>
      <c r="O124" s="140">
        <f>IFERROR(ROUND(VLOOKUP(Ohj.lask.[[#This Row],[Y-tunnus]],'2.3 Työll. ja jatko-opisk.'!$A:$Y,COLUMN('2.3 Työll. ja jatko-opisk.'!L:L),FALSE),1),0)</f>
        <v>57.9</v>
      </c>
      <c r="P124" s="10">
        <f>IFERROR(Ohj.lask.[[#This Row],[Painotetut pisteet 3]]/Ohj.lask.[[#Totals],[Painotetut pisteet 3]],0)</f>
        <v>1.7154259455952217E-4</v>
      </c>
      <c r="Q124" s="11">
        <f>ROUND(IFERROR('1.1 Jakotaulu'!L$15*Ohj.lask.[[#This Row],[%-osuus 3]],0),0)</f>
        <v>24782</v>
      </c>
      <c r="R124" s="139">
        <f>IFERROR(ROUND(VLOOKUP(Ohj.lask.[[#This Row],[Y-tunnus]],'2.4 Aloittaneet palaute'!$A:$I,COLUMN('2.4 Aloittaneet palaute'!H:H),FALSE),1),0)</f>
        <v>1215</v>
      </c>
      <c r="S124" s="14">
        <f>IFERROR(Ohj.lask.[[#This Row],[Painotetut pisteet 4]]/Ohj.lask.[[#Totals],[Painotetut pisteet 4]],0)</f>
        <v>6.9881816906533858E-4</v>
      </c>
      <c r="T124" s="17">
        <f>ROUND(IFERROR('1.1 Jakotaulu'!M$17*Ohj.lask.[[#This Row],[%-osuus 4]],0),0)</f>
        <v>5408</v>
      </c>
      <c r="U124" s="139">
        <f>IFERROR(ROUND(VLOOKUP(Ohj.lask.[[#This Row],[Y-tunnus]],'2.5 Päättäneet palaute'!$A:$Y,COLUMN('2.5 Päättäneet palaute'!X:X),FALSE),1),0)</f>
        <v>3351.3</v>
      </c>
      <c r="V124" s="14">
        <f>IFERROR(Ohj.lask.[[#This Row],[Painotetut pisteet 5]]/Ohj.lask.[[#Totals],[Painotetut pisteet 5]],0)</f>
        <v>3.0200886858734673E-4</v>
      </c>
      <c r="W124" s="17">
        <f>ROUND(IFERROR('1.1 Jakotaulu'!M$18*Ohj.lask.[[#This Row],[%-osuus 5]],0),0)</f>
        <v>7012</v>
      </c>
      <c r="X124" s="139">
        <f>IFERROR(ROUND(VLOOKUP(Ohj.lask.[[#This Row],[Y-tunnus]],'2.6 Työpaikkaohjaajakysely'!A:I,COLUMN('2.6 Työpaikkaohjaajakysely'!H:H),FALSE),1),0)</f>
        <v>101223.7</v>
      </c>
      <c r="Y124" s="10">
        <f>IFERROR(Ohj.lask.[[#This Row],[Painotetut pisteet 6]]/Ohj.lask.[[#Totals],[Painotetut pisteet 6]],0)</f>
        <v>2.9496936606827944E-4</v>
      </c>
      <c r="Z124" s="17">
        <f>ROUND(IFERROR('1.1 Jakotaulu'!M$20*Ohj.lask.[[#This Row],[%-osuus 6]],0),0)</f>
        <v>6848</v>
      </c>
      <c r="AA124" s="139">
        <f>IFERROR(ROUND(VLOOKUP(Ohj.lask.[[#This Row],[Y-tunnus]],'2.7 Työpaikkakysely'!A:G,COLUMN('2.7 Työpaikkakysely'!F:F),FALSE),1),0)</f>
        <v>33822</v>
      </c>
      <c r="AB124" s="10">
        <f>IFERROR(Ohj.lask.[[#This Row],[Pisteet 7]]/Ohj.lask.[[#Totals],[Pisteet 7]],0)</f>
        <v>1.6526857395168535E-4</v>
      </c>
      <c r="AC124" s="17">
        <f>ROUND(IFERROR('1.1 Jakotaulu'!M$21*Ohj.lask.[[#This Row],[%-osuus 7]],0),0)</f>
        <v>1279</v>
      </c>
      <c r="AD124" s="13">
        <f>IFERROR(Ohj.lask.[[#This Row],[Jaettava € 8]]/Ohj.lask.[[#Totals],[Jaettava € 8]],"")</f>
        <v>2.4167286885622529E-4</v>
      </c>
      <c r="AE12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493213</v>
      </c>
      <c r="AF124" s="103">
        <v>0</v>
      </c>
      <c r="AG124" s="103">
        <v>0</v>
      </c>
      <c r="AH124" s="107">
        <v>0</v>
      </c>
      <c r="AI124" s="33">
        <v>2000</v>
      </c>
      <c r="AJ124" s="107">
        <v>0</v>
      </c>
      <c r="AK12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124" s="11">
        <f>Ohj.lask.[[#This Row],[Jaettava € 1]]+Ohj.lask.[[#This Row],[Harkinnanvarainen korotus yhteensä, €]]</f>
        <v>341673</v>
      </c>
      <c r="AM124" s="103">
        <f>Ohj.lask.[[#This Row],[Jaettava € 2]]</f>
        <v>108211</v>
      </c>
      <c r="AN124" s="11">
        <f>Ohj.lask.[[#This Row],[Jaettava € 3]]+Ohj.lask.[[#This Row],[Jaettava € 4]]+Ohj.lask.[[#This Row],[Jaettava € 5]]+Ohj.lask.[[#This Row],[Jaettava € 6]]+Ohj.lask.[[#This Row],[Jaettava € 7]]</f>
        <v>45329</v>
      </c>
      <c r="AO124" s="34">
        <f>Ohj.lask.[[#This Row],[Jaettava € 8]]+Ohj.lask.[[#This Row],[Harkinnanvarainen korotus yhteensä, €]]</f>
        <v>495213</v>
      </c>
      <c r="AP124" s="12">
        <v>170283</v>
      </c>
      <c r="AQ124" s="34">
        <f>Ohj.lask.[[#This Row],[Perus-, suoritus- ja vaikuttavuusrahoitus yhteensä, €]]+Ohj.lask.[[#This Row],[Alv-korvaus, €]]</f>
        <v>665496</v>
      </c>
    </row>
    <row r="125" spans="1:43" ht="12.75" x14ac:dyDescent="0.2">
      <c r="A125" s="4" t="s">
        <v>196</v>
      </c>
      <c r="B125" s="8" t="s">
        <v>114</v>
      </c>
      <c r="C125" s="8" t="s">
        <v>187</v>
      </c>
      <c r="D125" s="8" t="s">
        <v>326</v>
      </c>
      <c r="E125" s="8" t="s">
        <v>375</v>
      </c>
      <c r="F125" s="106">
        <v>610</v>
      </c>
      <c r="G125" s="33">
        <v>1049</v>
      </c>
      <c r="H125" s="9">
        <f>IFERROR(VLOOKUP(Ohj.lask.[[#This Row],[Y-tunnus]],'2.1 Toteut. op.vuodet'!$A:$T,COLUMN('2.1 Toteut. op.vuodet'!S:S),FALSE),0)</f>
        <v>0.95765673452835276</v>
      </c>
      <c r="I125" s="74">
        <f t="shared" si="3"/>
        <v>1004.6</v>
      </c>
      <c r="J125" s="10">
        <f>IFERROR(Ohj.lask.[[#This Row],[Painotetut opiskelija-vuodet]]/Ohj.lask.[[#Totals],[Painotetut opiskelija-vuodet]],0)</f>
        <v>4.8784514825714088E-3</v>
      </c>
      <c r="K125" s="11">
        <f>ROUND(IFERROR('1.1 Jakotaulu'!L$12*Ohj.lask.[[#This Row],[%-osuus 1]],0),0)</f>
        <v>6935680</v>
      </c>
      <c r="L125" s="139">
        <f>IFERROR(ROUND(VLOOKUP(Ohj.lask.[[#This Row],[Y-tunnus]],'2.2 Tutk. ja osien pain. pist.'!$A:$Q,COLUMN('2.2 Tutk. ja osien pain. pist.'!O:O),FALSE),1),0)</f>
        <v>105029.3</v>
      </c>
      <c r="M125" s="10">
        <f>IFERROR(Ohj.lask.[[#This Row],[Painotetut pisteet 2]]/Ohj.lask.[[#Totals],[Painotetut pisteet 2]],0)</f>
        <v>6.6686034507798843E-3</v>
      </c>
      <c r="N125" s="17">
        <f>ROUND(IFERROR('1.1 Jakotaulu'!K$13*Ohj.lask.[[#This Row],[%-osuus 2]],0),0)</f>
        <v>2752499</v>
      </c>
      <c r="O125" s="140">
        <f>IFERROR(ROUND(VLOOKUP(Ohj.lask.[[#This Row],[Y-tunnus]],'2.3 Työll. ja jatko-opisk.'!$A:$Y,COLUMN('2.3 Työll. ja jatko-opisk.'!L:L),FALSE),1),0)</f>
        <v>2552.6999999999998</v>
      </c>
      <c r="P125" s="10">
        <f>IFERROR(Ohj.lask.[[#This Row],[Painotetut pisteet 3]]/Ohj.lask.[[#Totals],[Painotetut pisteet 3]],0)</f>
        <v>7.5629841300879483E-3</v>
      </c>
      <c r="Q125" s="11">
        <f>ROUND(IFERROR('1.1 Jakotaulu'!L$15*Ohj.lask.[[#This Row],[%-osuus 3]],0),0)</f>
        <v>1092578</v>
      </c>
      <c r="R125" s="139">
        <f>IFERROR(ROUND(VLOOKUP(Ohj.lask.[[#This Row],[Y-tunnus]],'2.4 Aloittaneet palaute'!$A:$I,COLUMN('2.4 Aloittaneet palaute'!H:H),FALSE),1),0)</f>
        <v>14691.2</v>
      </c>
      <c r="S125" s="14">
        <f>IFERROR(Ohj.lask.[[#This Row],[Painotetut pisteet 4]]/Ohj.lask.[[#Totals],[Painotetut pisteet 4]],0)</f>
        <v>8.449775708125681E-3</v>
      </c>
      <c r="T125" s="17">
        <f>ROUND(IFERROR('1.1 Jakotaulu'!M$17*Ohj.lask.[[#This Row],[%-osuus 4]],0),0)</f>
        <v>65394</v>
      </c>
      <c r="U125" s="139">
        <f>IFERROR(ROUND(VLOOKUP(Ohj.lask.[[#This Row],[Y-tunnus]],'2.5 Päättäneet palaute'!$A:$Y,COLUMN('2.5 Päättäneet palaute'!X:X),FALSE),1),0)</f>
        <v>98750.5</v>
      </c>
      <c r="V125" s="14">
        <f>IFERROR(Ohj.lask.[[#This Row],[Painotetut pisteet 5]]/Ohj.lask.[[#Totals],[Painotetut pisteet 5]],0)</f>
        <v>8.8990919277399175E-3</v>
      </c>
      <c r="W125" s="17">
        <f>ROUND(IFERROR('1.1 Jakotaulu'!M$18*Ohj.lask.[[#This Row],[%-osuus 5]],0),0)</f>
        <v>206614</v>
      </c>
      <c r="X125" s="139">
        <f>IFERROR(ROUND(VLOOKUP(Ohj.lask.[[#This Row],[Y-tunnus]],'2.6 Työpaikkaohjaajakysely'!A:I,COLUMN('2.6 Työpaikkaohjaajakysely'!H:H),FALSE),1),0)</f>
        <v>3001286.8</v>
      </c>
      <c r="Y125" s="10">
        <f>IFERROR(Ohj.lask.[[#This Row],[Painotetut pisteet 6]]/Ohj.lask.[[#Totals],[Painotetut pisteet 6]],0)</f>
        <v>8.7458536368962506E-3</v>
      </c>
      <c r="Z125" s="17">
        <f>ROUND(IFERROR('1.1 Jakotaulu'!M$20*Ohj.lask.[[#This Row],[%-osuus 6]],0),0)</f>
        <v>203056</v>
      </c>
      <c r="AA125" s="139">
        <f>IFERROR(ROUND(VLOOKUP(Ohj.lask.[[#This Row],[Y-tunnus]],'2.7 Työpaikkakysely'!A:G,COLUMN('2.7 Työpaikkakysely'!F:F),FALSE),1),0)</f>
        <v>1174430</v>
      </c>
      <c r="AB125" s="10">
        <f>IFERROR(Ohj.lask.[[#This Row],[Pisteet 7]]/Ohj.lask.[[#Totals],[Pisteet 7]],0)</f>
        <v>5.7387609043249316E-3</v>
      </c>
      <c r="AC125" s="17">
        <f>ROUND(IFERROR('1.1 Jakotaulu'!M$21*Ohj.lask.[[#This Row],[%-osuus 7]],0),0)</f>
        <v>44413</v>
      </c>
      <c r="AD125" s="13">
        <f>IFERROR(Ohj.lask.[[#This Row],[Jaettava € 8]]/Ohj.lask.[[#Totals],[Jaettava € 8]],"")</f>
        <v>5.5370802665920364E-3</v>
      </c>
      <c r="AE12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11300234</v>
      </c>
      <c r="AF125" s="103">
        <v>0</v>
      </c>
      <c r="AG125" s="103">
        <v>480000</v>
      </c>
      <c r="AH125" s="107">
        <v>0</v>
      </c>
      <c r="AI125" s="33">
        <v>24000</v>
      </c>
      <c r="AJ125" s="107">
        <v>0</v>
      </c>
      <c r="AK12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504000</v>
      </c>
      <c r="AL125" s="11">
        <f>Ohj.lask.[[#This Row],[Jaettava € 1]]+Ohj.lask.[[#This Row],[Harkinnanvarainen korotus yhteensä, €]]</f>
        <v>7439680</v>
      </c>
      <c r="AM125" s="103">
        <f>Ohj.lask.[[#This Row],[Jaettava € 2]]</f>
        <v>2752499</v>
      </c>
      <c r="AN125" s="11">
        <f>Ohj.lask.[[#This Row],[Jaettava € 3]]+Ohj.lask.[[#This Row],[Jaettava € 4]]+Ohj.lask.[[#This Row],[Jaettava € 5]]+Ohj.lask.[[#This Row],[Jaettava € 6]]+Ohj.lask.[[#This Row],[Jaettava € 7]]</f>
        <v>1612055</v>
      </c>
      <c r="AO125" s="34">
        <f>Ohj.lask.[[#This Row],[Jaettava € 8]]+Ohj.lask.[[#This Row],[Harkinnanvarainen korotus yhteensä, €]]</f>
        <v>11804234</v>
      </c>
      <c r="AP125" s="12">
        <v>680610</v>
      </c>
      <c r="AQ125" s="34">
        <f>Ohj.lask.[[#This Row],[Perus-, suoritus- ja vaikuttavuusrahoitus yhteensä, €]]+Ohj.lask.[[#This Row],[Alv-korvaus, €]]</f>
        <v>12484844</v>
      </c>
    </row>
    <row r="126" spans="1:43" ht="12.75" x14ac:dyDescent="0.2">
      <c r="A126" s="4" t="s">
        <v>195</v>
      </c>
      <c r="B126" s="8" t="s">
        <v>115</v>
      </c>
      <c r="C126" s="97" t="s">
        <v>187</v>
      </c>
      <c r="D126" s="97" t="s">
        <v>326</v>
      </c>
      <c r="E126" s="97" t="s">
        <v>375</v>
      </c>
      <c r="F126" s="105">
        <v>302</v>
      </c>
      <c r="G126" s="33">
        <v>284</v>
      </c>
      <c r="H126" s="9">
        <f>IFERROR(VLOOKUP(Ohj.lask.[[#This Row],[Y-tunnus]],'2.1 Toteut. op.vuodet'!$A:$T,COLUMN('2.1 Toteut. op.vuodet'!S:S),FALSE),0)</f>
        <v>1.1507034466520691</v>
      </c>
      <c r="I126" s="74">
        <f t="shared" si="3"/>
        <v>326.8</v>
      </c>
      <c r="J126" s="10">
        <f>IFERROR(Ohj.lask.[[#This Row],[Painotetut opiskelija-vuodet]]/Ohj.lask.[[#Totals],[Painotetut opiskelija-vuodet]],0)</f>
        <v>1.5869778464108466E-3</v>
      </c>
      <c r="K126" s="11">
        <f>ROUND(IFERROR('1.1 Jakotaulu'!L$12*Ohj.lask.[[#This Row],[%-osuus 1]],0),0)</f>
        <v>2256202</v>
      </c>
      <c r="L126" s="139">
        <f>IFERROR(ROUND(VLOOKUP(Ohj.lask.[[#This Row],[Y-tunnus]],'2.2 Tutk. ja osien pain. pist.'!$A:$Q,COLUMN('2.2 Tutk. ja osien pain. pist.'!O:O),FALSE),1),0)</f>
        <v>18052.400000000001</v>
      </c>
      <c r="M126" s="10">
        <f>IFERROR(Ohj.lask.[[#This Row],[Painotetut pisteet 2]]/Ohj.lask.[[#Totals],[Painotetut pisteet 2]],0)</f>
        <v>1.1461972700461565E-3</v>
      </c>
      <c r="N126" s="17">
        <f>ROUND(IFERROR('1.1 Jakotaulu'!K$13*Ohj.lask.[[#This Row],[%-osuus 2]],0),0)</f>
        <v>473099</v>
      </c>
      <c r="O126" s="140">
        <f>IFERROR(ROUND(VLOOKUP(Ohj.lask.[[#This Row],[Y-tunnus]],'2.3 Työll. ja jatko-opisk.'!$A:$Y,COLUMN('2.3 Työll. ja jatko-opisk.'!L:L),FALSE),1),0)</f>
        <v>487.1</v>
      </c>
      <c r="P126" s="14">
        <f>IFERROR(Ohj.lask.[[#This Row],[Painotetut pisteet 3]]/Ohj.lask.[[#Totals],[Painotetut pisteet 3]],0)</f>
        <v>1.4431502212425432E-3</v>
      </c>
      <c r="Q126" s="11">
        <f>ROUND(IFERROR('1.1 Jakotaulu'!L$15*Ohj.lask.[[#This Row],[%-osuus 3]],0),0)</f>
        <v>208483</v>
      </c>
      <c r="R126" s="139">
        <f>IFERROR(ROUND(VLOOKUP(Ohj.lask.[[#This Row],[Y-tunnus]],'2.4 Aloittaneet palaute'!$A:$I,COLUMN('2.4 Aloittaneet palaute'!H:H),FALSE),1),0)</f>
        <v>2954.8</v>
      </c>
      <c r="S126" s="14">
        <f>IFERROR(Ohj.lask.[[#This Row],[Painotetut pisteet 4]]/Ohj.lask.[[#Totals],[Painotetut pisteet 4]],0)</f>
        <v>1.6994797744479526E-3</v>
      </c>
      <c r="T126" s="17">
        <f>ROUND(IFERROR('1.1 Jakotaulu'!M$17*Ohj.lask.[[#This Row],[%-osuus 4]],0),0)</f>
        <v>13153</v>
      </c>
      <c r="U126" s="139">
        <f>IFERROR(ROUND(VLOOKUP(Ohj.lask.[[#This Row],[Y-tunnus]],'2.5 Päättäneet palaute'!$A:$Y,COLUMN('2.5 Päättäneet palaute'!X:X),FALSE),1),0)</f>
        <v>12567.4</v>
      </c>
      <c r="V126" s="14">
        <f>IFERROR(Ohj.lask.[[#This Row],[Painotetut pisteet 5]]/Ohj.lask.[[#Totals],[Painotetut pisteet 5]],0)</f>
        <v>1.1325355101258082E-3</v>
      </c>
      <c r="W126" s="17">
        <f>ROUND(IFERROR('1.1 Jakotaulu'!M$18*Ohj.lask.[[#This Row],[%-osuus 5]],0),0)</f>
        <v>26295</v>
      </c>
      <c r="X126" s="139">
        <f>IFERROR(ROUND(VLOOKUP(Ohj.lask.[[#This Row],[Y-tunnus]],'2.6 Työpaikkaohjaajakysely'!A:I,COLUMN('2.6 Työpaikkaohjaajakysely'!H:H),FALSE),1),0)</f>
        <v>648185</v>
      </c>
      <c r="Y126" s="10">
        <f>IFERROR(Ohj.lask.[[#This Row],[Painotetut pisteet 6]]/Ohj.lask.[[#Totals],[Painotetut pisteet 6]],0)</f>
        <v>1.8888335295485911E-3</v>
      </c>
      <c r="Z126" s="17">
        <f>ROUND(IFERROR('1.1 Jakotaulu'!M$20*Ohj.lask.[[#This Row],[%-osuus 6]],0),0)</f>
        <v>43854</v>
      </c>
      <c r="AA126" s="139">
        <f>IFERROR(ROUND(VLOOKUP(Ohj.lask.[[#This Row],[Y-tunnus]],'2.7 Työpaikkakysely'!A:G,COLUMN('2.7 Työpaikkakysely'!F:F),FALSE),1),0)</f>
        <v>233782</v>
      </c>
      <c r="AB126" s="10">
        <f>IFERROR(Ohj.lask.[[#This Row],[Pisteet 7]]/Ohj.lask.[[#Totals],[Pisteet 7]],0)</f>
        <v>1.1423575706810036E-3</v>
      </c>
      <c r="AC126" s="17">
        <f>ROUND(IFERROR('1.1 Jakotaulu'!M$21*Ohj.lask.[[#This Row],[%-osuus 7]],0),0)</f>
        <v>8841</v>
      </c>
      <c r="AD126" s="13">
        <f>IFERROR(Ohj.lask.[[#This Row],[Jaettava € 8]]/Ohj.lask.[[#Totals],[Jaettava € 8]],"")</f>
        <v>1.4846550081099568E-3</v>
      </c>
      <c r="AE12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3029927</v>
      </c>
      <c r="AF126" s="103">
        <v>0</v>
      </c>
      <c r="AG126" s="103">
        <v>0</v>
      </c>
      <c r="AH126" s="107">
        <v>0</v>
      </c>
      <c r="AI126" s="33">
        <v>2000</v>
      </c>
      <c r="AJ126" s="107">
        <v>0</v>
      </c>
      <c r="AK12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126" s="11">
        <f>Ohj.lask.[[#This Row],[Jaettava € 1]]+Ohj.lask.[[#This Row],[Harkinnanvarainen korotus yhteensä, €]]</f>
        <v>2258202</v>
      </c>
      <c r="AM126" s="103">
        <f>Ohj.lask.[[#This Row],[Jaettava € 2]]</f>
        <v>473099</v>
      </c>
      <c r="AN126" s="11">
        <f>Ohj.lask.[[#This Row],[Jaettava € 3]]+Ohj.lask.[[#This Row],[Jaettava € 4]]+Ohj.lask.[[#This Row],[Jaettava € 5]]+Ohj.lask.[[#This Row],[Jaettava € 6]]+Ohj.lask.[[#This Row],[Jaettava € 7]]</f>
        <v>300626</v>
      </c>
      <c r="AO126" s="34">
        <f>Ohj.lask.[[#This Row],[Jaettava € 8]]+Ohj.lask.[[#This Row],[Harkinnanvarainen korotus yhteensä, €]]</f>
        <v>3031927</v>
      </c>
      <c r="AP126" s="12">
        <v>141060</v>
      </c>
      <c r="AQ126" s="34">
        <f>Ohj.lask.[[#This Row],[Perus-, suoritus- ja vaikuttavuusrahoitus yhteensä, €]]+Ohj.lask.[[#This Row],[Alv-korvaus, €]]</f>
        <v>3172987</v>
      </c>
    </row>
    <row r="127" spans="1:43" ht="12.75" x14ac:dyDescent="0.2">
      <c r="A127" s="4" t="s">
        <v>194</v>
      </c>
      <c r="B127" s="8" t="s">
        <v>116</v>
      </c>
      <c r="C127" s="97" t="s">
        <v>187</v>
      </c>
      <c r="D127" s="97" t="s">
        <v>327</v>
      </c>
      <c r="E127" s="97" t="s">
        <v>375</v>
      </c>
      <c r="F127" s="105">
        <v>4466</v>
      </c>
      <c r="G127" s="33">
        <v>4334</v>
      </c>
      <c r="H127" s="9">
        <f>IFERROR(VLOOKUP(Ohj.lask.[[#This Row],[Y-tunnus]],'2.1 Toteut. op.vuodet'!$A:$T,COLUMN('2.1 Toteut. op.vuodet'!S:S),FALSE),0)</f>
        <v>1.0925767775283977</v>
      </c>
      <c r="I127" s="74">
        <f t="shared" si="3"/>
        <v>4735.2</v>
      </c>
      <c r="J127" s="10">
        <f>IFERROR(Ohj.lask.[[#This Row],[Painotetut opiskelija-vuodet]]/Ohj.lask.[[#Totals],[Painotetut opiskelija-vuodet]],0)</f>
        <v>2.2994667987529499E-2</v>
      </c>
      <c r="K127" s="11">
        <f>ROUND(IFERROR('1.1 Jakotaulu'!L$12*Ohj.lask.[[#This Row],[%-osuus 1]],0),0)</f>
        <v>32691450</v>
      </c>
      <c r="L127" s="139">
        <f>IFERROR(ROUND(VLOOKUP(Ohj.lask.[[#This Row],[Y-tunnus]],'2.2 Tutk. ja osien pain. pist.'!$A:$Q,COLUMN('2.2 Tutk. ja osien pain. pist.'!O:O),FALSE),1),0)</f>
        <v>408368.8</v>
      </c>
      <c r="M127" s="10">
        <f>IFERROR(Ohj.lask.[[#This Row],[Painotetut pisteet 2]]/Ohj.lask.[[#Totals],[Painotetut pisteet 2]],0)</f>
        <v>2.5928475090958809E-2</v>
      </c>
      <c r="N127" s="17">
        <f>ROUND(IFERROR('1.1 Jakotaulu'!K$13*Ohj.lask.[[#This Row],[%-osuus 2]],0),0)</f>
        <v>10702108</v>
      </c>
      <c r="O127" s="140">
        <f>IFERROR(ROUND(VLOOKUP(Ohj.lask.[[#This Row],[Y-tunnus]],'2.3 Työll. ja jatko-opisk.'!$A:$Y,COLUMN('2.3 Työll. ja jatko-opisk.'!L:L),FALSE),1),0)</f>
        <v>9484.2000000000007</v>
      </c>
      <c r="P127" s="14">
        <f>IFERROR(Ohj.lask.[[#This Row],[Painotetut pisteet 3]]/Ohj.lask.[[#Totals],[Painotetut pisteet 3]],0)</f>
        <v>2.8099210281889817E-2</v>
      </c>
      <c r="Q127" s="11">
        <f>ROUND(IFERROR('1.1 Jakotaulu'!L$15*Ohj.lask.[[#This Row],[%-osuus 3]],0),0)</f>
        <v>4059322</v>
      </c>
      <c r="R127" s="139">
        <f>IFERROR(ROUND(VLOOKUP(Ohj.lask.[[#This Row],[Y-tunnus]],'2.4 Aloittaneet palaute'!$A:$I,COLUMN('2.4 Aloittaneet palaute'!H:H),FALSE),1),0)</f>
        <v>28259.1</v>
      </c>
      <c r="S127" s="14">
        <f>IFERROR(Ohj.lask.[[#This Row],[Painotetut pisteet 4]]/Ohj.lask.[[#Totals],[Painotetut pisteet 4]],0)</f>
        <v>1.6253475326283382E-2</v>
      </c>
      <c r="T127" s="17">
        <f>ROUND(IFERROR('1.1 Jakotaulu'!M$17*Ohj.lask.[[#This Row],[%-osuus 4]],0),0)</f>
        <v>125788</v>
      </c>
      <c r="U127" s="139">
        <f>IFERROR(ROUND(VLOOKUP(Ohj.lask.[[#This Row],[Y-tunnus]],'2.5 Päättäneet palaute'!$A:$Y,COLUMN('2.5 Päättäneet palaute'!X:X),FALSE),1),0)</f>
        <v>252113.8</v>
      </c>
      <c r="V127" s="14">
        <f>IFERROR(Ohj.lask.[[#This Row],[Painotetut pisteet 5]]/Ohj.lask.[[#Totals],[Painotetut pisteet 5]],0)</f>
        <v>2.2719721747756574E-2</v>
      </c>
      <c r="W127" s="17">
        <f>ROUND(IFERROR('1.1 Jakotaulu'!M$18*Ohj.lask.[[#This Row],[%-osuus 5]],0),0)</f>
        <v>527493</v>
      </c>
      <c r="X127" s="139">
        <f>IFERROR(ROUND(VLOOKUP(Ohj.lask.[[#This Row],[Y-tunnus]],'2.6 Työpaikkaohjaajakysely'!A:I,COLUMN('2.6 Työpaikkaohjaajakysely'!H:H),FALSE),1),0)</f>
        <v>5770331.2000000002</v>
      </c>
      <c r="Y127" s="10">
        <f>IFERROR(Ohj.lask.[[#This Row],[Painotetut pisteet 6]]/Ohj.lask.[[#Totals],[Painotetut pisteet 6]],0)</f>
        <v>1.6814944880181364E-2</v>
      </c>
      <c r="Z127" s="17">
        <f>ROUND(IFERROR('1.1 Jakotaulu'!M$20*Ohj.lask.[[#This Row],[%-osuus 6]],0),0)</f>
        <v>390400</v>
      </c>
      <c r="AA127" s="139">
        <f>IFERROR(ROUND(VLOOKUP(Ohj.lask.[[#This Row],[Y-tunnus]],'2.7 Työpaikkakysely'!A:G,COLUMN('2.7 Työpaikkakysely'!F:F),FALSE),1),0)</f>
        <v>2233460.6</v>
      </c>
      <c r="AB127" s="10">
        <f>IFERROR(Ohj.lask.[[#This Row],[Pisteet 7]]/Ohj.lask.[[#Totals],[Pisteet 7]],0)</f>
        <v>1.091363161076446E-2</v>
      </c>
      <c r="AC127" s="17">
        <f>ROUND(IFERROR('1.1 Jakotaulu'!M$21*Ohj.lask.[[#This Row],[%-osuus 7]],0),0)</f>
        <v>84462</v>
      </c>
      <c r="AD127" s="13">
        <f>IFERROR(Ohj.lask.[[#This Row],[Jaettava € 8]]/Ohj.lask.[[#Totals],[Jaettava € 8]],"")</f>
        <v>2.3804553408730639E-2</v>
      </c>
      <c r="AE12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48581023</v>
      </c>
      <c r="AF127" s="103">
        <v>0</v>
      </c>
      <c r="AG127" s="103">
        <v>0</v>
      </c>
      <c r="AH127" s="107">
        <v>0</v>
      </c>
      <c r="AI127" s="33">
        <v>56000</v>
      </c>
      <c r="AJ127" s="107">
        <v>28000</v>
      </c>
      <c r="AK12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84000</v>
      </c>
      <c r="AL127" s="11">
        <f>Ohj.lask.[[#This Row],[Jaettava € 1]]+Ohj.lask.[[#This Row],[Harkinnanvarainen korotus yhteensä, €]]</f>
        <v>32775450</v>
      </c>
      <c r="AM127" s="103">
        <f>Ohj.lask.[[#This Row],[Jaettava € 2]]</f>
        <v>10702108</v>
      </c>
      <c r="AN127" s="11">
        <f>Ohj.lask.[[#This Row],[Jaettava € 3]]+Ohj.lask.[[#This Row],[Jaettava € 4]]+Ohj.lask.[[#This Row],[Jaettava € 5]]+Ohj.lask.[[#This Row],[Jaettava € 6]]+Ohj.lask.[[#This Row],[Jaettava € 7]]</f>
        <v>5187465</v>
      </c>
      <c r="AO127" s="34">
        <f>Ohj.lask.[[#This Row],[Jaettava € 8]]+Ohj.lask.[[#This Row],[Harkinnanvarainen korotus yhteensä, €]]</f>
        <v>48665023</v>
      </c>
      <c r="AP127" s="12">
        <v>0</v>
      </c>
      <c r="AQ127" s="34">
        <f>Ohj.lask.[[#This Row],[Perus-, suoritus- ja vaikuttavuusrahoitus yhteensä, €]]+Ohj.lask.[[#This Row],[Alv-korvaus, €]]</f>
        <v>48665023</v>
      </c>
    </row>
    <row r="128" spans="1:43" ht="12.75" x14ac:dyDescent="0.2">
      <c r="A128" s="4" t="s">
        <v>381</v>
      </c>
      <c r="B128" s="8" t="s">
        <v>538</v>
      </c>
      <c r="C128" s="97" t="s">
        <v>187</v>
      </c>
      <c r="D128" s="97" t="s">
        <v>326</v>
      </c>
      <c r="E128" s="97" t="s">
        <v>375</v>
      </c>
      <c r="F128" s="105">
        <v>79</v>
      </c>
      <c r="G128" s="33">
        <v>84</v>
      </c>
      <c r="H128" s="9">
        <f>IFERROR(VLOOKUP(Ohj.lask.[[#This Row],[Y-tunnus]],'2.1 Toteut. op.vuodet'!$A:$T,COLUMN('2.1 Toteut. op.vuodet'!S:S),FALSE),0)</f>
        <v>1.3902903113677956</v>
      </c>
      <c r="I128" s="74">
        <f>IFERROR(ROUND(G128*H128,1),0)</f>
        <v>116.8</v>
      </c>
      <c r="J128" s="10">
        <f>IFERROR(Ohj.lask.[[#This Row],[Painotetut opiskelija-vuodet]]/Ohj.lask.[[#Totals],[Painotetut opiskelija-vuodet]],0)</f>
        <v>5.6719404057768328E-4</v>
      </c>
      <c r="K128" s="11">
        <f>ROUND(IFERROR('1.1 Jakotaulu'!L$12*Ohj.lask.[[#This Row],[%-osuus 1]],0),0)</f>
        <v>806378</v>
      </c>
      <c r="L128" s="139">
        <f>IFERROR(ROUND(VLOOKUP(Ohj.lask.[[#This Row],[Y-tunnus]],'2.2 Tutk. ja osien pain. pist.'!$A:$Q,COLUMN('2.2 Tutk. ja osien pain. pist.'!O:O),FALSE),1),0)</f>
        <v>16712.099999999999</v>
      </c>
      <c r="M128" s="10">
        <f>IFERROR(Ohj.lask.[[#This Row],[Painotetut pisteet 2]]/Ohj.lask.[[#Totals],[Painotetut pisteet 2]],0)</f>
        <v>1.0610978815414221E-3</v>
      </c>
      <c r="N128" s="17">
        <f>ROUND(IFERROR('1.1 Jakotaulu'!K$13*Ohj.lask.[[#This Row],[%-osuus 2]],0),0)</f>
        <v>437973</v>
      </c>
      <c r="O128" s="140">
        <f>IFERROR(ROUND(VLOOKUP(Ohj.lask.[[#This Row],[Y-tunnus]],'2.3 Työll. ja jatko-opisk.'!$A:$Y,COLUMN('2.3 Työll. ja jatko-opisk.'!L:L),FALSE),1),0)</f>
        <v>204.3</v>
      </c>
      <c r="P128" s="14">
        <f>IFERROR(Ohj.lask.[[#This Row],[Painotetut pisteet 3]]/Ohj.lask.[[#Totals],[Painotetut pisteet 3]],0)</f>
        <v>6.0528760049240724E-4</v>
      </c>
      <c r="Q128" s="11">
        <f>ROUND(IFERROR('1.1 Jakotaulu'!L$15*Ohj.lask.[[#This Row],[%-osuus 3]],0),0)</f>
        <v>87442</v>
      </c>
      <c r="R128" s="139">
        <f>IFERROR(ROUND(VLOOKUP(Ohj.lask.[[#This Row],[Y-tunnus]],'2.4 Aloittaneet palaute'!$A:$I,COLUMN('2.4 Aloittaneet palaute'!H:H),FALSE),1),0)</f>
        <v>1130.9000000000001</v>
      </c>
      <c r="S128" s="14">
        <f>IFERROR(Ohj.lask.[[#This Row],[Painotetut pisteet 4]]/Ohj.lask.[[#Totals],[Painotetut pisteet 4]],0)</f>
        <v>6.5044729826830574E-4</v>
      </c>
      <c r="T128" s="17">
        <f>ROUND(IFERROR('1.1 Jakotaulu'!M$17*Ohj.lask.[[#This Row],[%-osuus 4]],0),0)</f>
        <v>5034</v>
      </c>
      <c r="U128" s="139">
        <f>IFERROR(ROUND(VLOOKUP(Ohj.lask.[[#This Row],[Y-tunnus]],'2.5 Päättäneet palaute'!$A:$Y,COLUMN('2.5 Päättäneet palaute'!X:X),FALSE),1),0)</f>
        <v>3577.9</v>
      </c>
      <c r="V128" s="14">
        <f>IFERROR(Ohj.lask.[[#This Row],[Painotetut pisteet 5]]/Ohj.lask.[[#Totals],[Painotetut pisteet 5]],0)</f>
        <v>3.2242936499825975E-4</v>
      </c>
      <c r="W128" s="17">
        <f>ROUND(IFERROR('1.1 Jakotaulu'!M$18*Ohj.lask.[[#This Row],[%-osuus 5]],0),0)</f>
        <v>7486</v>
      </c>
      <c r="X128" s="139">
        <f>IFERROR(ROUND(VLOOKUP(Ohj.lask.[[#This Row],[Y-tunnus]],'2.6 Työpaikkaohjaajakysely'!A:I,COLUMN('2.6 Työpaikkaohjaajakysely'!H:H),FALSE),1),0)</f>
        <v>47281.599999999999</v>
      </c>
      <c r="Y128" s="10">
        <f>IFERROR(Ohj.lask.[[#This Row],[Painotetut pisteet 6]]/Ohj.lask.[[#Totals],[Painotetut pisteet 6]],0)</f>
        <v>1.3778021924405016E-4</v>
      </c>
      <c r="Z128" s="17">
        <f>ROUND(IFERROR('1.1 Jakotaulu'!M$20*Ohj.lask.[[#This Row],[%-osuus 6]],0),0)</f>
        <v>3199</v>
      </c>
      <c r="AA128" s="139">
        <f>IFERROR(ROUND(VLOOKUP(Ohj.lask.[[#This Row],[Y-tunnus]],'2.7 Työpaikkakysely'!A:G,COLUMN('2.7 Työpaikkakysely'!F:F),FALSE),1),0)</f>
        <v>35199</v>
      </c>
      <c r="AB128" s="10">
        <f>IFERROR(Ohj.lask.[[#This Row],[Pisteet 7]]/Ohj.lask.[[#Totals],[Pisteet 7]],0)</f>
        <v>1.7199717741485935E-4</v>
      </c>
      <c r="AC128" s="17">
        <f>ROUND(IFERROR('1.1 Jakotaulu'!M$21*Ohj.lask.[[#This Row],[%-osuus 7]],0),0)</f>
        <v>1331</v>
      </c>
      <c r="AD128" s="13">
        <f>IFERROR(Ohj.lask.[[#This Row],[Jaettava € 8]]/Ohj.lask.[[#Totals],[Jaettava € 8]],"")</f>
        <v>6.609289646595639E-4</v>
      </c>
      <c r="AE12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1348843</v>
      </c>
      <c r="AF128" s="103">
        <v>0</v>
      </c>
      <c r="AG128" s="103">
        <v>0</v>
      </c>
      <c r="AH128" s="107">
        <v>0</v>
      </c>
      <c r="AI128" s="33">
        <v>0</v>
      </c>
      <c r="AJ128" s="107">
        <v>0</v>
      </c>
      <c r="AK12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28" s="11">
        <f>Ohj.lask.[[#This Row],[Jaettava € 1]]+Ohj.lask.[[#This Row],[Harkinnanvarainen korotus yhteensä, €]]</f>
        <v>806378</v>
      </c>
      <c r="AM128" s="103">
        <f>Ohj.lask.[[#This Row],[Jaettava € 2]]</f>
        <v>437973</v>
      </c>
      <c r="AN128" s="11">
        <f>Ohj.lask.[[#This Row],[Jaettava € 3]]+Ohj.lask.[[#This Row],[Jaettava € 4]]+Ohj.lask.[[#This Row],[Jaettava € 5]]+Ohj.lask.[[#This Row],[Jaettava € 6]]+Ohj.lask.[[#This Row],[Jaettava € 7]]</f>
        <v>104492</v>
      </c>
      <c r="AO128" s="34">
        <f>Ohj.lask.[[#This Row],[Jaettava € 8]]+Ohj.lask.[[#This Row],[Harkinnanvarainen korotus yhteensä, €]]</f>
        <v>1348843</v>
      </c>
      <c r="AP128" s="12">
        <v>100825</v>
      </c>
      <c r="AQ128" s="34">
        <f>Ohj.lask.[[#This Row],[Perus-, suoritus- ja vaikuttavuusrahoitus yhteensä, €]]+Ohj.lask.[[#This Row],[Alv-korvaus, €]]</f>
        <v>1449668</v>
      </c>
    </row>
    <row r="129" spans="1:43" ht="12.75" x14ac:dyDescent="0.2">
      <c r="A129" s="4" t="s">
        <v>193</v>
      </c>
      <c r="B129" s="8" t="s">
        <v>117</v>
      </c>
      <c r="C129" s="8" t="s">
        <v>187</v>
      </c>
      <c r="D129" s="8" t="s">
        <v>326</v>
      </c>
      <c r="E129" s="8" t="s">
        <v>375</v>
      </c>
      <c r="F129" s="106">
        <v>218</v>
      </c>
      <c r="G129" s="33">
        <v>234</v>
      </c>
      <c r="H129" s="9">
        <f>IFERROR(VLOOKUP(Ohj.lask.[[#This Row],[Y-tunnus]],'2.1 Toteut. op.vuodet'!$A:$T,COLUMN('2.1 Toteut. op.vuodet'!S:S),FALSE),0)</f>
        <v>1.0305973346981172</v>
      </c>
      <c r="I129" s="74">
        <f t="shared" si="3"/>
        <v>241.2</v>
      </c>
      <c r="J129" s="10">
        <f>IFERROR(Ohj.lask.[[#This Row],[Painotetut opiskelija-vuodet]]/Ohj.lask.[[#Totals],[Painotetut opiskelija-vuodet]],0)</f>
        <v>1.1712945426998048E-3</v>
      </c>
      <c r="K129" s="11">
        <f>ROUND(IFERROR('1.1 Jakotaulu'!L$12*Ohj.lask.[[#This Row],[%-osuus 1]],0),0)</f>
        <v>1665226</v>
      </c>
      <c r="L129" s="139">
        <f>IFERROR(ROUND(VLOOKUP(Ohj.lask.[[#This Row],[Y-tunnus]],'2.2 Tutk. ja osien pain. pist.'!$A:$Q,COLUMN('2.2 Tutk. ja osien pain. pist.'!O:O),FALSE),1),0)</f>
        <v>15809.4</v>
      </c>
      <c r="M129" s="10">
        <f>IFERROR(Ohj.lask.[[#This Row],[Painotetut pisteet 2]]/Ohj.lask.[[#Totals],[Painotetut pisteet 2]],0)</f>
        <v>1.0037829386157909E-3</v>
      </c>
      <c r="N129" s="17">
        <f>ROUND(IFERROR('1.1 Jakotaulu'!K$13*Ohj.lask.[[#This Row],[%-osuus 2]],0),0)</f>
        <v>414316</v>
      </c>
      <c r="O129" s="140">
        <f>IFERROR(ROUND(VLOOKUP(Ohj.lask.[[#This Row],[Y-tunnus]],'2.3 Työll. ja jatko-opisk.'!$A:$Y,COLUMN('2.3 Työll. ja jatko-opisk.'!L:L),FALSE),1),0)</f>
        <v>559.79999999999995</v>
      </c>
      <c r="P129" s="10">
        <f>IFERROR(Ohj.lask.[[#This Row],[Painotetut pisteet 3]]/Ohj.lask.[[#Totals],[Painotetut pisteet 3]],0)</f>
        <v>1.6585413546532039E-3</v>
      </c>
      <c r="Q129" s="11">
        <f>ROUND(IFERROR('1.1 Jakotaulu'!L$15*Ohj.lask.[[#This Row],[%-osuus 3]],0),0)</f>
        <v>239599</v>
      </c>
      <c r="R129" s="139">
        <f>IFERROR(ROUND(VLOOKUP(Ohj.lask.[[#This Row],[Y-tunnus]],'2.4 Aloittaneet palaute'!$A:$I,COLUMN('2.4 Aloittaneet palaute'!H:H),FALSE),1),0)</f>
        <v>1451.6</v>
      </c>
      <c r="S129" s="14">
        <f>IFERROR(Ohj.lask.[[#This Row],[Painotetut pisteet 4]]/Ohj.lask.[[#Totals],[Painotetut pisteet 4]],0)</f>
        <v>8.3490078536234186E-4</v>
      </c>
      <c r="T129" s="17">
        <f>ROUND(IFERROR('1.1 Jakotaulu'!M$17*Ohj.lask.[[#This Row],[%-osuus 4]],0),0)</f>
        <v>6461</v>
      </c>
      <c r="U129" s="139">
        <f>IFERROR(ROUND(VLOOKUP(Ohj.lask.[[#This Row],[Y-tunnus]],'2.5 Päättäneet palaute'!$A:$Y,COLUMN('2.5 Päättäneet palaute'!X:X),FALSE),1),0)</f>
        <v>11878.9</v>
      </c>
      <c r="V129" s="14">
        <f>IFERROR(Ohj.lask.[[#This Row],[Painotetut pisteet 5]]/Ohj.lask.[[#Totals],[Painotetut pisteet 5]],0)</f>
        <v>1.0704900035992699E-3</v>
      </c>
      <c r="W129" s="17">
        <f>ROUND(IFERROR('1.1 Jakotaulu'!M$18*Ohj.lask.[[#This Row],[%-osuus 5]],0),0)</f>
        <v>24854</v>
      </c>
      <c r="X129" s="139">
        <f>IFERROR(ROUND(VLOOKUP(Ohj.lask.[[#This Row],[Y-tunnus]],'2.6 Työpaikkaohjaajakysely'!A:I,COLUMN('2.6 Työpaikkaohjaajakysely'!H:H),FALSE),1),0)</f>
        <v>483123.3</v>
      </c>
      <c r="Y129" s="10">
        <f>IFERROR(Ohj.lask.[[#This Row],[Painotetut pisteet 6]]/Ohj.lask.[[#Totals],[Painotetut pisteet 6]],0)</f>
        <v>1.4078380214694304E-3</v>
      </c>
      <c r="Z129" s="17">
        <f>ROUND(IFERROR('1.1 Jakotaulu'!M$20*Ohj.lask.[[#This Row],[%-osuus 6]],0),0)</f>
        <v>32686</v>
      </c>
      <c r="AA129" s="139">
        <f>IFERROR(ROUND(VLOOKUP(Ohj.lask.[[#This Row],[Y-tunnus]],'2.7 Työpaikkakysely'!A:G,COLUMN('2.7 Työpaikkakysely'!F:F),FALSE),1),0)</f>
        <v>141494</v>
      </c>
      <c r="AB129" s="10">
        <f>IFERROR(Ohj.lask.[[#This Row],[Pisteet 7]]/Ohj.lask.[[#Totals],[Pisteet 7]],0)</f>
        <v>6.9139943240257131E-4</v>
      </c>
      <c r="AC129" s="17">
        <f>ROUND(IFERROR('1.1 Jakotaulu'!M$21*Ohj.lask.[[#This Row],[%-osuus 7]],0),0)</f>
        <v>5351</v>
      </c>
      <c r="AD129" s="13">
        <f>IFERROR(Ohj.lask.[[#This Row],[Jaettava € 8]]/Ohj.lask.[[#Totals],[Jaettava € 8]],"")</f>
        <v>1.1703543003793739E-3</v>
      </c>
      <c r="AE129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2388493</v>
      </c>
      <c r="AF129" s="103">
        <v>0</v>
      </c>
      <c r="AG129" s="103">
        <v>0</v>
      </c>
      <c r="AH129" s="107">
        <v>0</v>
      </c>
      <c r="AI129" s="33">
        <v>4000</v>
      </c>
      <c r="AJ129" s="107">
        <v>0</v>
      </c>
      <c r="AK129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4000</v>
      </c>
      <c r="AL129" s="11">
        <f>Ohj.lask.[[#This Row],[Jaettava € 1]]+Ohj.lask.[[#This Row],[Harkinnanvarainen korotus yhteensä, €]]</f>
        <v>1669226</v>
      </c>
      <c r="AM129" s="103">
        <f>Ohj.lask.[[#This Row],[Jaettava € 2]]</f>
        <v>414316</v>
      </c>
      <c r="AN129" s="11">
        <f>Ohj.lask.[[#This Row],[Jaettava € 3]]+Ohj.lask.[[#This Row],[Jaettava € 4]]+Ohj.lask.[[#This Row],[Jaettava € 5]]+Ohj.lask.[[#This Row],[Jaettava € 6]]+Ohj.lask.[[#This Row],[Jaettava € 7]]</f>
        <v>308951</v>
      </c>
      <c r="AO129" s="34">
        <f>Ohj.lask.[[#This Row],[Jaettava € 8]]+Ohj.lask.[[#This Row],[Harkinnanvarainen korotus yhteensä, €]]</f>
        <v>2392493</v>
      </c>
      <c r="AP129" s="12">
        <v>118357</v>
      </c>
      <c r="AQ129" s="34">
        <f>Ohj.lask.[[#This Row],[Perus-, suoritus- ja vaikuttavuusrahoitus yhteensä, €]]+Ohj.lask.[[#This Row],[Alv-korvaus, €]]</f>
        <v>2510850</v>
      </c>
    </row>
    <row r="130" spans="1:43" ht="12.75" x14ac:dyDescent="0.2">
      <c r="A130" s="4" t="s">
        <v>252</v>
      </c>
      <c r="B130" s="8" t="s">
        <v>131</v>
      </c>
      <c r="C130" s="8" t="s">
        <v>187</v>
      </c>
      <c r="D130" s="8" t="s">
        <v>326</v>
      </c>
      <c r="E130" s="8" t="s">
        <v>375</v>
      </c>
      <c r="F130" s="106">
        <v>28</v>
      </c>
      <c r="G130" s="33">
        <v>25</v>
      </c>
      <c r="H130" s="9">
        <f>IFERROR(VLOOKUP(Ohj.lask.[[#This Row],[Y-tunnus]],'2.1 Toteut. op.vuodet'!$A:$T,COLUMN('2.1 Toteut. op.vuodet'!S:S),FALSE),0)</f>
        <v>0.73126424332344042</v>
      </c>
      <c r="I130" s="74">
        <f t="shared" si="3"/>
        <v>18.3</v>
      </c>
      <c r="J130" s="10">
        <f>IFERROR(Ohj.lask.[[#This Row],[Painotetut opiskelija-vuodet]]/Ohj.lask.[[#Totals],[Painotetut opiskelija-vuodet]],0)</f>
        <v>8.8866874508318529E-5</v>
      </c>
      <c r="K130" s="11">
        <f>ROUND(IFERROR('1.1 Jakotaulu'!L$12*Ohj.lask.[[#This Row],[%-osuus 1]],0),0)</f>
        <v>126342</v>
      </c>
      <c r="L130" s="139">
        <f>IFERROR(ROUND(VLOOKUP(Ohj.lask.[[#This Row],[Y-tunnus]],'2.2 Tutk. ja osien pain. pist.'!$A:$Q,COLUMN('2.2 Tutk. ja osien pain. pist.'!O:O),FALSE),1),0)</f>
        <v>1214.8</v>
      </c>
      <c r="M130" s="10">
        <f>IFERROR(Ohj.lask.[[#This Row],[Painotetut pisteet 2]]/Ohj.lask.[[#Totals],[Painotetut pisteet 2]],0)</f>
        <v>7.713104316612034E-5</v>
      </c>
      <c r="N130" s="17">
        <f>ROUND(IFERROR('1.1 Jakotaulu'!K$13*Ohj.lask.[[#This Row],[%-osuus 2]],0),0)</f>
        <v>31836</v>
      </c>
      <c r="O130" s="140">
        <f>IFERROR(ROUND(VLOOKUP(Ohj.lask.[[#This Row],[Y-tunnus]],'2.3 Työll. ja jatko-opisk.'!$A:$Y,COLUMN('2.3 Työll. ja jatko-opisk.'!L:L),FALSE),1),0)</f>
        <v>79.599999999999994</v>
      </c>
      <c r="P130" s="10">
        <f>IFERROR(Ohj.lask.[[#This Row],[Painotetut pisteet 3]]/Ohj.lask.[[#Totals],[Painotetut pisteet 3]],0)</f>
        <v>2.3583403328044842E-4</v>
      </c>
      <c r="Q130" s="11">
        <f>ROUND(IFERROR('1.1 Jakotaulu'!L$15*Ohj.lask.[[#This Row],[%-osuus 3]],0),0)</f>
        <v>34070</v>
      </c>
      <c r="R130" s="139">
        <f>IFERROR(ROUND(VLOOKUP(Ohj.lask.[[#This Row],[Y-tunnus]],'2.4 Aloittaneet palaute'!$A:$I,COLUMN('2.4 Aloittaneet palaute'!H:H),FALSE),1),0)</f>
        <v>0</v>
      </c>
      <c r="S130" s="14">
        <f>IFERROR(Ohj.lask.[[#This Row],[Painotetut pisteet 4]]/Ohj.lask.[[#Totals],[Painotetut pisteet 4]],0)</f>
        <v>0</v>
      </c>
      <c r="T130" s="17">
        <f>ROUND(IFERROR('1.1 Jakotaulu'!M$17*Ohj.lask.[[#This Row],[%-osuus 4]],0),0)</f>
        <v>0</v>
      </c>
      <c r="U130" s="139">
        <f>IFERROR(ROUND(VLOOKUP(Ohj.lask.[[#This Row],[Y-tunnus]],'2.5 Päättäneet palaute'!$A:$Y,COLUMN('2.5 Päättäneet palaute'!X:X),FALSE),1),0)</f>
        <v>1963.1</v>
      </c>
      <c r="V130" s="14">
        <f>IFERROR(Ohj.lask.[[#This Row],[Painotetut pisteet 5]]/Ohj.lask.[[#Totals],[Painotetut pisteet 5]],0)</f>
        <v>1.7690854591466605E-4</v>
      </c>
      <c r="W130" s="17">
        <f>ROUND(IFERROR('1.1 Jakotaulu'!M$18*Ohj.lask.[[#This Row],[%-osuus 5]],0),0)</f>
        <v>4107</v>
      </c>
      <c r="X130" s="139">
        <f>IFERROR(ROUND(VLOOKUP(Ohj.lask.[[#This Row],[Y-tunnus]],'2.6 Työpaikkaohjaajakysely'!A:I,COLUMN('2.6 Työpaikkaohjaajakysely'!H:H),FALSE),1),0)</f>
        <v>0</v>
      </c>
      <c r="Y130" s="10">
        <f>IFERROR(Ohj.lask.[[#This Row],[Painotetut pisteet 6]]/Ohj.lask.[[#Totals],[Painotetut pisteet 6]],0)</f>
        <v>0</v>
      </c>
      <c r="Z130" s="17">
        <f>ROUND(IFERROR('1.1 Jakotaulu'!M$20*Ohj.lask.[[#This Row],[%-osuus 6]],0),0)</f>
        <v>0</v>
      </c>
      <c r="AA130" s="139">
        <f>IFERROR(ROUND(VLOOKUP(Ohj.lask.[[#This Row],[Y-tunnus]],'2.7 Työpaikkakysely'!A:G,COLUMN('2.7 Työpaikkakysely'!F:F),FALSE),1),0)</f>
        <v>0</v>
      </c>
      <c r="AB130" s="10">
        <f>IFERROR(Ohj.lask.[[#This Row],[Pisteet 7]]/Ohj.lask.[[#Totals],[Pisteet 7]],0)</f>
        <v>0</v>
      </c>
      <c r="AC130" s="17">
        <f>ROUND(IFERROR('1.1 Jakotaulu'!M$21*Ohj.lask.[[#This Row],[%-osuus 7]],0),0)</f>
        <v>0</v>
      </c>
      <c r="AD130" s="13">
        <f>IFERROR(Ohj.lask.[[#This Row],[Jaettava € 8]]/Ohj.lask.[[#Totals],[Jaettava € 8]],"")</f>
        <v>9.6213352373648132E-5</v>
      </c>
      <c r="AE130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196355</v>
      </c>
      <c r="AF130" s="103">
        <v>0</v>
      </c>
      <c r="AG130" s="103">
        <v>0</v>
      </c>
      <c r="AH130" s="107">
        <v>0</v>
      </c>
      <c r="AI130" s="33">
        <v>0</v>
      </c>
      <c r="AJ130" s="107">
        <v>0</v>
      </c>
      <c r="AK130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30" s="11">
        <f>Ohj.lask.[[#This Row],[Jaettava € 1]]+Ohj.lask.[[#This Row],[Harkinnanvarainen korotus yhteensä, €]]</f>
        <v>126342</v>
      </c>
      <c r="AM130" s="103">
        <f>Ohj.lask.[[#This Row],[Jaettava € 2]]</f>
        <v>31836</v>
      </c>
      <c r="AN130" s="11">
        <f>Ohj.lask.[[#This Row],[Jaettava € 3]]+Ohj.lask.[[#This Row],[Jaettava € 4]]+Ohj.lask.[[#This Row],[Jaettava € 5]]+Ohj.lask.[[#This Row],[Jaettava € 6]]+Ohj.lask.[[#This Row],[Jaettava € 7]]</f>
        <v>38177</v>
      </c>
      <c r="AO130" s="34">
        <f>Ohj.lask.[[#This Row],[Jaettava € 8]]+Ohj.lask.[[#This Row],[Harkinnanvarainen korotus yhteensä, €]]</f>
        <v>196355</v>
      </c>
      <c r="AP130" s="12">
        <v>14197</v>
      </c>
      <c r="AQ130" s="34">
        <f>Ohj.lask.[[#This Row],[Perus-, suoritus- ja vaikuttavuusrahoitus yhteensä, €]]+Ohj.lask.[[#This Row],[Alv-korvaus, €]]</f>
        <v>210552</v>
      </c>
    </row>
    <row r="131" spans="1:43" ht="12.75" x14ac:dyDescent="0.2">
      <c r="A131" s="4" t="s">
        <v>192</v>
      </c>
      <c r="B131" s="8" t="s">
        <v>118</v>
      </c>
      <c r="C131" s="8" t="s">
        <v>174</v>
      </c>
      <c r="D131" s="8" t="s">
        <v>326</v>
      </c>
      <c r="E131" s="8" t="s">
        <v>375</v>
      </c>
      <c r="F131" s="106">
        <v>702</v>
      </c>
      <c r="G131" s="33">
        <v>1193</v>
      </c>
      <c r="H131" s="9">
        <f>IFERROR(VLOOKUP(Ohj.lask.[[#This Row],[Y-tunnus]],'2.1 Toteut. op.vuodet'!$A:$T,COLUMN('2.1 Toteut. op.vuodet'!S:S),FALSE),0)</f>
        <v>1.1125289558418621</v>
      </c>
      <c r="I131" s="74">
        <f t="shared" ref="I131:I138" si="4">IFERROR(ROUND(G131*H131,1),0)</f>
        <v>1327.2</v>
      </c>
      <c r="J131" s="10">
        <f>IFERROR(Ohj.lask.[[#This Row],[Painotetut opiskelija-vuodet]]/Ohj.lask.[[#Totals],[Painotetut opiskelija-vuodet]],0)</f>
        <v>6.4450336528655925E-3</v>
      </c>
      <c r="K131" s="11">
        <f>ROUND(IFERROR('1.1 Jakotaulu'!L$12*Ohj.lask.[[#This Row],[%-osuus 1]],0),0)</f>
        <v>9162885</v>
      </c>
      <c r="L131" s="139">
        <f>IFERROR(ROUND(VLOOKUP(Ohj.lask.[[#This Row],[Y-tunnus]],'2.2 Tutk. ja osien pain. pist.'!$A:$Q,COLUMN('2.2 Tutk. ja osien pain. pist.'!O:O),FALSE),1),0)</f>
        <v>133894.20000000001</v>
      </c>
      <c r="M131" s="10">
        <f>IFERROR(Ohj.lask.[[#This Row],[Painotetut pisteet 2]]/Ohj.lask.[[#Totals],[Painotetut pisteet 2]],0)</f>
        <v>8.5013165293819151E-3</v>
      </c>
      <c r="N131" s="17">
        <f>ROUND(IFERROR('1.1 Jakotaulu'!K$13*Ohj.lask.[[#This Row],[%-osuus 2]],0),0)</f>
        <v>3508961</v>
      </c>
      <c r="O131" s="140">
        <f>IFERROR(ROUND(VLOOKUP(Ohj.lask.[[#This Row],[Y-tunnus]],'2.3 Työll. ja jatko-opisk.'!$A:$Y,COLUMN('2.3 Työll. ja jatko-opisk.'!L:L),FALSE),1),0)</f>
        <v>2435.1</v>
      </c>
      <c r="P131" s="10">
        <f>IFERROR(Ohj.lask.[[#This Row],[Painotetut pisteet 3]]/Ohj.lask.[[#Totals],[Painotetut pisteet 3]],0)</f>
        <v>7.2145660105680902E-3</v>
      </c>
      <c r="Q131" s="11">
        <f>ROUND(IFERROR('1.1 Jakotaulu'!L$15*Ohj.lask.[[#This Row],[%-osuus 3]],0),0)</f>
        <v>1042244</v>
      </c>
      <c r="R131" s="139">
        <f>IFERROR(ROUND(VLOOKUP(Ohj.lask.[[#This Row],[Y-tunnus]],'2.4 Aloittaneet palaute'!$A:$I,COLUMN('2.4 Aloittaneet palaute'!H:H),FALSE),1),0)</f>
        <v>18097.900000000001</v>
      </c>
      <c r="S131" s="14">
        <f>IFERROR(Ohj.lask.[[#This Row],[Painotetut pisteet 4]]/Ohj.lask.[[#Totals],[Painotetut pisteet 4]],0)</f>
        <v>1.0409169828746989E-2</v>
      </c>
      <c r="T131" s="17">
        <f>ROUND(IFERROR('1.1 Jakotaulu'!M$17*Ohj.lask.[[#This Row],[%-osuus 4]],0),0)</f>
        <v>80558</v>
      </c>
      <c r="U131" s="139">
        <f>IFERROR(ROUND(VLOOKUP(Ohj.lask.[[#This Row],[Y-tunnus]],'2.5 Päättäneet palaute'!$A:$Y,COLUMN('2.5 Päättäneet palaute'!X:X),FALSE),1),0)</f>
        <v>109877.8</v>
      </c>
      <c r="V131" s="14">
        <f>IFERROR(Ohj.lask.[[#This Row],[Painotetut pisteet 5]]/Ohj.lask.[[#Totals],[Painotetut pisteet 5]],0)</f>
        <v>9.9018500465093452E-3</v>
      </c>
      <c r="W131" s="17">
        <f>ROUND(IFERROR('1.1 Jakotaulu'!M$18*Ohj.lask.[[#This Row],[%-osuus 5]],0),0)</f>
        <v>229895</v>
      </c>
      <c r="X131" s="139">
        <f>IFERROR(ROUND(VLOOKUP(Ohj.lask.[[#This Row],[Y-tunnus]],'2.6 Työpaikkaohjaajakysely'!A:I,COLUMN('2.6 Työpaikkaohjaajakysely'!H:H),FALSE),1),0)</f>
        <v>4360638.3</v>
      </c>
      <c r="Y131" s="10">
        <f>IFERROR(Ohj.lask.[[#This Row],[Painotetut pisteet 6]]/Ohj.lask.[[#Totals],[Painotetut pisteet 6]],0)</f>
        <v>1.2707050967353098E-2</v>
      </c>
      <c r="Z131" s="17">
        <f>ROUND(IFERROR('1.1 Jakotaulu'!M$20*Ohj.lask.[[#This Row],[%-osuus 6]],0),0)</f>
        <v>295025</v>
      </c>
      <c r="AA131" s="139">
        <f>IFERROR(ROUND(VLOOKUP(Ohj.lask.[[#This Row],[Y-tunnus]],'2.7 Työpaikkakysely'!A:G,COLUMN('2.7 Työpaikkakysely'!F:F),FALSE),1),0)</f>
        <v>2110449.7999999998</v>
      </c>
      <c r="AB131" s="10">
        <f>IFERROR(Ohj.lask.[[#This Row],[Pisteet 7]]/Ohj.lask.[[#Totals],[Pisteet 7]],0)</f>
        <v>1.0312548898427637E-2</v>
      </c>
      <c r="AC131" s="17">
        <f>ROUND(IFERROR('1.1 Jakotaulu'!M$21*Ohj.lask.[[#This Row],[%-osuus 7]],0),0)</f>
        <v>79810</v>
      </c>
      <c r="AD131" s="13">
        <f>IFERROR(Ohj.lask.[[#This Row],[Jaettava € 8]]/Ohj.lask.[[#Totals],[Jaettava € 8]],"")</f>
        <v>7.0556513940330358E-3</v>
      </c>
      <c r="AE131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14399378</v>
      </c>
      <c r="AF131" s="103">
        <v>0</v>
      </c>
      <c r="AG131" s="103">
        <v>600000</v>
      </c>
      <c r="AH131" s="107">
        <v>0</v>
      </c>
      <c r="AI131" s="33">
        <v>30000</v>
      </c>
      <c r="AJ131" s="107">
        <v>0</v>
      </c>
      <c r="AK131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630000</v>
      </c>
      <c r="AL131" s="11">
        <f>Ohj.lask.[[#This Row],[Jaettava € 1]]+Ohj.lask.[[#This Row],[Harkinnanvarainen korotus yhteensä, €]]</f>
        <v>9792885</v>
      </c>
      <c r="AM131" s="103">
        <f>Ohj.lask.[[#This Row],[Jaettava € 2]]</f>
        <v>3508961</v>
      </c>
      <c r="AN131" s="11">
        <f>Ohj.lask.[[#This Row],[Jaettava € 3]]+Ohj.lask.[[#This Row],[Jaettava € 4]]+Ohj.lask.[[#This Row],[Jaettava € 5]]+Ohj.lask.[[#This Row],[Jaettava € 6]]+Ohj.lask.[[#This Row],[Jaettava € 7]]</f>
        <v>1727532</v>
      </c>
      <c r="AO131" s="34">
        <f>Ohj.lask.[[#This Row],[Jaettava € 8]]+Ohj.lask.[[#This Row],[Harkinnanvarainen korotus yhteensä, €]]</f>
        <v>15029378</v>
      </c>
      <c r="AP131" s="12">
        <v>1050242</v>
      </c>
      <c r="AQ131" s="34">
        <f>Ohj.lask.[[#This Row],[Perus-, suoritus- ja vaikuttavuusrahoitus yhteensä, €]]+Ohj.lask.[[#This Row],[Alv-korvaus, €]]</f>
        <v>16079620</v>
      </c>
    </row>
    <row r="132" spans="1:43" ht="12.75" x14ac:dyDescent="0.2">
      <c r="A132" s="4" t="s">
        <v>191</v>
      </c>
      <c r="B132" s="8" t="s">
        <v>119</v>
      </c>
      <c r="C132" s="8" t="s">
        <v>180</v>
      </c>
      <c r="D132" s="8" t="s">
        <v>327</v>
      </c>
      <c r="E132" s="8" t="s">
        <v>377</v>
      </c>
      <c r="F132" s="106">
        <v>2401</v>
      </c>
      <c r="G132" s="33">
        <v>2467</v>
      </c>
      <c r="H132" s="9">
        <f>IFERROR(VLOOKUP(Ohj.lask.[[#This Row],[Y-tunnus]],'2.1 Toteut. op.vuodet'!$A:$T,COLUMN('2.1 Toteut. op.vuodet'!S:S),FALSE),0)</f>
        <v>1.079199682791748</v>
      </c>
      <c r="I132" s="74">
        <f t="shared" si="4"/>
        <v>2662.4</v>
      </c>
      <c r="J132" s="10">
        <f>IFERROR(Ohj.lask.[[#This Row],[Painotetut opiskelija-vuodet]]/Ohj.lask.[[#Totals],[Painotetut opiskelija-vuodet]],0)</f>
        <v>1.2928916212620068E-2</v>
      </c>
      <c r="K132" s="11">
        <f>ROUND(IFERROR('1.1 Jakotaulu'!L$12*Ohj.lask.[[#This Row],[%-osuus 1]],0),0)</f>
        <v>18381001</v>
      </c>
      <c r="L132" s="139">
        <f>IFERROR(ROUND(VLOOKUP(Ohj.lask.[[#This Row],[Y-tunnus]],'2.2 Tutk. ja osien pain. pist.'!$A:$Q,COLUMN('2.2 Tutk. ja osien pain. pist.'!O:O),FALSE),1),0)</f>
        <v>219462.2</v>
      </c>
      <c r="M132" s="10">
        <f>IFERROR(Ohj.lask.[[#This Row],[Painotetut pisteet 2]]/Ohj.lask.[[#Totals],[Painotetut pisteet 2]],0)</f>
        <v>1.3934267716111077E-2</v>
      </c>
      <c r="N132" s="17">
        <f>ROUND(IFERROR('1.1 Jakotaulu'!K$13*Ohj.lask.[[#This Row],[%-osuus 2]],0),0)</f>
        <v>5751439</v>
      </c>
      <c r="O132" s="140">
        <f>IFERROR(ROUND(VLOOKUP(Ohj.lask.[[#This Row],[Y-tunnus]],'2.3 Työll. ja jatko-opisk.'!$A:$Y,COLUMN('2.3 Työll. ja jatko-opisk.'!L:L),FALSE),1),0)</f>
        <v>4993.8999999999996</v>
      </c>
      <c r="P132" s="10">
        <f>IFERROR(Ohj.lask.[[#This Row],[Painotetut pisteet 3]]/Ohj.lask.[[#Totals],[Painotetut pisteet 3]],0)</f>
        <v>1.4795622849236575E-2</v>
      </c>
      <c r="Q132" s="11">
        <f>ROUND(IFERROR('1.1 Jakotaulu'!L$15*Ohj.lask.[[#This Row],[%-osuus 3]],0),0)</f>
        <v>2137433</v>
      </c>
      <c r="R132" s="139">
        <f>IFERROR(ROUND(VLOOKUP(Ohj.lask.[[#This Row],[Y-tunnus]],'2.4 Aloittaneet palaute'!$A:$I,COLUMN('2.4 Aloittaneet palaute'!H:H),FALSE),1),0)</f>
        <v>19331.599999999999</v>
      </c>
      <c r="S132" s="14">
        <f>IFERROR(Ohj.lask.[[#This Row],[Painotetut pisteet 4]]/Ohj.lask.[[#Totals],[Painotetut pisteet 4]],0)</f>
        <v>1.1118743470867077E-2</v>
      </c>
      <c r="T132" s="17">
        <f>ROUND(IFERROR('1.1 Jakotaulu'!M$17*Ohj.lask.[[#This Row],[%-osuus 4]],0),0)</f>
        <v>86049</v>
      </c>
      <c r="U132" s="139">
        <f>IFERROR(ROUND(VLOOKUP(Ohj.lask.[[#This Row],[Y-tunnus]],'2.5 Päättäneet palaute'!$A:$Y,COLUMN('2.5 Päättäneet palaute'!X:X),FALSE),1),0)</f>
        <v>104553.1</v>
      </c>
      <c r="V132" s="14">
        <f>IFERROR(Ohj.lask.[[#This Row],[Painotetut pisteet 5]]/Ohj.lask.[[#Totals],[Painotetut pisteet 5]],0)</f>
        <v>9.4220044276250182E-3</v>
      </c>
      <c r="W132" s="17">
        <f>ROUND(IFERROR('1.1 Jakotaulu'!M$18*Ohj.lask.[[#This Row],[%-osuus 5]],0),0)</f>
        <v>218755</v>
      </c>
      <c r="X132" s="139">
        <f>IFERROR(ROUND(VLOOKUP(Ohj.lask.[[#This Row],[Y-tunnus]],'2.6 Työpaikkaohjaajakysely'!A:I,COLUMN('2.6 Työpaikkaohjaajakysely'!H:H),FALSE),1),0)</f>
        <v>3767519.8</v>
      </c>
      <c r="Y132" s="10">
        <f>IFERROR(Ohj.lask.[[#This Row],[Painotetut pisteet 6]]/Ohj.lask.[[#Totals],[Painotetut pisteet 6]],0)</f>
        <v>1.0978683125154395E-2</v>
      </c>
      <c r="Z132" s="17">
        <f>ROUND(IFERROR('1.1 Jakotaulu'!M$20*Ohj.lask.[[#This Row],[%-osuus 6]],0),0)</f>
        <v>254897</v>
      </c>
      <c r="AA132" s="139">
        <f>IFERROR(ROUND(VLOOKUP(Ohj.lask.[[#This Row],[Y-tunnus]],'2.7 Työpaikkakysely'!A:G,COLUMN('2.7 Työpaikkakysely'!F:F),FALSE),1),0)</f>
        <v>640882.1</v>
      </c>
      <c r="AB132" s="10">
        <f>IFERROR(Ohj.lask.[[#This Row],[Pisteet 7]]/Ohj.lask.[[#Totals],[Pisteet 7]],0)</f>
        <v>3.1316205646668262E-3</v>
      </c>
      <c r="AC132" s="17">
        <f>ROUND(IFERROR('1.1 Jakotaulu'!M$21*Ohj.lask.[[#This Row],[%-osuus 7]],0),0)</f>
        <v>24236</v>
      </c>
      <c r="AD132" s="13">
        <f>IFERROR(Ohj.lask.[[#This Row],[Jaettava € 8]]/Ohj.lask.[[#Totals],[Jaettava € 8]],"")</f>
        <v>1.3158285167706429E-2</v>
      </c>
      <c r="AE132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26853810</v>
      </c>
      <c r="AF132" s="103">
        <v>0</v>
      </c>
      <c r="AG132" s="103">
        <v>0</v>
      </c>
      <c r="AH132" s="107">
        <v>0</v>
      </c>
      <c r="AI132" s="33">
        <v>25000</v>
      </c>
      <c r="AJ132" s="107">
        <v>11000</v>
      </c>
      <c r="AK132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36000</v>
      </c>
      <c r="AL132" s="11">
        <f>Ohj.lask.[[#This Row],[Jaettava € 1]]+Ohj.lask.[[#This Row],[Harkinnanvarainen korotus yhteensä, €]]</f>
        <v>18417001</v>
      </c>
      <c r="AM132" s="103">
        <f>Ohj.lask.[[#This Row],[Jaettava € 2]]</f>
        <v>5751439</v>
      </c>
      <c r="AN132" s="11">
        <f>Ohj.lask.[[#This Row],[Jaettava € 3]]+Ohj.lask.[[#This Row],[Jaettava € 4]]+Ohj.lask.[[#This Row],[Jaettava € 5]]+Ohj.lask.[[#This Row],[Jaettava € 6]]+Ohj.lask.[[#This Row],[Jaettava € 7]]</f>
        <v>2721370</v>
      </c>
      <c r="AO132" s="34">
        <f>Ohj.lask.[[#This Row],[Jaettava € 8]]+Ohj.lask.[[#This Row],[Harkinnanvarainen korotus yhteensä, €]]</f>
        <v>26889810</v>
      </c>
      <c r="AP132" s="12">
        <v>0</v>
      </c>
      <c r="AQ132" s="34">
        <f>Ohj.lask.[[#This Row],[Perus-, suoritus- ja vaikuttavuusrahoitus yhteensä, €]]+Ohj.lask.[[#This Row],[Alv-korvaus, €]]</f>
        <v>26889810</v>
      </c>
    </row>
    <row r="133" spans="1:43" ht="12.75" x14ac:dyDescent="0.2">
      <c r="A133" s="4" t="s">
        <v>190</v>
      </c>
      <c r="B133" s="8" t="s">
        <v>120</v>
      </c>
      <c r="C133" s="8" t="s">
        <v>183</v>
      </c>
      <c r="D133" s="8" t="s">
        <v>325</v>
      </c>
      <c r="E133" s="8" t="s">
        <v>375</v>
      </c>
      <c r="F133" s="106">
        <v>994</v>
      </c>
      <c r="G133" s="33">
        <v>1006</v>
      </c>
      <c r="H133" s="9">
        <f>IFERROR(VLOOKUP(Ohj.lask.[[#This Row],[Y-tunnus]],'2.1 Toteut. op.vuodet'!$A:$T,COLUMN('2.1 Toteut. op.vuodet'!S:S),FALSE),0)</f>
        <v>1.0953354010070546</v>
      </c>
      <c r="I133" s="74">
        <f t="shared" si="4"/>
        <v>1101.9000000000001</v>
      </c>
      <c r="J133" s="10">
        <f>IFERROR(Ohj.lask.[[#This Row],[Painotetut opiskelija-vuodet]]/Ohj.lask.[[#Totals],[Painotetut opiskelija-vuodet]],0)</f>
        <v>5.3509513126074422E-3</v>
      </c>
      <c r="K133" s="11">
        <f>ROUND(IFERROR('1.1 Jakotaulu'!L$12*Ohj.lask.[[#This Row],[%-osuus 1]],0),0)</f>
        <v>7607431</v>
      </c>
      <c r="L133" s="139">
        <f>IFERROR(ROUND(VLOOKUP(Ohj.lask.[[#This Row],[Y-tunnus]],'2.2 Tutk. ja osien pain. pist.'!$A:$Q,COLUMN('2.2 Tutk. ja osien pain. pist.'!O:O),FALSE),1),0)</f>
        <v>85726.8</v>
      </c>
      <c r="M133" s="10">
        <f>IFERROR(Ohj.lask.[[#This Row],[Painotetut pisteet 2]]/Ohj.lask.[[#Totals],[Painotetut pisteet 2]],0)</f>
        <v>5.4430338420261484E-3</v>
      </c>
      <c r="N133" s="17">
        <f>ROUND(IFERROR('1.1 Jakotaulu'!K$13*Ohj.lask.[[#This Row],[%-osuus 2]],0),0)</f>
        <v>2246639</v>
      </c>
      <c r="O133" s="140">
        <f>IFERROR(ROUND(VLOOKUP(Ohj.lask.[[#This Row],[Y-tunnus]],'2.3 Työll. ja jatko-opisk.'!$A:$Y,COLUMN('2.3 Työll. ja jatko-opisk.'!L:L),FALSE),1),0)</f>
        <v>1959.1</v>
      </c>
      <c r="P133" s="10">
        <f>IFERROR(Ohj.lask.[[#This Row],[Painotetut pisteet 3]]/Ohj.lask.[[#Totals],[Painotetut pisteet 3]],0)</f>
        <v>5.804302193463901E-3</v>
      </c>
      <c r="Q133" s="11">
        <f>ROUND(IFERROR('1.1 Jakotaulu'!L$15*Ohj.lask.[[#This Row],[%-osuus 3]],0),0)</f>
        <v>838512</v>
      </c>
      <c r="R133" s="139">
        <f>IFERROR(ROUND(VLOOKUP(Ohj.lask.[[#This Row],[Y-tunnus]],'2.4 Aloittaneet palaute'!$A:$I,COLUMN('2.4 Aloittaneet palaute'!H:H),FALSE),1),0)</f>
        <v>12557.9</v>
      </c>
      <c r="S133" s="14">
        <f>IFERROR(Ohj.lask.[[#This Row],[Painotetut pisteet 4]]/Ohj.lask.[[#Totals],[Painotetut pisteet 4]],0)</f>
        <v>7.2227890414037982E-3</v>
      </c>
      <c r="T133" s="17">
        <f>ROUND(IFERROR('1.1 Jakotaulu'!M$17*Ohj.lask.[[#This Row],[%-osuus 4]],0),0)</f>
        <v>55898</v>
      </c>
      <c r="U133" s="139">
        <f>IFERROR(ROUND(VLOOKUP(Ohj.lask.[[#This Row],[Y-tunnus]],'2.5 Päättäneet palaute'!$A:$Y,COLUMN('2.5 Päättäneet palaute'!X:X),FALSE),1),0)</f>
        <v>63012.3</v>
      </c>
      <c r="V133" s="14">
        <f>IFERROR(Ohj.lask.[[#This Row],[Painotetut pisteet 5]]/Ohj.lask.[[#Totals],[Painotetut pisteet 5]],0)</f>
        <v>5.6784750485144482E-3</v>
      </c>
      <c r="W133" s="17">
        <f>ROUND(IFERROR('1.1 Jakotaulu'!M$18*Ohj.lask.[[#This Row],[%-osuus 5]],0),0)</f>
        <v>131840</v>
      </c>
      <c r="X133" s="139">
        <f>IFERROR(ROUND(VLOOKUP(Ohj.lask.[[#This Row],[Y-tunnus]],'2.6 Työpaikkaohjaajakysely'!A:I,COLUMN('2.6 Työpaikkaohjaajakysely'!H:H),FALSE),1),0)</f>
        <v>2419436.7000000002</v>
      </c>
      <c r="Y133" s="10">
        <f>IFERROR(Ohj.lask.[[#This Row],[Painotetut pisteet 6]]/Ohj.lask.[[#Totals],[Painotetut pisteet 6]],0)</f>
        <v>7.0503223023988459E-3</v>
      </c>
      <c r="Z133" s="17">
        <f>ROUND(IFERROR('1.1 Jakotaulu'!M$20*Ohj.lask.[[#This Row],[%-osuus 6]],0),0)</f>
        <v>163690</v>
      </c>
      <c r="AA133" s="139">
        <f>IFERROR(ROUND(VLOOKUP(Ohj.lask.[[#This Row],[Y-tunnus]],'2.7 Työpaikkakysely'!A:G,COLUMN('2.7 Työpaikkakysely'!F:F),FALSE),1),0)</f>
        <v>834417.1</v>
      </c>
      <c r="AB133" s="10">
        <f>IFERROR(Ohj.lask.[[#This Row],[Pisteet 7]]/Ohj.lask.[[#Totals],[Pisteet 7]],0)</f>
        <v>4.0773142983236005E-3</v>
      </c>
      <c r="AC133" s="17">
        <f>ROUND(IFERROR('1.1 Jakotaulu'!M$21*Ohj.lask.[[#This Row],[%-osuus 7]],0),0)</f>
        <v>31555</v>
      </c>
      <c r="AD133" s="13">
        <f>IFERROR(Ohj.lask.[[#This Row],[Jaettava € 8]]/Ohj.lask.[[#Totals],[Jaettava € 8]],"")</f>
        <v>5.4269931403949185E-3</v>
      </c>
      <c r="AE133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11075565</v>
      </c>
      <c r="AF133" s="103">
        <v>0</v>
      </c>
      <c r="AG133" s="103">
        <v>0</v>
      </c>
      <c r="AH133" s="107">
        <v>0</v>
      </c>
      <c r="AI133" s="33">
        <v>14000</v>
      </c>
      <c r="AJ133" s="107">
        <v>0</v>
      </c>
      <c r="AK133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14000</v>
      </c>
      <c r="AL133" s="11">
        <f>Ohj.lask.[[#This Row],[Jaettava € 1]]+Ohj.lask.[[#This Row],[Harkinnanvarainen korotus yhteensä, €]]</f>
        <v>7621431</v>
      </c>
      <c r="AM133" s="103">
        <f>Ohj.lask.[[#This Row],[Jaettava € 2]]</f>
        <v>2246639</v>
      </c>
      <c r="AN133" s="11">
        <f>Ohj.lask.[[#This Row],[Jaettava € 3]]+Ohj.lask.[[#This Row],[Jaettava € 4]]+Ohj.lask.[[#This Row],[Jaettava € 5]]+Ohj.lask.[[#This Row],[Jaettava € 6]]+Ohj.lask.[[#This Row],[Jaettava € 7]]</f>
        <v>1221495</v>
      </c>
      <c r="AO133" s="34">
        <f>Ohj.lask.[[#This Row],[Jaettava € 8]]+Ohj.lask.[[#This Row],[Harkinnanvarainen korotus yhteensä, €]]</f>
        <v>11089565</v>
      </c>
      <c r="AP133" s="12">
        <v>0</v>
      </c>
      <c r="AQ133" s="34">
        <f>Ohj.lask.[[#This Row],[Perus-, suoritus- ja vaikuttavuusrahoitus yhteensä, €]]+Ohj.lask.[[#This Row],[Alv-korvaus, €]]</f>
        <v>11089565</v>
      </c>
    </row>
    <row r="134" spans="1:43" ht="12.75" x14ac:dyDescent="0.2">
      <c r="A134" s="4" t="s">
        <v>189</v>
      </c>
      <c r="B134" s="8" t="s">
        <v>499</v>
      </c>
      <c r="C134" s="8" t="s">
        <v>188</v>
      </c>
      <c r="D134" s="8" t="s">
        <v>326</v>
      </c>
      <c r="E134" s="8" t="s">
        <v>375</v>
      </c>
      <c r="F134" s="106">
        <v>17</v>
      </c>
      <c r="G134" s="33">
        <v>15</v>
      </c>
      <c r="H134" s="9">
        <f>IFERROR(VLOOKUP(Ohj.lask.[[#This Row],[Y-tunnus]],'2.1 Toteut. op.vuodet'!$A:$T,COLUMN('2.1 Toteut. op.vuodet'!S:S),FALSE),0)</f>
        <v>0.72539999999999927</v>
      </c>
      <c r="I134" s="74">
        <f t="shared" si="4"/>
        <v>10.9</v>
      </c>
      <c r="J134" s="10">
        <f>IFERROR(Ohj.lask.[[#This Row],[Painotetut opiskelija-vuodet]]/Ohj.lask.[[#Totals],[Painotetut opiskelija-vuodet]],0)</f>
        <v>5.2931635636102291E-5</v>
      </c>
      <c r="K134" s="11">
        <f>ROUND(IFERROR('1.1 Jakotaulu'!L$12*Ohj.lask.[[#This Row],[%-osuus 1]],0),0)</f>
        <v>75253</v>
      </c>
      <c r="L134" s="139">
        <f>IFERROR(ROUND(VLOOKUP(Ohj.lask.[[#This Row],[Y-tunnus]],'2.2 Tutk. ja osien pain. pist.'!$A:$Q,COLUMN('2.2 Tutk. ja osien pain. pist.'!O:O),FALSE),1),0)</f>
        <v>1077.9000000000001</v>
      </c>
      <c r="M134" s="10">
        <f>IFERROR(Ohj.lask.[[#This Row],[Painotetut pisteet 2]]/Ohj.lask.[[#Totals],[Painotetut pisteet 2]],0)</f>
        <v>6.843888000391926E-5</v>
      </c>
      <c r="N134" s="17">
        <f>ROUND(IFERROR('1.1 Jakotaulu'!K$13*Ohj.lask.[[#This Row],[%-osuus 2]],0),0)</f>
        <v>28248</v>
      </c>
      <c r="O134" s="140">
        <f>IFERROR(ROUND(VLOOKUP(Ohj.lask.[[#This Row],[Y-tunnus]],'2.3 Työll. ja jatko-opisk.'!$A:$Y,COLUMN('2.3 Työll. ja jatko-opisk.'!L:L),FALSE),1),0)</f>
        <v>39.299999999999997</v>
      </c>
      <c r="P134" s="10">
        <f>IFERROR(Ohj.lask.[[#This Row],[Painotetut pisteet 3]]/Ohj.lask.[[#Totals],[Painotetut pisteet 3]],0)</f>
        <v>1.164356470844425E-4</v>
      </c>
      <c r="Q134" s="11">
        <f>ROUND(IFERROR('1.1 Jakotaulu'!L$15*Ohj.lask.[[#This Row],[%-osuus 3]],0),0)</f>
        <v>16821</v>
      </c>
      <c r="R134" s="139">
        <f>IFERROR(ROUND(VLOOKUP(Ohj.lask.[[#This Row],[Y-tunnus]],'2.4 Aloittaneet palaute'!$A:$I,COLUMN('2.4 Aloittaneet palaute'!H:H),FALSE),1),0)</f>
        <v>204.6</v>
      </c>
      <c r="S134" s="14">
        <f>IFERROR(Ohj.lask.[[#This Row],[Painotetut pisteet 4]]/Ohj.lask.[[#Totals],[Painotetut pisteet 4]],0)</f>
        <v>1.176775287166817E-4</v>
      </c>
      <c r="T134" s="17">
        <f>ROUND(IFERROR('1.1 Jakotaulu'!M$17*Ohj.lask.[[#This Row],[%-osuus 4]],0),0)</f>
        <v>911</v>
      </c>
      <c r="U134" s="139">
        <f>IFERROR(ROUND(VLOOKUP(Ohj.lask.[[#This Row],[Y-tunnus]],'2.5 Päättäneet palaute'!$A:$Y,COLUMN('2.5 Päättäneet palaute'!X:X),FALSE),1),0)</f>
        <v>1014</v>
      </c>
      <c r="V134" s="14">
        <f>IFERROR(Ohj.lask.[[#This Row],[Painotetut pisteet 5]]/Ohj.lask.[[#Totals],[Painotetut pisteet 5]],0)</f>
        <v>9.1378567346274458E-5</v>
      </c>
      <c r="W134" s="17">
        <f>ROUND(IFERROR('1.1 Jakotaulu'!M$18*Ohj.lask.[[#This Row],[%-osuus 5]],0),0)</f>
        <v>2122</v>
      </c>
      <c r="X134" s="139">
        <f>IFERROR(ROUND(VLOOKUP(Ohj.lask.[[#This Row],[Y-tunnus]],'2.6 Työpaikkaohjaajakysely'!A:I,COLUMN('2.6 Työpaikkaohjaajakysely'!H:H),FALSE),1),0)</f>
        <v>20565.099999999999</v>
      </c>
      <c r="Y134" s="10">
        <f>IFERROR(Ohj.lask.[[#This Row],[Painotetut pisteet 6]]/Ohj.lask.[[#Totals],[Painotetut pisteet 6]],0)</f>
        <v>5.992741334421458E-5</v>
      </c>
      <c r="Z134" s="17">
        <f>ROUND(IFERROR('1.1 Jakotaulu'!M$20*Ohj.lask.[[#This Row],[%-osuus 6]],0),0)</f>
        <v>1391</v>
      </c>
      <c r="AA134" s="139">
        <f>IFERROR(ROUND(VLOOKUP(Ohj.lask.[[#This Row],[Y-tunnus]],'2.7 Työpaikkakysely'!A:G,COLUMN('2.7 Työpaikkakysely'!F:F),FALSE),1),0)</f>
        <v>28660</v>
      </c>
      <c r="AB134" s="10">
        <f>IFERROR(Ohj.lask.[[#This Row],[Pisteet 7]]/Ohj.lask.[[#Totals],[Pisteet 7]],0)</f>
        <v>1.4004486220375206E-4</v>
      </c>
      <c r="AC134" s="17">
        <f>ROUND(IFERROR('1.1 Jakotaulu'!M$21*Ohj.lask.[[#This Row],[%-osuus 7]],0),0)</f>
        <v>1084</v>
      </c>
      <c r="AD134" s="13">
        <f>IFERROR(Ohj.lask.[[#This Row],[Jaettava € 8]]/Ohj.lask.[[#Totals],[Jaettava € 8]],"")</f>
        <v>6.1656317023636503E-5</v>
      </c>
      <c r="AE134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125830</v>
      </c>
      <c r="AF134" s="103">
        <v>0</v>
      </c>
      <c r="AG134" s="103">
        <v>0</v>
      </c>
      <c r="AH134" s="107">
        <v>0</v>
      </c>
      <c r="AI134" s="33">
        <v>0</v>
      </c>
      <c r="AJ134" s="107">
        <v>0</v>
      </c>
      <c r="AK134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34" s="11">
        <f>Ohj.lask.[[#This Row],[Jaettava € 1]]+Ohj.lask.[[#This Row],[Harkinnanvarainen korotus yhteensä, €]]</f>
        <v>75253</v>
      </c>
      <c r="AM134" s="103">
        <f>Ohj.lask.[[#This Row],[Jaettava € 2]]</f>
        <v>28248</v>
      </c>
      <c r="AN134" s="11">
        <f>Ohj.lask.[[#This Row],[Jaettava € 3]]+Ohj.lask.[[#This Row],[Jaettava € 4]]+Ohj.lask.[[#This Row],[Jaettava € 5]]+Ohj.lask.[[#This Row],[Jaettava € 6]]+Ohj.lask.[[#This Row],[Jaettava € 7]]</f>
        <v>22329</v>
      </c>
      <c r="AO134" s="34">
        <f>Ohj.lask.[[#This Row],[Jaettava € 8]]+Ohj.lask.[[#This Row],[Harkinnanvarainen korotus yhteensä, €]]</f>
        <v>125830</v>
      </c>
      <c r="AP134" s="12">
        <v>0</v>
      </c>
      <c r="AQ134" s="34">
        <f>Ohj.lask.[[#This Row],[Perus-, suoritus- ja vaikuttavuusrahoitus yhteensä, €]]+Ohj.lask.[[#This Row],[Alv-korvaus, €]]</f>
        <v>125830</v>
      </c>
    </row>
    <row r="135" spans="1:43" ht="12.75" x14ac:dyDescent="0.2">
      <c r="A135" s="4" t="s">
        <v>185</v>
      </c>
      <c r="B135" s="8" t="s">
        <v>122</v>
      </c>
      <c r="C135" s="8" t="s">
        <v>174</v>
      </c>
      <c r="D135" s="8" t="s">
        <v>327</v>
      </c>
      <c r="E135" s="8" t="s">
        <v>375</v>
      </c>
      <c r="F135" s="106">
        <v>3063</v>
      </c>
      <c r="G135" s="33">
        <v>3564</v>
      </c>
      <c r="H135" s="9">
        <f>IFERROR(VLOOKUP(Ohj.lask.[[#This Row],[Y-tunnus]],'2.1 Toteut. op.vuodet'!$A:$T,COLUMN('2.1 Toteut. op.vuodet'!S:S),FALSE),0)</f>
        <v>1.0774382663772499</v>
      </c>
      <c r="I135" s="74">
        <f t="shared" si="4"/>
        <v>3840</v>
      </c>
      <c r="J135" s="10">
        <f>IFERROR(Ohj.lask.[[#This Row],[Painotetut opiskelija-vuodet]]/Ohj.lask.[[#Totals],[Painotetut opiskelija-vuodet]],0)</f>
        <v>1.8647475306663559E-2</v>
      </c>
      <c r="K135" s="11">
        <f>ROUND(IFERROR('1.1 Jakotaulu'!L$12*Ohj.lask.[[#This Row],[%-osuus 1]],0),0)</f>
        <v>26511060</v>
      </c>
      <c r="L135" s="139">
        <f>IFERROR(ROUND(VLOOKUP(Ohj.lask.[[#This Row],[Y-tunnus]],'2.2 Tutk. ja osien pain. pist.'!$A:$Q,COLUMN('2.2 Tutk. ja osien pain. pist.'!O:O),FALSE),1),0)</f>
        <v>318753.8</v>
      </c>
      <c r="M135" s="10">
        <f>IFERROR(Ohj.lask.[[#This Row],[Painotetut pisteet 2]]/Ohj.lask.[[#Totals],[Painotetut pisteet 2]],0)</f>
        <v>2.0238568576856179E-2</v>
      </c>
      <c r="N135" s="17">
        <f>ROUND(IFERROR('1.1 Jakotaulu'!K$13*Ohj.lask.[[#This Row],[%-osuus 2]],0),0)</f>
        <v>8353570</v>
      </c>
      <c r="O135" s="140">
        <f>IFERROR(ROUND(VLOOKUP(Ohj.lask.[[#This Row],[Y-tunnus]],'2.3 Työll. ja jatko-opisk.'!$A:$Y,COLUMN('2.3 Työll. ja jatko-opisk.'!L:L),FALSE),1),0)</f>
        <v>6664.6</v>
      </c>
      <c r="P135" s="10">
        <f>IFERROR(Ohj.lask.[[#This Row],[Painotetut pisteet 3]]/Ohj.lask.[[#Totals],[Painotetut pisteet 3]],0)</f>
        <v>1.9745471082925587E-2</v>
      </c>
      <c r="Q135" s="11">
        <f>ROUND(IFERROR('1.1 Jakotaulu'!L$15*Ohj.lask.[[#This Row],[%-osuus 3]],0),0)</f>
        <v>2852508</v>
      </c>
      <c r="R135" s="139">
        <f>IFERROR(ROUND(VLOOKUP(Ohj.lask.[[#This Row],[Y-tunnus]],'2.4 Aloittaneet palaute'!$A:$I,COLUMN('2.4 Aloittaneet palaute'!H:H),FALSE),1),0)</f>
        <v>41881.800000000003</v>
      </c>
      <c r="S135" s="14">
        <f>IFERROR(Ohj.lask.[[#This Row],[Painotetut pisteet 4]]/Ohj.lask.[[#Totals],[Painotetut pisteet 4]],0)</f>
        <v>2.4088693656922386E-2</v>
      </c>
      <c r="T135" s="17">
        <f>ROUND(IFERROR('1.1 Jakotaulu'!M$17*Ohj.lask.[[#This Row],[%-osuus 4]],0),0)</f>
        <v>186426</v>
      </c>
      <c r="U135" s="139">
        <f>IFERROR(ROUND(VLOOKUP(Ohj.lask.[[#This Row],[Y-tunnus]],'2.5 Päättäneet palaute'!$A:$Y,COLUMN('2.5 Päättäneet palaute'!X:X),FALSE),1),0)</f>
        <v>202570.4</v>
      </c>
      <c r="V135" s="14">
        <f>IFERROR(Ohj.lask.[[#This Row],[Painotetut pisteet 5]]/Ohj.lask.[[#Totals],[Painotetut pisteet 5]],0)</f>
        <v>1.8255022622053012E-2</v>
      </c>
      <c r="W135" s="17">
        <f>ROUND(IFERROR('1.1 Jakotaulu'!M$18*Ohj.lask.[[#This Row],[%-osuus 5]],0),0)</f>
        <v>423834</v>
      </c>
      <c r="X135" s="139">
        <f>IFERROR(ROUND(VLOOKUP(Ohj.lask.[[#This Row],[Y-tunnus]],'2.6 Työpaikkaohjaajakysely'!A:I,COLUMN('2.6 Työpaikkaohjaajakysely'!H:H),FALSE),1),0)</f>
        <v>3817238.9</v>
      </c>
      <c r="Y135" s="10">
        <f>IFERROR(Ohj.lask.[[#This Row],[Painotetut pisteet 6]]/Ohj.lask.[[#Totals],[Painotetut pisteet 6]],0)</f>
        <v>1.1123566303782379E-2</v>
      </c>
      <c r="Z135" s="17">
        <f>ROUND(IFERROR('1.1 Jakotaulu'!M$20*Ohj.lask.[[#This Row],[%-osuus 6]],0),0)</f>
        <v>258260</v>
      </c>
      <c r="AA135" s="139">
        <f>IFERROR(ROUND(VLOOKUP(Ohj.lask.[[#This Row],[Y-tunnus]],'2.7 Työpaikkakysely'!A:G,COLUMN('2.7 Työpaikkakysely'!F:F),FALSE),1),0)</f>
        <v>2244358.2999999998</v>
      </c>
      <c r="AB135" s="10">
        <f>IFERROR(Ohj.lask.[[#This Row],[Pisteet 7]]/Ohj.lask.[[#Totals],[Pisteet 7]],0)</f>
        <v>1.0966882374715534E-2</v>
      </c>
      <c r="AC135" s="17">
        <f>ROUND(IFERROR('1.1 Jakotaulu'!M$21*Ohj.lask.[[#This Row],[%-osuus 7]],0),0)</f>
        <v>84874</v>
      </c>
      <c r="AD135" s="13">
        <f>IFERROR(Ohj.lask.[[#This Row],[Jaettava € 8]]/Ohj.lask.[[#Totals],[Jaettava € 8]],"")</f>
        <v>1.8948442982314868E-2</v>
      </c>
      <c r="AE135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38670532</v>
      </c>
      <c r="AF135" s="103">
        <v>0</v>
      </c>
      <c r="AG135" s="103">
        <v>0</v>
      </c>
      <c r="AH135" s="107">
        <v>0</v>
      </c>
      <c r="AI135" s="33">
        <v>0</v>
      </c>
      <c r="AJ135" s="107">
        <v>0</v>
      </c>
      <c r="AK135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0</v>
      </c>
      <c r="AL135" s="11">
        <f>Ohj.lask.[[#This Row],[Jaettava € 1]]+Ohj.lask.[[#This Row],[Harkinnanvarainen korotus yhteensä, €]]</f>
        <v>26511060</v>
      </c>
      <c r="AM135" s="103">
        <f>Ohj.lask.[[#This Row],[Jaettava € 2]]</f>
        <v>8353570</v>
      </c>
      <c r="AN135" s="11">
        <f>Ohj.lask.[[#This Row],[Jaettava € 3]]+Ohj.lask.[[#This Row],[Jaettava € 4]]+Ohj.lask.[[#This Row],[Jaettava € 5]]+Ohj.lask.[[#This Row],[Jaettava € 6]]+Ohj.lask.[[#This Row],[Jaettava € 7]]</f>
        <v>3805902</v>
      </c>
      <c r="AO135" s="34">
        <f>Ohj.lask.[[#This Row],[Jaettava € 8]]+Ohj.lask.[[#This Row],[Harkinnanvarainen korotus yhteensä, €]]</f>
        <v>38670532</v>
      </c>
      <c r="AP135" s="12">
        <v>0</v>
      </c>
      <c r="AQ135" s="34">
        <f>Ohj.lask.[[#This Row],[Perus-, suoritus- ja vaikuttavuusrahoitus yhteensä, €]]+Ohj.lask.[[#This Row],[Alv-korvaus, €]]</f>
        <v>38670532</v>
      </c>
    </row>
    <row r="136" spans="1:43" ht="12.75" x14ac:dyDescent="0.2">
      <c r="A136" s="4" t="s">
        <v>184</v>
      </c>
      <c r="B136" s="8" t="s">
        <v>123</v>
      </c>
      <c r="C136" s="8" t="s">
        <v>183</v>
      </c>
      <c r="D136" s="8" t="s">
        <v>326</v>
      </c>
      <c r="E136" s="8" t="s">
        <v>375</v>
      </c>
      <c r="F136" s="106">
        <v>128</v>
      </c>
      <c r="G136" s="33">
        <v>205</v>
      </c>
      <c r="H136" s="9">
        <f>IFERROR(VLOOKUP(Ohj.lask.[[#This Row],[Y-tunnus]],'2.1 Toteut. op.vuodet'!$A:$T,COLUMN('2.1 Toteut. op.vuodet'!S:S),FALSE),0)</f>
        <v>1.435076359109501</v>
      </c>
      <c r="I136" s="74">
        <f t="shared" si="4"/>
        <v>294.2</v>
      </c>
      <c r="J136" s="10">
        <f>IFERROR(Ohj.lask.[[#This Row],[Painotetut opiskelija-vuodet]]/Ohj.lask.[[#Totals],[Painotetut opiskelija-vuodet]],0)</f>
        <v>1.4286685508386506E-3</v>
      </c>
      <c r="K136" s="11">
        <f>ROUND(IFERROR('1.1 Jakotaulu'!L$12*Ohj.lask.[[#This Row],[%-osuus 1]],0),0)</f>
        <v>2031134</v>
      </c>
      <c r="L136" s="139">
        <f>IFERROR(ROUND(VLOOKUP(Ohj.lask.[[#This Row],[Y-tunnus]],'2.2 Tutk. ja osien pain. pist.'!$A:$Q,COLUMN('2.2 Tutk. ja osien pain. pist.'!O:O),FALSE),1),0)</f>
        <v>25278.799999999999</v>
      </c>
      <c r="M136" s="10">
        <f>IFERROR(Ohj.lask.[[#This Row],[Painotetut pisteet 2]]/Ohj.lask.[[#Totals],[Painotetut pisteet 2]],0)</f>
        <v>1.6050215788506114E-3</v>
      </c>
      <c r="N136" s="17">
        <f>ROUND(IFERROR('1.1 Jakotaulu'!K$13*Ohj.lask.[[#This Row],[%-osuus 2]],0),0)</f>
        <v>662481</v>
      </c>
      <c r="O136" s="140">
        <f>IFERROR(ROUND(VLOOKUP(Ohj.lask.[[#This Row],[Y-tunnus]],'2.3 Työll. ja jatko-opisk.'!$A:$Y,COLUMN('2.3 Työll. ja jatko-opisk.'!L:L),FALSE),1),0)</f>
        <v>367.1</v>
      </c>
      <c r="P136" s="10">
        <f>IFERROR(Ohj.lask.[[#This Row],[Painotetut pisteet 3]]/Ohj.lask.[[#Totals],[Painotetut pisteet 3]],0)</f>
        <v>1.0876215278549325E-3</v>
      </c>
      <c r="Q136" s="11">
        <f>ROUND(IFERROR('1.1 Jakotaulu'!L$15*Ohj.lask.[[#This Row],[%-osuus 3]],0),0)</f>
        <v>157122</v>
      </c>
      <c r="R136" s="139">
        <f>IFERROR(ROUND(VLOOKUP(Ohj.lask.[[#This Row],[Y-tunnus]],'2.4 Aloittaneet palaute'!$A:$I,COLUMN('2.4 Aloittaneet palaute'!H:H),FALSE),1),0)</f>
        <v>1468.6</v>
      </c>
      <c r="S136" s="14">
        <f>IFERROR(Ohj.lask.[[#This Row],[Painotetut pisteet 4]]/Ohj.lask.[[#Totals],[Painotetut pisteet 4]],0)</f>
        <v>8.4467848813938782E-4</v>
      </c>
      <c r="T136" s="17">
        <f>ROUND(IFERROR('1.1 Jakotaulu'!M$17*Ohj.lask.[[#This Row],[%-osuus 4]],0),0)</f>
        <v>6537</v>
      </c>
      <c r="U136" s="139">
        <f>IFERROR(ROUND(VLOOKUP(Ohj.lask.[[#This Row],[Y-tunnus]],'2.5 Päättäneet palaute'!$A:$Y,COLUMN('2.5 Päättäneet palaute'!X:X),FALSE),1),0)</f>
        <v>19792.2</v>
      </c>
      <c r="V136" s="14">
        <f>IFERROR(Ohj.lask.[[#This Row],[Painotetut pisteet 5]]/Ohj.lask.[[#Totals],[Painotetut pisteet 5]],0)</f>
        <v>1.7836123083145299E-3</v>
      </c>
      <c r="W136" s="17">
        <f>ROUND(IFERROR('1.1 Jakotaulu'!M$18*Ohj.lask.[[#This Row],[%-osuus 5]],0),0)</f>
        <v>41411</v>
      </c>
      <c r="X136" s="139">
        <f>IFERROR(ROUND(VLOOKUP(Ohj.lask.[[#This Row],[Y-tunnus]],'2.6 Työpaikkaohjaajakysely'!A:I,COLUMN('2.6 Työpaikkaohjaajakysely'!H:H),FALSE),1),0)</f>
        <v>431515.4</v>
      </c>
      <c r="Y136" s="10">
        <f>IFERROR(Ohj.lask.[[#This Row],[Painotetut pisteet 6]]/Ohj.lask.[[#Totals],[Painotetut pisteet 6]],0)</f>
        <v>1.2574508142529867E-3</v>
      </c>
      <c r="Z136" s="17">
        <f>ROUND(IFERROR('1.1 Jakotaulu'!M$20*Ohj.lask.[[#This Row],[%-osuus 6]],0),0)</f>
        <v>29195</v>
      </c>
      <c r="AA136" s="139">
        <f>IFERROR(ROUND(VLOOKUP(Ohj.lask.[[#This Row],[Y-tunnus]],'2.7 Työpaikkakysely'!A:G,COLUMN('2.7 Työpaikkakysely'!F:F),FALSE),1),0)</f>
        <v>228290</v>
      </c>
      <c r="AB136" s="10">
        <f>IFERROR(Ohj.lask.[[#This Row],[Pisteet 7]]/Ohj.lask.[[#Totals],[Pisteet 7]],0)</f>
        <v>1.1155213395845972E-3</v>
      </c>
      <c r="AC136" s="17">
        <f>ROUND(IFERROR('1.1 Jakotaulu'!M$21*Ohj.lask.[[#This Row],[%-osuus 7]],0),0)</f>
        <v>8633</v>
      </c>
      <c r="AD136" s="13">
        <f>IFERROR(Ohj.lask.[[#This Row],[Jaettava € 8]]/Ohj.lask.[[#Totals],[Jaettava € 8]],"")</f>
        <v>1.4388824324249375E-3</v>
      </c>
      <c r="AE136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2936513</v>
      </c>
      <c r="AF136" s="103">
        <v>0</v>
      </c>
      <c r="AG136" s="103">
        <v>0</v>
      </c>
      <c r="AH136" s="107">
        <v>0</v>
      </c>
      <c r="AI136" s="33">
        <v>2000</v>
      </c>
      <c r="AJ136" s="107">
        <v>0</v>
      </c>
      <c r="AK136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2000</v>
      </c>
      <c r="AL136" s="11">
        <f>Ohj.lask.[[#This Row],[Jaettava € 1]]+Ohj.lask.[[#This Row],[Harkinnanvarainen korotus yhteensä, €]]</f>
        <v>2033134</v>
      </c>
      <c r="AM136" s="103">
        <f>Ohj.lask.[[#This Row],[Jaettava € 2]]</f>
        <v>662481</v>
      </c>
      <c r="AN136" s="11">
        <f>Ohj.lask.[[#This Row],[Jaettava € 3]]+Ohj.lask.[[#This Row],[Jaettava € 4]]+Ohj.lask.[[#This Row],[Jaettava € 5]]+Ohj.lask.[[#This Row],[Jaettava € 6]]+Ohj.lask.[[#This Row],[Jaettava € 7]]</f>
        <v>242898</v>
      </c>
      <c r="AO136" s="34">
        <f>Ohj.lask.[[#This Row],[Jaettava € 8]]+Ohj.lask.[[#This Row],[Harkinnanvarainen korotus yhteensä, €]]</f>
        <v>2938513</v>
      </c>
      <c r="AP136" s="12">
        <v>212858</v>
      </c>
      <c r="AQ136" s="34">
        <f>Ohj.lask.[[#This Row],[Perus-, suoritus- ja vaikuttavuusrahoitus yhteensä, €]]+Ohj.lask.[[#This Row],[Alv-korvaus, €]]</f>
        <v>3151371</v>
      </c>
    </row>
    <row r="137" spans="1:43" ht="12.75" x14ac:dyDescent="0.2">
      <c r="A137" s="4" t="s">
        <v>179</v>
      </c>
      <c r="B137" s="8" t="s">
        <v>124</v>
      </c>
      <c r="C137" s="8" t="s">
        <v>178</v>
      </c>
      <c r="D137" s="8" t="s">
        <v>325</v>
      </c>
      <c r="E137" s="8" t="s">
        <v>375</v>
      </c>
      <c r="F137" s="106">
        <v>1320</v>
      </c>
      <c r="G137" s="33">
        <v>1464</v>
      </c>
      <c r="H137" s="9">
        <f>IFERROR(VLOOKUP(Ohj.lask.[[#This Row],[Y-tunnus]],'2.1 Toteut. op.vuodet'!$A:$T,COLUMN('2.1 Toteut. op.vuodet'!S:S),FALSE),0)</f>
        <v>1.2557060386968117</v>
      </c>
      <c r="I137" s="74">
        <f t="shared" si="4"/>
        <v>1838.4</v>
      </c>
      <c r="J137" s="10">
        <f>IFERROR(Ohj.lask.[[#This Row],[Painotetut opiskelija-vuodet]]/Ohj.lask.[[#Totals],[Painotetut opiskelija-vuodet]],0)</f>
        <v>8.9274788030651794E-3</v>
      </c>
      <c r="K137" s="11">
        <f>ROUND(IFERROR('1.1 Jakotaulu'!L$12*Ohj.lask.[[#This Row],[%-osuus 1]],0),0)</f>
        <v>12692170</v>
      </c>
      <c r="L137" s="139">
        <f>IFERROR(ROUND(VLOOKUP(Ohj.lask.[[#This Row],[Y-tunnus]],'2.2 Tutk. ja osien pain. pist.'!$A:$Q,COLUMN('2.2 Tutk. ja osien pain. pist.'!O:O),FALSE),1),0)</f>
        <v>145887.70000000001</v>
      </c>
      <c r="M137" s="10">
        <f>IFERROR(Ohj.lask.[[#This Row],[Painotetut pisteet 2]]/Ohj.lask.[[#Totals],[Painotetut pisteet 2]],0)</f>
        <v>9.2628173247497649E-3</v>
      </c>
      <c r="N137" s="17">
        <f>ROUND(IFERROR('1.1 Jakotaulu'!K$13*Ohj.lask.[[#This Row],[%-osuus 2]],0),0)</f>
        <v>3823274</v>
      </c>
      <c r="O137" s="140">
        <f>IFERROR(ROUND(VLOOKUP(Ohj.lask.[[#This Row],[Y-tunnus]],'2.3 Työll. ja jatko-opisk.'!$A:$Y,COLUMN('2.3 Työll. ja jatko-opisk.'!L:L),FALSE),1),0)</f>
        <v>2987.9</v>
      </c>
      <c r="P137" s="10">
        <f>IFERROR(Ohj.lask.[[#This Row],[Painotetut pisteet 3]]/Ohj.lask.[[#Totals],[Painotetut pisteet 3]],0)</f>
        <v>8.8523681914403508E-3</v>
      </c>
      <c r="Q137" s="11">
        <f>ROUND(IFERROR('1.1 Jakotaulu'!L$15*Ohj.lask.[[#This Row],[%-osuus 3]],0),0)</f>
        <v>1278848</v>
      </c>
      <c r="R137" s="139">
        <f>IFERROR(ROUND(VLOOKUP(Ohj.lask.[[#This Row],[Y-tunnus]],'2.4 Aloittaneet palaute'!$A:$I,COLUMN('2.4 Aloittaneet palaute'!H:H),FALSE),1),0)</f>
        <v>20070.900000000001</v>
      </c>
      <c r="S137" s="14">
        <f>IFERROR(Ohj.lask.[[#This Row],[Painotetut pisteet 4]]/Ohj.lask.[[#Totals],[Painotetut pisteet 4]],0)</f>
        <v>1.1543958509871197E-2</v>
      </c>
      <c r="T137" s="17">
        <f>ROUND(IFERROR('1.1 Jakotaulu'!M$17*Ohj.lask.[[#This Row],[%-osuus 4]],0),0)</f>
        <v>89340</v>
      </c>
      <c r="U137" s="139">
        <f>IFERROR(ROUND(VLOOKUP(Ohj.lask.[[#This Row],[Y-tunnus]],'2.5 Päättäneet palaute'!$A:$Y,COLUMN('2.5 Päättäneet palaute'!X:X),FALSE),1),0)</f>
        <v>108872.5</v>
      </c>
      <c r="V137" s="14">
        <f>IFERROR(Ohj.lask.[[#This Row],[Painotetut pisteet 5]]/Ohj.lask.[[#Totals],[Painotetut pisteet 5]],0)</f>
        <v>9.81125549645687E-3</v>
      </c>
      <c r="W137" s="17">
        <f>ROUND(IFERROR('1.1 Jakotaulu'!M$18*Ohj.lask.[[#This Row],[%-osuus 5]],0),0)</f>
        <v>227792</v>
      </c>
      <c r="X137" s="139">
        <f>IFERROR(ROUND(VLOOKUP(Ohj.lask.[[#This Row],[Y-tunnus]],'2.6 Työpaikkaohjaajakysely'!A:I,COLUMN('2.6 Työpaikkaohjaajakysely'!H:H),FALSE),1),0)</f>
        <v>3169116.6</v>
      </c>
      <c r="Y137" s="10">
        <f>IFERROR(Ohj.lask.[[#This Row],[Painotetut pisteet 6]]/Ohj.lask.[[#Totals],[Painotetut pisteet 6]],0)</f>
        <v>9.2349154842044021E-3</v>
      </c>
      <c r="Z137" s="17">
        <f>ROUND(IFERROR('1.1 Jakotaulu'!M$20*Ohj.lask.[[#This Row],[%-osuus 6]],0),0)</f>
        <v>214411</v>
      </c>
      <c r="AA137" s="139">
        <f>IFERROR(ROUND(VLOOKUP(Ohj.lask.[[#This Row],[Y-tunnus]],'2.7 Työpaikkakysely'!A:G,COLUMN('2.7 Työpaikkakysely'!F:F),FALSE),1),0)</f>
        <v>2713309.6</v>
      </c>
      <c r="AB137" s="10">
        <f>IFERROR(Ohj.lask.[[#This Row],[Pisteet 7]]/Ohj.lask.[[#Totals],[Pisteet 7]],0)</f>
        <v>1.3258376449690077E-2</v>
      </c>
      <c r="AC137" s="17">
        <f>ROUND(IFERROR('1.1 Jakotaulu'!M$21*Ohj.lask.[[#This Row],[%-osuus 7]],0),0)</f>
        <v>102608</v>
      </c>
      <c r="AD137" s="13">
        <f>IFERROR(Ohj.lask.[[#This Row],[Jaettava € 8]]/Ohj.lask.[[#Totals],[Jaettava € 8]],"")</f>
        <v>9.0298809811651826E-3</v>
      </c>
      <c r="AE137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18428443</v>
      </c>
      <c r="AF137" s="103">
        <v>0</v>
      </c>
      <c r="AG137" s="103">
        <v>0</v>
      </c>
      <c r="AH137" s="107">
        <v>0</v>
      </c>
      <c r="AI137" s="33">
        <v>22000</v>
      </c>
      <c r="AJ137" s="107">
        <v>0</v>
      </c>
      <c r="AK137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22000</v>
      </c>
      <c r="AL137" s="11">
        <f>Ohj.lask.[[#This Row],[Jaettava € 1]]+Ohj.lask.[[#This Row],[Harkinnanvarainen korotus yhteensä, €]]</f>
        <v>12714170</v>
      </c>
      <c r="AM137" s="103">
        <f>Ohj.lask.[[#This Row],[Jaettava € 2]]</f>
        <v>3823274</v>
      </c>
      <c r="AN137" s="11">
        <f>Ohj.lask.[[#This Row],[Jaettava € 3]]+Ohj.lask.[[#This Row],[Jaettava € 4]]+Ohj.lask.[[#This Row],[Jaettava € 5]]+Ohj.lask.[[#This Row],[Jaettava € 6]]+Ohj.lask.[[#This Row],[Jaettava € 7]]</f>
        <v>1912999</v>
      </c>
      <c r="AO137" s="34">
        <f>Ohj.lask.[[#This Row],[Jaettava € 8]]+Ohj.lask.[[#This Row],[Harkinnanvarainen korotus yhteensä, €]]</f>
        <v>18450443</v>
      </c>
      <c r="AP137" s="12">
        <v>0</v>
      </c>
      <c r="AQ137" s="34">
        <f>Ohj.lask.[[#This Row],[Perus-, suoritus- ja vaikuttavuusrahoitus yhteensä, €]]+Ohj.lask.[[#This Row],[Alv-korvaus, €]]</f>
        <v>18450443</v>
      </c>
    </row>
    <row r="138" spans="1:43" ht="12.75" x14ac:dyDescent="0.2">
      <c r="A138" s="4" t="s">
        <v>177</v>
      </c>
      <c r="B138" s="8" t="s">
        <v>125</v>
      </c>
      <c r="C138" s="8" t="s">
        <v>176</v>
      </c>
      <c r="D138" s="8" t="s">
        <v>325</v>
      </c>
      <c r="E138" s="8" t="s">
        <v>375</v>
      </c>
      <c r="F138" s="106">
        <v>1472</v>
      </c>
      <c r="G138" s="33">
        <v>1540</v>
      </c>
      <c r="H138" s="9">
        <f>IFERROR(VLOOKUP(Ohj.lask.[[#This Row],[Y-tunnus]],'2.1 Toteut. op.vuodet'!$A:$T,COLUMN('2.1 Toteut. op.vuodet'!S:S),FALSE),0)</f>
        <v>1.1770515597522822</v>
      </c>
      <c r="I138" s="74">
        <f t="shared" si="4"/>
        <v>1812.7</v>
      </c>
      <c r="J138" s="10">
        <f>IFERROR(Ohj.lask.[[#This Row],[Painotetut opiskelija-vuodet]]/Ohj.lask.[[#Totals],[Painotetut opiskelija-vuodet]],0)</f>
        <v>8.8026766896846451E-3</v>
      </c>
      <c r="K138" s="11">
        <f>ROUND(IFERROR('1.1 Jakotaulu'!L$12*Ohj.lask.[[#This Row],[%-osuus 1]],0),0)</f>
        <v>12514739</v>
      </c>
      <c r="L138" s="139">
        <f>IFERROR(ROUND(VLOOKUP(Ohj.lask.[[#This Row],[Y-tunnus]],'2.2 Tutk. ja osien pain. pist.'!$A:$Q,COLUMN('2.2 Tutk. ja osien pain. pist.'!O:O),FALSE),1),0)</f>
        <v>142582.6</v>
      </c>
      <c r="M138" s="10">
        <f>IFERROR(Ohj.lask.[[#This Row],[Painotetut pisteet 2]]/Ohj.lask.[[#Totals],[Painotetut pisteet 2]],0)</f>
        <v>9.0529672994218557E-3</v>
      </c>
      <c r="N138" s="17">
        <f>ROUND(IFERROR('1.1 Jakotaulu'!K$13*Ohj.lask.[[#This Row],[%-osuus 2]],0),0)</f>
        <v>3736658</v>
      </c>
      <c r="O138" s="140">
        <f>IFERROR(ROUND(VLOOKUP(Ohj.lask.[[#This Row],[Y-tunnus]],'2.3 Työll. ja jatko-opisk.'!$A:$Y,COLUMN('2.3 Työll. ja jatko-opisk.'!L:L),FALSE),1),0)</f>
        <v>3137.9</v>
      </c>
      <c r="P138" s="10">
        <f>IFERROR(Ohj.lask.[[#This Row],[Painotetut pisteet 3]]/Ohj.lask.[[#Totals],[Painotetut pisteet 3]],0)</f>
        <v>9.296779058174864E-3</v>
      </c>
      <c r="Q138" s="11">
        <f>ROUND(IFERROR('1.1 Jakotaulu'!L$15*Ohj.lask.[[#This Row],[%-osuus 3]],0),0)</f>
        <v>1343049</v>
      </c>
      <c r="R138" s="139">
        <f>IFERROR(ROUND(VLOOKUP(Ohj.lask.[[#This Row],[Y-tunnus]],'2.4 Aloittaneet palaute'!$A:$I,COLUMN('2.4 Aloittaneet palaute'!H:H),FALSE),1),0)</f>
        <v>19470.2</v>
      </c>
      <c r="S138" s="14">
        <f>IFERROR(Ohj.lask.[[#This Row],[Painotetut pisteet 4]]/Ohj.lask.[[#Totals],[Painotetut pisteet 4]],0)</f>
        <v>1.1198460506449346E-2</v>
      </c>
      <c r="T138" s="17">
        <f>ROUND(IFERROR('1.1 Jakotaulu'!M$17*Ohj.lask.[[#This Row],[%-osuus 4]],0),0)</f>
        <v>86666</v>
      </c>
      <c r="U138" s="139">
        <f>IFERROR(ROUND(VLOOKUP(Ohj.lask.[[#This Row],[Y-tunnus]],'2.5 Päättäneet palaute'!$A:$Y,COLUMN('2.5 Päättäneet palaute'!X:X),FALSE),1),0)</f>
        <v>111822.8</v>
      </c>
      <c r="V138" s="14">
        <f>IFERROR(Ohj.lask.[[#This Row],[Painotetut pisteet 5]]/Ohj.lask.[[#Totals],[Painotetut pisteet 5]],0)</f>
        <v>1.0077127475985187E-2</v>
      </c>
      <c r="W138" s="17">
        <f>ROUND(IFERROR('1.1 Jakotaulu'!M$18*Ohj.lask.[[#This Row],[%-osuus 5]],0),0)</f>
        <v>233965</v>
      </c>
      <c r="X138" s="139">
        <f>IFERROR(ROUND(VLOOKUP(Ohj.lask.[[#This Row],[Y-tunnus]],'2.6 Työpaikkaohjaajakysely'!A:I,COLUMN('2.6 Työpaikkaohjaajakysely'!H:H),FALSE),1),0)</f>
        <v>3310864.3</v>
      </c>
      <c r="Y138" s="10">
        <f>IFERROR(Ohj.lask.[[#This Row],[Painotetut pisteet 6]]/Ohj.lask.[[#Totals],[Painotetut pisteet 6]],0)</f>
        <v>9.6479731891750426E-3</v>
      </c>
      <c r="Z138" s="17">
        <f>ROUND(IFERROR('1.1 Jakotaulu'!M$20*Ohj.lask.[[#This Row],[%-osuus 6]],0),0)</f>
        <v>224001</v>
      </c>
      <c r="AA138" s="139">
        <f>IFERROR(ROUND(VLOOKUP(Ohj.lask.[[#This Row],[Y-tunnus]],'2.7 Työpaikkakysely'!A:G,COLUMN('2.7 Työpaikkakysely'!F:F),FALSE),1),0)</f>
        <v>1700592.6</v>
      </c>
      <c r="AB138" s="10">
        <f>IFERROR(Ohj.lask.[[#This Row],[Pisteet 7]]/Ohj.lask.[[#Totals],[Pisteet 7]],0)</f>
        <v>8.309813549606436E-3</v>
      </c>
      <c r="AC138" s="17">
        <f>ROUND(IFERROR('1.1 Jakotaulu'!M$21*Ohj.lask.[[#This Row],[%-osuus 7]],0),0)</f>
        <v>64311</v>
      </c>
      <c r="AD138" s="13">
        <f>IFERROR(Ohj.lask.[[#This Row],[Jaettava € 8]]/Ohj.lask.[[#Totals],[Jaettava € 8]],"")</f>
        <v>8.9196052061398506E-3</v>
      </c>
      <c r="AE138" s="17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18203389</v>
      </c>
      <c r="AF138" s="103">
        <v>0</v>
      </c>
      <c r="AG138" s="103">
        <v>0</v>
      </c>
      <c r="AH138" s="107">
        <v>0</v>
      </c>
      <c r="AI138" s="33">
        <v>22000</v>
      </c>
      <c r="AJ138" s="107">
        <v>0</v>
      </c>
      <c r="AK138" s="107">
        <f>Ohj.lask.[[#This Row],[Harkinnanvarainen korotus 1, €]]+Ohj.lask.[[#This Row],[Harkinnanvarainen korotus 2, €]]+Ohj.lask.[[#This Row],[Harkinnanvarainen korotus 3, €]]+Ohj.lask.[[#This Row],[Harkinnanvarainen korotus 4, €]]+Ohj.lask.[[#This Row],[Harkinnanvarainen korotus 5, €]]</f>
        <v>22000</v>
      </c>
      <c r="AL138" s="11">
        <f>Ohj.lask.[[#This Row],[Jaettava € 1]]+Ohj.lask.[[#This Row],[Harkinnanvarainen korotus yhteensä, €]]</f>
        <v>12536739</v>
      </c>
      <c r="AM138" s="103">
        <f>Ohj.lask.[[#This Row],[Jaettava € 2]]</f>
        <v>3736658</v>
      </c>
      <c r="AN138" s="11">
        <f>Ohj.lask.[[#This Row],[Jaettava € 3]]+Ohj.lask.[[#This Row],[Jaettava € 4]]+Ohj.lask.[[#This Row],[Jaettava € 5]]+Ohj.lask.[[#This Row],[Jaettava € 6]]+Ohj.lask.[[#This Row],[Jaettava € 7]]</f>
        <v>1951992</v>
      </c>
      <c r="AO138" s="34">
        <f>Ohj.lask.[[#This Row],[Jaettava € 8]]+Ohj.lask.[[#This Row],[Harkinnanvarainen korotus yhteensä, €]]</f>
        <v>18225389</v>
      </c>
      <c r="AP138" s="12">
        <v>0</v>
      </c>
      <c r="AQ138" s="34">
        <f>Ohj.lask.[[#This Row],[Perus-, suoritus- ja vaikuttavuusrahoitus yhteensä, €]]+Ohj.lask.[[#This Row],[Alv-korvaus, €]]</f>
        <v>18225389</v>
      </c>
    </row>
    <row r="139" spans="1:43" ht="12.75" x14ac:dyDescent="0.2">
      <c r="A139" s="138" t="s">
        <v>13</v>
      </c>
      <c r="B139" s="136">
        <f>COUNTIF(Ohj.lask.[Nimi],"?*")</f>
        <v>133</v>
      </c>
      <c r="C139" s="136"/>
      <c r="D139" s="136"/>
      <c r="E139" s="136"/>
      <c r="F139" s="193">
        <f>SUM(Ohj.lask.[Järjestämisluvan opisk.vuosien vähimmäismäärä (ei noudateta 2025)])</f>
        <v>157925</v>
      </c>
      <c r="G139" s="194">
        <f>SUM(Ohj.lask.[Tavoitteelliset opiskelija-vuodet])</f>
        <v>166824</v>
      </c>
      <c r="H139" s="138"/>
      <c r="I139" s="135">
        <f>SUM(Ohj.lask.[Painotetut opiskelija-vuodet])</f>
        <v>205926</v>
      </c>
      <c r="J139" s="145">
        <f>SUM(Ohj.lask.[%-osuus 1])</f>
        <v>1</v>
      </c>
      <c r="K139" s="99">
        <f>SUM(Ohj.lask.[Jaettava € 1])</f>
        <v>1421697005</v>
      </c>
      <c r="L139" s="195">
        <f>SUM(Ohj.lask.[Painotetut pisteet 2])</f>
        <v>15749819.400000006</v>
      </c>
      <c r="M139" s="145">
        <f>SUM(Ohj.lask.[%-osuus 2])</f>
        <v>1</v>
      </c>
      <c r="N139" s="100">
        <f>SUM(Ohj.lask.[Jaettava € 2])</f>
        <v>412755002</v>
      </c>
      <c r="O139" s="135">
        <f>SUM(Ohj.lask.[Painotetut pisteet 3])</f>
        <v>337525.5</v>
      </c>
      <c r="P139" s="145">
        <f>SUM(Ohj.lask.[%-osuus 3])</f>
        <v>0.99999999999999978</v>
      </c>
      <c r="Q139" s="99">
        <f>SUM(Ohj.lask.[Jaettava € 3])</f>
        <v>144463899</v>
      </c>
      <c r="R139" s="195">
        <f>SUM(Ohj.lask.[Painotetut pisteet 4])</f>
        <v>1738649.6999999997</v>
      </c>
      <c r="S139" s="145">
        <f>SUM(Ohj.lask.[%-osuus 4])</f>
        <v>1</v>
      </c>
      <c r="T139" s="100">
        <f>SUM(Ohj.lask.[Jaettava € 4])</f>
        <v>7739135</v>
      </c>
      <c r="U139" s="195">
        <f>SUM(Ohj.lask.[Painotetut pisteet 5])</f>
        <v>11096694.000000004</v>
      </c>
      <c r="V139" s="145">
        <f>SUM(Ohj.lask.[%-osuus 5])</f>
        <v>0.99999999999999967</v>
      </c>
      <c r="W139" s="100">
        <f>SUM(Ohj.lask.[Jaettava € 5])</f>
        <v>23217415</v>
      </c>
      <c r="X139" s="195">
        <f>SUM(Ohj.lask.[Painotetut pisteet 6])</f>
        <v>343166822.20000011</v>
      </c>
      <c r="Y139" s="145">
        <f>SUM(Ohj.lask.[%-osuus 6])</f>
        <v>0.99999999999999967</v>
      </c>
      <c r="Z139" s="100">
        <f>SUM(Ohj.lask.[Jaettava € 6])</f>
        <v>23217411</v>
      </c>
      <c r="AA139" s="195">
        <f>SUM(Ohj.lask.[Pisteet 7])</f>
        <v>204648707.19999999</v>
      </c>
      <c r="AB139" s="145">
        <f>SUM(Ohj.lask.[%-osuus 7])</f>
        <v>1</v>
      </c>
      <c r="AC139" s="100">
        <f>SUM(Ohj.lask.[Jaettava € 7])</f>
        <v>7739136</v>
      </c>
      <c r="AD139" s="146">
        <f>SUM(Ohj.lask.[%-osuus 8])</f>
        <v>1.0000000000000002</v>
      </c>
      <c r="AE139" s="100">
        <f>SUM(Ohj.lask.[Jaettava € 8])</f>
        <v>2040829003</v>
      </c>
      <c r="AF139" s="148">
        <f>SUM(Ohj.lask.[Harkinnanvarainen korotus 1, €])</f>
        <v>8410000</v>
      </c>
      <c r="AG139" s="148">
        <f>SUM(Ohj.lask.[Harkinnanvarainen korotus 2, €])</f>
        <v>1535000</v>
      </c>
      <c r="AH139" s="100">
        <f>SUM(Ohj.lask.[Harkinnanvarainen korotus 3, €])</f>
        <v>0</v>
      </c>
      <c r="AI139" s="100">
        <f>SUM(Ohj.lask.[Harkinnanvarainen korotus 4, €])</f>
        <v>2500000</v>
      </c>
      <c r="AJ139" s="100">
        <f>SUM(Ohj.lask.[Harkinnanvarainen korotus 5, €])</f>
        <v>500000</v>
      </c>
      <c r="AK139" s="196">
        <f>SUM(Ohj.lask.[Harkinnanvarainen korotus yhteensä, €])</f>
        <v>12945000</v>
      </c>
      <c r="AL139" s="148">
        <f>SUM(Ohj.lask.[Suoriteperusteinen (opiskelijavuosiin perustuva) sekä harkinnanvarainen korotus, €])</f>
        <v>1434642005</v>
      </c>
      <c r="AM139" s="148">
        <f>SUM(Ohj.lask.[Suoritusrahoitus, €])</f>
        <v>412755002</v>
      </c>
      <c r="AN139" s="148">
        <f>SUM(Ohj.lask.[Työllistymiseen ja jatko-opintoihin siirtymiseen, opiskelijapalautteiseen sekä työelämäpalautteeseen perustuva, €])</f>
        <v>206376996</v>
      </c>
      <c r="AO139" s="148">
        <f>SUM(Ohj.lask.[Perus-, suoritus- ja vaikuttavuusrahoitus yhteensä, €])</f>
        <v>2053774003</v>
      </c>
      <c r="AP139" s="147">
        <f>SUM(Ohj.lask.[Alv-korvaus, €])</f>
        <v>46961415</v>
      </c>
      <c r="AQ139" s="148">
        <f>SUM(Ohj.lask.[Laskennallinen rahoitus + 
alv-korvaus, €])</f>
        <v>2100735418</v>
      </c>
    </row>
    <row r="140" spans="1:43" x14ac:dyDescent="0.25">
      <c r="AG140" s="3"/>
      <c r="AN140" s="5"/>
      <c r="AO140" s="101"/>
    </row>
    <row r="141" spans="1:43" customFormat="1" x14ac:dyDescent="0.25"/>
    <row r="142" spans="1:43" x14ac:dyDescent="0.25">
      <c r="G142" s="228"/>
    </row>
    <row r="153" spans="33:33" x14ac:dyDescent="0.25">
      <c r="AG153" s="3"/>
    </row>
    <row r="296" spans="1:33" x14ac:dyDescent="0.25">
      <c r="A296" s="3" t="s">
        <v>12</v>
      </c>
      <c r="AG296" s="3"/>
    </row>
    <row r="297" spans="1:33" x14ac:dyDescent="0.25">
      <c r="A297" s="3" t="s">
        <v>12</v>
      </c>
      <c r="AG297" s="3"/>
    </row>
    <row r="298" spans="1:33" x14ac:dyDescent="0.25">
      <c r="A298" s="3" t="s">
        <v>12</v>
      </c>
      <c r="AG298" s="3"/>
    </row>
    <row r="299" spans="1:33" x14ac:dyDescent="0.25">
      <c r="A299" s="3" t="s">
        <v>12</v>
      </c>
      <c r="AG299" s="3"/>
    </row>
    <row r="300" spans="1:33" x14ac:dyDescent="0.25">
      <c r="A300" s="3" t="s">
        <v>12</v>
      </c>
      <c r="AG300" s="3"/>
    </row>
    <row r="301" spans="1:33" x14ac:dyDescent="0.25">
      <c r="A301" s="3" t="s">
        <v>12</v>
      </c>
      <c r="AG301" s="3"/>
    </row>
    <row r="302" spans="1:33" x14ac:dyDescent="0.25">
      <c r="A302" s="3" t="s">
        <v>12</v>
      </c>
      <c r="AG302" s="3"/>
    </row>
    <row r="303" spans="1:33" x14ac:dyDescent="0.25">
      <c r="A303" s="3" t="s">
        <v>12</v>
      </c>
      <c r="AG303" s="3"/>
    </row>
    <row r="304" spans="1:33" x14ac:dyDescent="0.25">
      <c r="A304" s="3" t="s">
        <v>12</v>
      </c>
      <c r="AG304" s="3"/>
    </row>
    <row r="305" spans="1:33" x14ac:dyDescent="0.25">
      <c r="A305" s="3" t="s">
        <v>12</v>
      </c>
      <c r="AG305" s="3"/>
    </row>
    <row r="306" spans="1:33" x14ac:dyDescent="0.25">
      <c r="A306" s="3" t="s">
        <v>12</v>
      </c>
      <c r="AG306" s="3"/>
    </row>
    <row r="307" spans="1:33" x14ac:dyDescent="0.25">
      <c r="AG307" s="3"/>
    </row>
  </sheetData>
  <mergeCells count="28">
    <mergeCell ref="A2:B2"/>
    <mergeCell ref="F3:K3"/>
    <mergeCell ref="F2:I2"/>
    <mergeCell ref="O3:AC3"/>
    <mergeCell ref="AF3:AF4"/>
    <mergeCell ref="L3:N3"/>
    <mergeCell ref="L4:N4"/>
    <mergeCell ref="AD4:AE4"/>
    <mergeCell ref="U4:W4"/>
    <mergeCell ref="O4:Q4"/>
    <mergeCell ref="R4:T4"/>
    <mergeCell ref="AD3:AE3"/>
    <mergeCell ref="X4:Z4"/>
    <mergeCell ref="F4:K4"/>
    <mergeCell ref="AA4:AC4"/>
    <mergeCell ref="AF2:AK2"/>
    <mergeCell ref="AG3:AG4"/>
    <mergeCell ref="AH3:AH4"/>
    <mergeCell ref="AI3:AI4"/>
    <mergeCell ref="AJ3:AJ4"/>
    <mergeCell ref="AK3:AK4"/>
    <mergeCell ref="AQ3:AQ4"/>
    <mergeCell ref="AL2:AO2"/>
    <mergeCell ref="AP3:AP4"/>
    <mergeCell ref="AM3:AM4"/>
    <mergeCell ref="AN3:AN4"/>
    <mergeCell ref="AL3:AL4"/>
    <mergeCell ref="AO3:AO4"/>
  </mergeCells>
  <phoneticPr fontId="2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7">
    <tabColor theme="4" tint="0.59999389629810485"/>
  </sheetPr>
  <dimension ref="A1:AK2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B4"/>
    </sheetView>
  </sheetViews>
  <sheetFormatPr defaultRowHeight="15" x14ac:dyDescent="0.25"/>
  <cols>
    <col min="1" max="1" width="11.28515625" style="3" hidden="1" customWidth="1"/>
    <col min="2" max="2" width="42.140625" style="3" customWidth="1"/>
    <col min="3" max="3" width="18.5703125" style="3" customWidth="1"/>
    <col min="4" max="4" width="16.42578125" style="3" customWidth="1"/>
    <col min="5" max="8" width="13.140625" style="3" customWidth="1"/>
    <col min="9" max="13" width="13.140625" style="16" customWidth="1"/>
    <col min="14" max="15" width="25.5703125" style="16" customWidth="1"/>
    <col min="16" max="17" width="13.140625" customWidth="1"/>
    <col min="18" max="19" width="25.5703125" customWidth="1"/>
    <col min="20" max="21" width="13.140625" customWidth="1"/>
    <col min="22" max="23" width="25.5703125" customWidth="1"/>
    <col min="24" max="25" width="13.140625" customWidth="1"/>
    <col min="26" max="27" width="16.7109375" customWidth="1"/>
    <col min="28" max="29" width="13.140625" customWidth="1"/>
    <col min="30" max="31" width="16.7109375" customWidth="1"/>
    <col min="32" max="33" width="13.140625" customWidth="1"/>
    <col min="34" max="35" width="16.7109375" customWidth="1"/>
    <col min="36" max="37" width="13.140625" customWidth="1"/>
  </cols>
  <sheetData>
    <row r="1" spans="1:37" x14ac:dyDescent="0.25">
      <c r="B1" s="4" t="s">
        <v>420</v>
      </c>
      <c r="C1" s="4"/>
      <c r="D1" s="4"/>
      <c r="E1" s="16"/>
      <c r="F1" s="16"/>
      <c r="G1" s="16"/>
      <c r="N1" s="33"/>
      <c r="O1" s="4"/>
      <c r="P1" s="4"/>
      <c r="Q1" s="4"/>
      <c r="R1" s="4"/>
      <c r="S1" s="33"/>
      <c r="T1" s="33"/>
      <c r="U1" s="4"/>
      <c r="V1" s="4"/>
      <c r="W1" s="4"/>
      <c r="X1" s="4"/>
      <c r="Y1" s="4"/>
      <c r="Z1" s="167"/>
      <c r="AA1" s="167"/>
      <c r="AD1" s="144"/>
      <c r="AE1" s="144"/>
      <c r="AF1" s="144"/>
      <c r="AG1" s="144"/>
    </row>
    <row r="2" spans="1:37" ht="25.5" customHeight="1" x14ac:dyDescent="0.25">
      <c r="A2" s="279" t="s">
        <v>576</v>
      </c>
      <c r="B2" s="279"/>
      <c r="C2" s="15"/>
      <c r="D2" s="38"/>
      <c r="E2" s="280" t="s">
        <v>569</v>
      </c>
      <c r="F2" s="281"/>
      <c r="G2" s="281"/>
      <c r="H2" s="281"/>
      <c r="I2" s="281"/>
      <c r="J2" s="281"/>
      <c r="K2" s="281"/>
      <c r="L2" s="168"/>
      <c r="M2" s="168"/>
      <c r="N2" s="277" t="s">
        <v>570</v>
      </c>
      <c r="O2" s="278"/>
      <c r="P2" s="278"/>
      <c r="Q2" s="278"/>
      <c r="R2" s="116"/>
      <c r="S2" s="116"/>
      <c r="T2" s="116"/>
      <c r="U2" s="116"/>
      <c r="V2" s="229"/>
      <c r="W2" s="160"/>
      <c r="X2" s="160"/>
      <c r="Y2" s="160"/>
      <c r="Z2" s="266" t="s">
        <v>571</v>
      </c>
      <c r="AA2" s="302"/>
      <c r="AB2" s="302"/>
      <c r="AC2" s="302"/>
      <c r="AD2" s="302"/>
      <c r="AE2" s="302"/>
      <c r="AF2" s="304"/>
      <c r="AG2" s="304"/>
      <c r="AH2" s="302"/>
      <c r="AI2" s="267"/>
      <c r="AJ2" s="267"/>
      <c r="AK2" s="303"/>
    </row>
    <row r="3" spans="1:37" ht="15" customHeight="1" x14ac:dyDescent="0.25">
      <c r="A3" s="279"/>
      <c r="B3" s="279"/>
      <c r="C3" s="23"/>
      <c r="D3" s="23"/>
      <c r="E3" s="26"/>
      <c r="F3" s="30"/>
      <c r="G3" s="30"/>
      <c r="H3" s="26"/>
      <c r="I3" s="27"/>
      <c r="J3" s="27"/>
      <c r="K3" s="27"/>
      <c r="L3" s="27"/>
      <c r="M3" s="27"/>
      <c r="N3" s="274" t="s">
        <v>550</v>
      </c>
      <c r="O3" s="275"/>
      <c r="P3" s="275"/>
      <c r="Q3" s="276"/>
      <c r="R3" s="274" t="s">
        <v>551</v>
      </c>
      <c r="S3" s="275"/>
      <c r="T3" s="275"/>
      <c r="U3" s="276"/>
      <c r="V3" s="274" t="s">
        <v>552</v>
      </c>
      <c r="W3" s="275"/>
      <c r="X3" s="275"/>
      <c r="Y3" s="276"/>
      <c r="Z3" s="268" t="s">
        <v>553</v>
      </c>
      <c r="AA3" s="269"/>
      <c r="AB3" s="269"/>
      <c r="AC3" s="270"/>
      <c r="AD3" s="268" t="s">
        <v>554</v>
      </c>
      <c r="AE3" s="269"/>
      <c r="AF3" s="269"/>
      <c r="AG3" s="270"/>
      <c r="AH3" s="268" t="s">
        <v>555</v>
      </c>
      <c r="AI3" s="269"/>
      <c r="AJ3" s="269"/>
      <c r="AK3" s="270"/>
    </row>
    <row r="4" spans="1:37" ht="12.75" customHeight="1" x14ac:dyDescent="0.25">
      <c r="A4" s="279"/>
      <c r="B4" s="279"/>
      <c r="C4" s="24"/>
      <c r="D4" s="24"/>
      <c r="E4" s="271" t="s">
        <v>422</v>
      </c>
      <c r="F4" s="273"/>
      <c r="G4" s="30"/>
      <c r="H4" s="271" t="s">
        <v>328</v>
      </c>
      <c r="I4" s="272"/>
      <c r="J4" s="272"/>
      <c r="K4" s="272"/>
      <c r="L4" s="272"/>
      <c r="M4" s="273"/>
      <c r="N4" s="274"/>
      <c r="O4" s="275"/>
      <c r="P4" s="275"/>
      <c r="Q4" s="276"/>
      <c r="R4" s="274"/>
      <c r="S4" s="275"/>
      <c r="T4" s="275"/>
      <c r="U4" s="276"/>
      <c r="V4" s="274"/>
      <c r="W4" s="275"/>
      <c r="X4" s="275"/>
      <c r="Y4" s="276"/>
      <c r="Z4" s="268"/>
      <c r="AA4" s="269"/>
      <c r="AB4" s="269"/>
      <c r="AC4" s="270"/>
      <c r="AD4" s="268"/>
      <c r="AE4" s="269"/>
      <c r="AF4" s="269"/>
      <c r="AG4" s="270"/>
      <c r="AH4" s="268"/>
      <c r="AI4" s="269"/>
      <c r="AJ4" s="269"/>
      <c r="AK4" s="270"/>
    </row>
    <row r="5" spans="1:37" ht="48.75" customHeight="1" x14ac:dyDescent="0.25">
      <c r="A5" s="23" t="s">
        <v>323</v>
      </c>
      <c r="B5" s="25" t="s">
        <v>322</v>
      </c>
      <c r="C5" s="25" t="s">
        <v>333</v>
      </c>
      <c r="D5" s="25" t="s">
        <v>332</v>
      </c>
      <c r="E5" s="28" t="s">
        <v>423</v>
      </c>
      <c r="F5" s="117" t="s">
        <v>424</v>
      </c>
      <c r="G5" s="117" t="s">
        <v>334</v>
      </c>
      <c r="H5" s="28" t="s">
        <v>335</v>
      </c>
      <c r="I5" s="39" t="s">
        <v>336</v>
      </c>
      <c r="J5" s="39" t="s">
        <v>337</v>
      </c>
      <c r="K5" s="39" t="s">
        <v>338</v>
      </c>
      <c r="L5" s="39" t="s">
        <v>517</v>
      </c>
      <c r="M5" s="39" t="s">
        <v>518</v>
      </c>
      <c r="N5" s="92" t="s">
        <v>536</v>
      </c>
      <c r="O5" s="92" t="s">
        <v>544</v>
      </c>
      <c r="P5" s="31" t="s">
        <v>368</v>
      </c>
      <c r="Q5" s="32" t="s">
        <v>369</v>
      </c>
      <c r="R5" s="112" t="s">
        <v>535</v>
      </c>
      <c r="S5" s="98" t="s">
        <v>545</v>
      </c>
      <c r="T5" s="31" t="s">
        <v>370</v>
      </c>
      <c r="U5" s="112" t="s">
        <v>371</v>
      </c>
      <c r="V5" s="98" t="s">
        <v>534</v>
      </c>
      <c r="W5" s="112" t="s">
        <v>546</v>
      </c>
      <c r="X5" s="31" t="s">
        <v>373</v>
      </c>
      <c r="Y5" s="32" t="s">
        <v>372</v>
      </c>
      <c r="Z5" s="149" t="s">
        <v>533</v>
      </c>
      <c r="AA5" s="149" t="s">
        <v>547</v>
      </c>
      <c r="AB5" s="150" t="s">
        <v>450</v>
      </c>
      <c r="AC5" s="151" t="s">
        <v>453</v>
      </c>
      <c r="AD5" s="149" t="s">
        <v>532</v>
      </c>
      <c r="AE5" s="149" t="s">
        <v>548</v>
      </c>
      <c r="AF5" s="150" t="s">
        <v>451</v>
      </c>
      <c r="AG5" s="151" t="s">
        <v>452</v>
      </c>
      <c r="AH5" s="149" t="s">
        <v>531</v>
      </c>
      <c r="AI5" s="149" t="s">
        <v>549</v>
      </c>
      <c r="AJ5" s="150" t="s">
        <v>454</v>
      </c>
      <c r="AK5" s="151" t="s">
        <v>455</v>
      </c>
    </row>
    <row r="6" spans="1:37" s="2" customFormat="1" ht="12.75" customHeight="1" x14ac:dyDescent="0.25">
      <c r="A6" s="4" t="s">
        <v>379</v>
      </c>
      <c r="B6" s="161" t="s">
        <v>380</v>
      </c>
      <c r="C6" s="161" t="s">
        <v>174</v>
      </c>
      <c r="D6" s="8" t="s">
        <v>326</v>
      </c>
      <c r="E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0.60686876328287964</v>
      </c>
      <c r="F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0.61031922918628057</v>
      </c>
      <c r="G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0.25970802723175568</v>
      </c>
      <c r="H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0.12997274358196373</v>
      </c>
      <c r="I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8.0964164253037485E-2</v>
      </c>
      <c r="J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7.195494121424271E-3</v>
      </c>
      <c r="K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2.5061554049116083E-2</v>
      </c>
      <c r="L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1.4063080851995828E-2</v>
      </c>
      <c r="M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2.6884503063900594E-3</v>
      </c>
      <c r="N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39672864</v>
      </c>
      <c r="O6" s="170">
        <f>IFERROR(VLOOKUP(Vertailu[[#This Row],[Y-tunnus]],'1.2 Ohjaus-laskentataulu'!A:AQ,COLUMN('1.2 Ohjaus-laskentataulu'!AE:AE),FALSE),0)</f>
        <v>35235544</v>
      </c>
      <c r="P6" s="170">
        <f>IFERROR(Vertailu[[#This Row],[Rahoitus pl. hark. kor. 2025 ilman alv, €]]-Vertailu[[#This Row],[Rahoitus pl. hark. kor. 2024 ilman alv, €]],0)</f>
        <v>-4437320</v>
      </c>
      <c r="Q6" s="172">
        <f>IFERROR(Vertailu[[#This Row],[Muutos, € 1]]/Vertailu[[#This Row],[Rahoitus pl. hark. kor. 2024 ilman alv, €]],0)</f>
        <v>-0.11184773552017822</v>
      </c>
      <c r="R6" s="175">
        <f>IFERROR(VLOOKUP(Vertailu[[#This Row],[Y-tunnus]],'Suoritepäät. 2024 oikaistu'!$AB:$AL,COLUMN('Suoritepäät. 2024 oikaistu'!J:J),FALSE),0)</f>
        <v>39821374</v>
      </c>
      <c r="S6" s="176">
        <f>IFERROR(VLOOKUP(Vertailu[[#This Row],[Y-tunnus]],'1.2 Ohjaus-laskentataulu'!A:AQ,COLUMN('1.2 Ohjaus-laskentataulu'!AO:AO),FALSE),0)</f>
        <v>35357544</v>
      </c>
      <c r="T6" s="170">
        <f>IFERROR(Vertailu[[#This Row],[Rahoitus ml. hark. kor. 
2025 ilman alv, €]]-Vertailu[[#This Row],[Rahoitus ml. hark. kor. 
2024 ilman alv, €]],0)</f>
        <v>-4463830</v>
      </c>
      <c r="U6" s="174">
        <f>IFERROR(Vertailu[[#This Row],[Muutos, € 2]]/Vertailu[[#This Row],[Rahoitus ml. hark. kor. 
2024 ilman alv, €]],0)</f>
        <v>-0.11209633298941418</v>
      </c>
      <c r="V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42072330</v>
      </c>
      <c r="W6" s="175">
        <f>IFERROR(VLOOKUP(Vertailu[[#This Row],[Y-tunnus]],'1.2 Ohjaus-laskentataulu'!A:AQ,COLUMN('1.2 Ohjaus-laskentataulu'!AQ:AQ),FALSE),0)</f>
        <v>37895968</v>
      </c>
      <c r="X6" s="177">
        <f>IFERROR(Vertailu[[#This Row],[Rahoitus ml. hark. kor. + alv 2025, €]]-Vertailu[[#This Row],[Rahoitus ml. hark. kor. + alv 2024, €]],0)</f>
        <v>-4176362</v>
      </c>
      <c r="Y6" s="172">
        <f>IFERROR(Vertailu[[#This Row],[Muutos, € 3]]/Vertailu[[#This Row],[Rahoitus ml. hark. kor. + alv 2024, €]],0)</f>
        <v>-9.926623983031127E-2</v>
      </c>
      <c r="Z6" s="170">
        <f>IFERROR(VLOOKUP(Vertailu[[#This Row],[Y-tunnus]],'Suoritepäät. 2024 oikaistu'!$B:$N,COLUMN('Suoritepäät. 2024 oikaistu'!H:H),FALSE),0)</f>
        <v>25624515</v>
      </c>
      <c r="AA6" s="170">
        <f>IFERROR(VLOOKUP(Vertailu[[#This Row],[Y-tunnus]],'1.2 Ohjaus-laskentataulu'!A:AQ,COLUMN('1.2 Ohjaus-laskentataulu'!AL:AL),FALSE),0)</f>
        <v>21579389</v>
      </c>
      <c r="AB6" s="170">
        <f>Vertailu[[#This Row],[Perusrahoitus 2025, €]]-Vertailu[[#This Row],[Perusrahoitus 2024, €]]</f>
        <v>-4045126</v>
      </c>
      <c r="AC6" s="172">
        <f>IFERROR(Vertailu[[#This Row],[Perusrahoituksen muutos, €]]/Vertailu[[#This Row],[Perusrahoitus 2024, €]],0)</f>
        <v>-0.15786156342861513</v>
      </c>
      <c r="AD6" s="170">
        <f>IFERROR(VLOOKUP(Vertailu[[#This Row],[Y-tunnus]],'Suoritepäät. 2024 oikaistu'!$O:$Y,COLUMN('Suoritepäät. 2024 oikaistu'!D:D),FALSE),0)</f>
        <v>8686261</v>
      </c>
      <c r="AE6" s="170">
        <f>IFERROR(VLOOKUP(Vertailu[[#This Row],[Y-tunnus]],'1.2 Ohjaus-laskentataulu'!A:AQ,COLUMN('1.2 Ohjaus-laskentataulu'!N:N),FALSE),0)</f>
        <v>9182638</v>
      </c>
      <c r="AF6" s="170">
        <f>Vertailu[[#This Row],[Suoritusrahoitus 2025, €]]-Vertailu[[#This Row],[Suoritusrahoitus 2024, €]]</f>
        <v>496377</v>
      </c>
      <c r="AG6" s="172">
        <f>IFERROR(Vertailu[[#This Row],[Suoritusrahoituksen muutos, €]]/Vertailu[[#This Row],[Suoritusrahoitus 2024, €]],0)</f>
        <v>5.7145070819308794E-2</v>
      </c>
      <c r="AH6" s="170">
        <f>IFERROR(VLOOKUP(Vertailu[[#This Row],[Y-tunnus]],'Suoritepäät. 2024 oikaistu'!$AB:$AL,COLUMN('Suoritepäät. 2024 oikaistu'!I:I),FALSE),0)</f>
        <v>5510598</v>
      </c>
      <c r="AI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4595517</v>
      </c>
      <c r="AJ6" s="170">
        <f>Vertailu[[#This Row],[Vaikuttavuusrahoitus 2025, €]]-Vertailu[[#This Row],[Vaikuttavuusrahoitus 2024, €]]</f>
        <v>-915081</v>
      </c>
      <c r="AK6" s="172">
        <f>IFERROR(Vertailu[[#This Row],[Vaikuttavuusrahoituksen muutos, €]]/Vertailu[[#This Row],[Vaikuttavuusrahoitus 2024, €]],0)</f>
        <v>-0.16605838422617655</v>
      </c>
    </row>
    <row r="7" spans="1:37" s="2" customFormat="1" ht="12.75" customHeight="1" x14ac:dyDescent="0.25">
      <c r="A7" s="4" t="s">
        <v>321</v>
      </c>
      <c r="B7" s="161" t="s">
        <v>15</v>
      </c>
      <c r="C7" s="161" t="s">
        <v>183</v>
      </c>
      <c r="D7" s="8" t="s">
        <v>326</v>
      </c>
      <c r="E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0.61781803320040929</v>
      </c>
      <c r="F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0.61880821823876286</v>
      </c>
      <c r="G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0.27748004839034285</v>
      </c>
      <c r="H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0.10371173337089436</v>
      </c>
      <c r="I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7.0892545367184132E-2</v>
      </c>
      <c r="J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6.7270696043146326E-3</v>
      </c>
      <c r="K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1.4591366725178351E-2</v>
      </c>
      <c r="L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8.1969992937505221E-3</v>
      </c>
      <c r="M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3.303752380466719E-3</v>
      </c>
      <c r="N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4234389</v>
      </c>
      <c r="O7" s="170">
        <f>IFERROR(VLOOKUP(Vertailu[[#This Row],[Y-tunnus]],'1.2 Ohjaus-laskentataulu'!A:AQ,COLUMN('1.2 Ohjaus-laskentataulu'!AE:AE),FALSE),0)</f>
        <v>4035649</v>
      </c>
      <c r="P7" s="170">
        <f>IFERROR(Vertailu[[#This Row],[Rahoitus pl. hark. kor. 2025 ilman alv, €]]-Vertailu[[#This Row],[Rahoitus pl. hark. kor. 2024 ilman alv, €]],0)</f>
        <v>-198740</v>
      </c>
      <c r="Q7" s="172">
        <f>IFERROR(Vertailu[[#This Row],[Muutos, € 1]]/Vertailu[[#This Row],[Rahoitus pl. hark. kor. 2024 ilman alv, €]],0)</f>
        <v>-4.693475256996936E-2</v>
      </c>
      <c r="R7" s="175">
        <f>IFERROR(VLOOKUP(Vertailu[[#This Row],[Y-tunnus]],'Suoritepäät. 2024 oikaistu'!$AB:$AL,COLUMN('Suoritepäät. 2024 oikaistu'!J:J),FALSE),0)</f>
        <v>4241211</v>
      </c>
      <c r="S7" s="176">
        <f>IFERROR(VLOOKUP(Vertailu[[#This Row],[Y-tunnus]],'1.2 Ohjaus-laskentataulu'!A:AQ,COLUMN('1.2 Ohjaus-laskentataulu'!AO:AO),FALSE),0)</f>
        <v>4039649</v>
      </c>
      <c r="T7" s="170">
        <f>IFERROR(Vertailu[[#This Row],[Rahoitus ml. hark. kor. 
2025 ilman alv, €]]-Vertailu[[#This Row],[Rahoitus ml. hark. kor. 
2024 ilman alv, €]],0)</f>
        <v>-201562</v>
      </c>
      <c r="U7" s="174">
        <f>IFERROR(Vertailu[[#This Row],[Muutos, € 2]]/Vertailu[[#This Row],[Rahoitus ml. hark. kor. 
2024 ilman alv, €]],0)</f>
        <v>-4.7524633884048685E-2</v>
      </c>
      <c r="V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4406316</v>
      </c>
      <c r="W7" s="175">
        <f>IFERROR(VLOOKUP(Vertailu[[#This Row],[Y-tunnus]],'1.2 Ohjaus-laskentataulu'!A:AQ,COLUMN('1.2 Ohjaus-laskentataulu'!AQ:AQ),FALSE),0)</f>
        <v>4211029</v>
      </c>
      <c r="X7" s="177">
        <f>IFERROR(Vertailu[[#This Row],[Rahoitus ml. hark. kor. + alv 2025, €]]-Vertailu[[#This Row],[Rahoitus ml. hark. kor. + alv 2024, €]],0)</f>
        <v>-195287</v>
      </c>
      <c r="Y7" s="172">
        <f>IFERROR(Vertailu[[#This Row],[Muutos, € 3]]/Vertailu[[#This Row],[Rahoitus ml. hark. kor. + alv 2024, €]],0)</f>
        <v>-4.4319790046832772E-2</v>
      </c>
      <c r="Z7" s="170">
        <f>IFERROR(VLOOKUP(Vertailu[[#This Row],[Y-tunnus]],'Suoritepäät. 2024 oikaistu'!$B:$N,COLUMN('Suoritepäät. 2024 oikaistu'!H:H),FALSE),0)</f>
        <v>2658084</v>
      </c>
      <c r="AA7" s="170">
        <f>IFERROR(VLOOKUP(Vertailu[[#This Row],[Y-tunnus]],'1.2 Ohjaus-laskentataulu'!A:AQ,COLUMN('1.2 Ohjaus-laskentataulu'!AL:AL),FALSE),0)</f>
        <v>2499768</v>
      </c>
      <c r="AB7" s="170">
        <f>Vertailu[[#This Row],[Perusrahoitus 2025, €]]-Vertailu[[#This Row],[Perusrahoitus 2024, €]]</f>
        <v>-158316</v>
      </c>
      <c r="AC7" s="172">
        <f>IFERROR(Vertailu[[#This Row],[Perusrahoituksen muutos, €]]/Vertailu[[#This Row],[Perusrahoitus 2024, €]],0)</f>
        <v>-5.9560194485953039E-2</v>
      </c>
      <c r="AD7" s="170">
        <f>IFERROR(VLOOKUP(Vertailu[[#This Row],[Y-tunnus]],'Suoritepäät. 2024 oikaistu'!$O:$Y,COLUMN('Suoritepäät. 2024 oikaistu'!D:D),FALSE),0)</f>
        <v>1069050</v>
      </c>
      <c r="AE7" s="170">
        <f>IFERROR(VLOOKUP(Vertailu[[#This Row],[Y-tunnus]],'1.2 Ohjaus-laskentataulu'!A:AQ,COLUMN('1.2 Ohjaus-laskentataulu'!N:N),FALSE),0)</f>
        <v>1120922</v>
      </c>
      <c r="AF7" s="170">
        <f>Vertailu[[#This Row],[Suoritusrahoitus 2025, €]]-Vertailu[[#This Row],[Suoritusrahoitus 2024, €]]</f>
        <v>51872</v>
      </c>
      <c r="AG7" s="172">
        <f>IFERROR(Vertailu[[#This Row],[Suoritusrahoituksen muutos, €]]/Vertailu[[#This Row],[Suoritusrahoitus 2024, €]],0)</f>
        <v>4.8521584584444132E-2</v>
      </c>
      <c r="AH7" s="170">
        <f>IFERROR(VLOOKUP(Vertailu[[#This Row],[Y-tunnus]],'Suoritepäät. 2024 oikaistu'!$AB:$AL,COLUMN('Suoritepäät. 2024 oikaistu'!I:I),FALSE),0)</f>
        <v>514077</v>
      </c>
      <c r="AI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418959</v>
      </c>
      <c r="AJ7" s="170">
        <f>Vertailu[[#This Row],[Vaikuttavuusrahoitus 2025, €]]-Vertailu[[#This Row],[Vaikuttavuusrahoitus 2024, €]]</f>
        <v>-95118</v>
      </c>
      <c r="AK7" s="172">
        <f>IFERROR(Vertailu[[#This Row],[Vaikuttavuusrahoituksen muutos, €]]/Vertailu[[#This Row],[Vaikuttavuusrahoitus 2024, €]],0)</f>
        <v>-0.18502675669209087</v>
      </c>
    </row>
    <row r="8" spans="1:37" s="2" customFormat="1" ht="12.75" customHeight="1" x14ac:dyDescent="0.25">
      <c r="A8" s="4" t="s">
        <v>320</v>
      </c>
      <c r="B8" s="161" t="s">
        <v>16</v>
      </c>
      <c r="C8" s="161" t="s">
        <v>183</v>
      </c>
      <c r="D8" s="8" t="s">
        <v>326</v>
      </c>
      <c r="E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0.91026841847589623</v>
      </c>
      <c r="F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0.91026841847589623</v>
      </c>
      <c r="G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8.4206884993349801E-2</v>
      </c>
      <c r="H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5.5246965307539442E-3</v>
      </c>
      <c r="I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3.8869161679365742E-3</v>
      </c>
      <c r="J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3.3808244918649683E-4</v>
      </c>
      <c r="K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7.7152148660508256E-4</v>
      </c>
      <c r="L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4.3054944383579512E-4</v>
      </c>
      <c r="M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9.762698318999573E-5</v>
      </c>
      <c r="N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4685467</v>
      </c>
      <c r="O8" s="170">
        <f>IFERROR(VLOOKUP(Vertailu[[#This Row],[Y-tunnus]],'1.2 Ohjaus-laskentataulu'!A:AQ,COLUMN('1.2 Ohjaus-laskentataulu'!AE:AE),FALSE),0)</f>
        <v>4844972</v>
      </c>
      <c r="P8" s="170">
        <f>IFERROR(Vertailu[[#This Row],[Rahoitus pl. hark. kor. 2025 ilman alv, €]]-Vertailu[[#This Row],[Rahoitus pl. hark. kor. 2024 ilman alv, €]],0)</f>
        <v>159505</v>
      </c>
      <c r="Q8" s="172">
        <f>IFERROR(Vertailu[[#This Row],[Muutos, € 1]]/Vertailu[[#This Row],[Rahoitus pl. hark. kor. 2024 ilman alv, €]],0)</f>
        <v>3.4042497791575525E-2</v>
      </c>
      <c r="R8" s="175">
        <f>IFERROR(VLOOKUP(Vertailu[[#This Row],[Y-tunnus]],'Suoritepäät. 2024 oikaistu'!$AB:$AL,COLUMN('Suoritepäät. 2024 oikaistu'!J:J),FALSE),0)</f>
        <v>4685467</v>
      </c>
      <c r="S8" s="176">
        <f>IFERROR(VLOOKUP(Vertailu[[#This Row],[Y-tunnus]],'1.2 Ohjaus-laskentataulu'!A:AQ,COLUMN('1.2 Ohjaus-laskentataulu'!AO:AO),FALSE),0)</f>
        <v>4844972</v>
      </c>
      <c r="T8" s="170">
        <f>IFERROR(Vertailu[[#This Row],[Rahoitus ml. hark. kor. 
2025 ilman alv, €]]-Vertailu[[#This Row],[Rahoitus ml. hark. kor. 
2024 ilman alv, €]],0)</f>
        <v>159505</v>
      </c>
      <c r="U8" s="174">
        <f>IFERROR(Vertailu[[#This Row],[Muutos, € 2]]/Vertailu[[#This Row],[Rahoitus ml. hark. kor. 
2024 ilman alv, €]],0)</f>
        <v>3.4042497791575525E-2</v>
      </c>
      <c r="V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4830012</v>
      </c>
      <c r="W8" s="175">
        <f>IFERROR(VLOOKUP(Vertailu[[#This Row],[Y-tunnus]],'1.2 Ohjaus-laskentataulu'!A:AQ,COLUMN('1.2 Ohjaus-laskentataulu'!AQ:AQ),FALSE),0)</f>
        <v>4999149</v>
      </c>
      <c r="X8" s="177">
        <f>IFERROR(Vertailu[[#This Row],[Rahoitus ml. hark. kor. + alv 2025, €]]-Vertailu[[#This Row],[Rahoitus ml. hark. kor. + alv 2024, €]],0)</f>
        <v>169137</v>
      </c>
      <c r="Y8" s="172">
        <f>IFERROR(Vertailu[[#This Row],[Muutos, € 3]]/Vertailu[[#This Row],[Rahoitus ml. hark. kor. + alv 2024, €]],0)</f>
        <v>3.5017925421303303E-2</v>
      </c>
      <c r="Z8" s="170">
        <f>IFERROR(VLOOKUP(Vertailu[[#This Row],[Y-tunnus]],'Suoritepäät. 2024 oikaistu'!$B:$N,COLUMN('Suoritepäät. 2024 oikaistu'!H:H),FALSE),0)</f>
        <v>4325277</v>
      </c>
      <c r="AA8" s="170">
        <f>IFERROR(VLOOKUP(Vertailu[[#This Row],[Y-tunnus]],'1.2 Ohjaus-laskentataulu'!A:AQ,COLUMN('1.2 Ohjaus-laskentataulu'!AL:AL),FALSE),0)</f>
        <v>4410225</v>
      </c>
      <c r="AB8" s="170">
        <f>Vertailu[[#This Row],[Perusrahoitus 2025, €]]-Vertailu[[#This Row],[Perusrahoitus 2024, €]]</f>
        <v>84948</v>
      </c>
      <c r="AC8" s="172">
        <f>IFERROR(Vertailu[[#This Row],[Perusrahoituksen muutos, €]]/Vertailu[[#This Row],[Perusrahoitus 2024, €]],0)</f>
        <v>1.9639898207675484E-2</v>
      </c>
      <c r="AD8" s="170">
        <f>IFERROR(VLOOKUP(Vertailu[[#This Row],[Y-tunnus]],'Suoritepäät. 2024 oikaistu'!$O:$Y,COLUMN('Suoritepäät. 2024 oikaistu'!D:D),FALSE),0)</f>
        <v>337491</v>
      </c>
      <c r="AE8" s="170">
        <f>IFERROR(VLOOKUP(Vertailu[[#This Row],[Y-tunnus]],'1.2 Ohjaus-laskentataulu'!A:AQ,COLUMN('1.2 Ohjaus-laskentataulu'!N:N),FALSE),0)</f>
        <v>407980</v>
      </c>
      <c r="AF8" s="170">
        <f>Vertailu[[#This Row],[Suoritusrahoitus 2025, €]]-Vertailu[[#This Row],[Suoritusrahoitus 2024, €]]</f>
        <v>70489</v>
      </c>
      <c r="AG8" s="172">
        <f>IFERROR(Vertailu[[#This Row],[Suoritusrahoituksen muutos, €]]/Vertailu[[#This Row],[Suoritusrahoitus 2024, €]],0)</f>
        <v>0.20886186594605485</v>
      </c>
      <c r="AH8" s="170">
        <f>IFERROR(VLOOKUP(Vertailu[[#This Row],[Y-tunnus]],'Suoritepäät. 2024 oikaistu'!$AB:$AL,COLUMN('Suoritepäät. 2024 oikaistu'!I:I),FALSE),0)</f>
        <v>22699</v>
      </c>
      <c r="AI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26767</v>
      </c>
      <c r="AJ8" s="170">
        <f>Vertailu[[#This Row],[Vaikuttavuusrahoitus 2025, €]]-Vertailu[[#This Row],[Vaikuttavuusrahoitus 2024, €]]</f>
        <v>4068</v>
      </c>
      <c r="AK8" s="172">
        <f>IFERROR(Vertailu[[#This Row],[Vaikuttavuusrahoituksen muutos, €]]/Vertailu[[#This Row],[Vaikuttavuusrahoitus 2024, €]],0)</f>
        <v>0.17921494338957664</v>
      </c>
    </row>
    <row r="9" spans="1:37" s="2" customFormat="1" ht="12.75" customHeight="1" x14ac:dyDescent="0.25">
      <c r="A9" s="4" t="s">
        <v>487</v>
      </c>
      <c r="B9" s="161" t="s">
        <v>488</v>
      </c>
      <c r="C9" s="161" t="s">
        <v>174</v>
      </c>
      <c r="D9" s="8" t="s">
        <v>326</v>
      </c>
      <c r="E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0.86921738444838592</v>
      </c>
      <c r="F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0.86935128995459099</v>
      </c>
      <c r="G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0.11686647242869559</v>
      </c>
      <c r="H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1.3782237616713378E-2</v>
      </c>
      <c r="I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9.8331499899142367E-3</v>
      </c>
      <c r="J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4.9353552422023875E-4</v>
      </c>
      <c r="K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1.514471275179993E-3</v>
      </c>
      <c r="L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1.4127432621159576E-3</v>
      </c>
      <c r="M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5.2833756528295145E-4</v>
      </c>
      <c r="N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74870070</v>
      </c>
      <c r="O9" s="170">
        <f>IFERROR(VLOOKUP(Vertailu[[#This Row],[Y-tunnus]],'1.2 Ohjaus-laskentataulu'!A:AQ,COLUMN('1.2 Ohjaus-laskentataulu'!AE:AE),FALSE),0)</f>
        <v>74669528</v>
      </c>
      <c r="P9" s="170">
        <f>IFERROR(Vertailu[[#This Row],[Rahoitus pl. hark. kor. 2025 ilman alv, €]]-Vertailu[[#This Row],[Rahoitus pl. hark. kor. 2024 ilman alv, €]],0)</f>
        <v>-200542</v>
      </c>
      <c r="Q9" s="172">
        <f>IFERROR(Vertailu[[#This Row],[Muutos, € 1]]/Vertailu[[#This Row],[Rahoitus pl. hark. kor. 2024 ilman alv, €]],0)</f>
        <v>-2.6785336249852579E-3</v>
      </c>
      <c r="R9" s="175">
        <f>IFERROR(VLOOKUP(Vertailu[[#This Row],[Y-tunnus]],'Suoritepäät. 2024 oikaistu'!$AB:$AL,COLUMN('Suoritepäät. 2024 oikaistu'!J:J),FALSE),0)</f>
        <v>74897503</v>
      </c>
      <c r="S9" s="176">
        <f>IFERROR(VLOOKUP(Vertailu[[#This Row],[Y-tunnus]],'1.2 Ohjaus-laskentataulu'!A:AQ,COLUMN('1.2 Ohjaus-laskentataulu'!AO:AO),FALSE),0)</f>
        <v>74679528</v>
      </c>
      <c r="T9" s="170">
        <f>IFERROR(Vertailu[[#This Row],[Rahoitus ml. hark. kor. 
2025 ilman alv, €]]-Vertailu[[#This Row],[Rahoitus ml. hark. kor. 
2024 ilman alv, €]],0)</f>
        <v>-217975</v>
      </c>
      <c r="U9" s="174">
        <f>IFERROR(Vertailu[[#This Row],[Muutos, € 2]]/Vertailu[[#This Row],[Rahoitus ml. hark. kor. 
2024 ilman alv, €]],0)</f>
        <v>-2.9103106414642421E-3</v>
      </c>
      <c r="V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77915702</v>
      </c>
      <c r="W9" s="175">
        <f>IFERROR(VLOOKUP(Vertailu[[#This Row],[Y-tunnus]],'1.2 Ohjaus-laskentataulu'!A:AQ,COLUMN('1.2 Ohjaus-laskentataulu'!AQ:AQ),FALSE),0)</f>
        <v>79239394</v>
      </c>
      <c r="X9" s="177">
        <f>IFERROR(Vertailu[[#This Row],[Rahoitus ml. hark. kor. + alv 2025, €]]-Vertailu[[#This Row],[Rahoitus ml. hark. kor. + alv 2024, €]],0)</f>
        <v>1323692</v>
      </c>
      <c r="Y9" s="172">
        <f>IFERROR(Vertailu[[#This Row],[Muutos, € 3]]/Vertailu[[#This Row],[Rahoitus ml. hark. kor. + alv 2024, €]],0)</f>
        <v>1.6988770761508381E-2</v>
      </c>
      <c r="Z9" s="170">
        <f>IFERROR(VLOOKUP(Vertailu[[#This Row],[Y-tunnus]],'Suoritepäät. 2024 oikaistu'!$B:$N,COLUMN('Suoritepäät. 2024 oikaistu'!H:H),FALSE),0)</f>
        <v>63517151</v>
      </c>
      <c r="AA9" s="170">
        <f>IFERROR(VLOOKUP(Vertailu[[#This Row],[Y-tunnus]],'1.2 Ohjaus-laskentataulu'!A:AQ,COLUMN('1.2 Ohjaus-laskentataulu'!AL:AL),FALSE),0)</f>
        <v>64922744</v>
      </c>
      <c r="AB9" s="170">
        <f>Vertailu[[#This Row],[Perusrahoitus 2025, €]]-Vertailu[[#This Row],[Perusrahoitus 2024, €]]</f>
        <v>1405593</v>
      </c>
      <c r="AC9" s="172">
        <f>IFERROR(Vertailu[[#This Row],[Perusrahoituksen muutos, €]]/Vertailu[[#This Row],[Perusrahoitus 2024, €]],0)</f>
        <v>2.2129345820312375E-2</v>
      </c>
      <c r="AD9" s="170">
        <f>IFERROR(VLOOKUP(Vertailu[[#This Row],[Y-tunnus]],'Suoritepäät. 2024 oikaistu'!$O:$Y,COLUMN('Suoritepäät. 2024 oikaistu'!D:D),FALSE),0)</f>
        <v>10181914</v>
      </c>
      <c r="AE9" s="170">
        <f>IFERROR(VLOOKUP(Vertailu[[#This Row],[Y-tunnus]],'1.2 Ohjaus-laskentataulu'!A:AQ,COLUMN('1.2 Ohjaus-laskentataulu'!N:N),FALSE),0)</f>
        <v>8727533</v>
      </c>
      <c r="AF9" s="170">
        <f>Vertailu[[#This Row],[Suoritusrahoitus 2025, €]]-Vertailu[[#This Row],[Suoritusrahoitus 2024, €]]</f>
        <v>-1454381</v>
      </c>
      <c r="AG9" s="172">
        <f>IFERROR(Vertailu[[#This Row],[Suoritusrahoituksen muutos, €]]/Vertailu[[#This Row],[Suoritusrahoitus 2024, €]],0)</f>
        <v>-0.1428396468483234</v>
      </c>
      <c r="AH9" s="170">
        <f>IFERROR(VLOOKUP(Vertailu[[#This Row],[Y-tunnus]],'Suoritepäät. 2024 oikaistu'!$AB:$AL,COLUMN('Suoritepäät. 2024 oikaistu'!I:I),FALSE),0)</f>
        <v>1198438</v>
      </c>
      <c r="AI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1029251</v>
      </c>
      <c r="AJ9" s="170">
        <f>Vertailu[[#This Row],[Vaikuttavuusrahoitus 2025, €]]-Vertailu[[#This Row],[Vaikuttavuusrahoitus 2024, €]]</f>
        <v>-169187</v>
      </c>
      <c r="AK9" s="172">
        <f>IFERROR(Vertailu[[#This Row],[Vaikuttavuusrahoituksen muutos, €]]/Vertailu[[#This Row],[Vaikuttavuusrahoitus 2024, €]],0)</f>
        <v>-0.1411729267596655</v>
      </c>
    </row>
    <row r="10" spans="1:37" s="2" customFormat="1" ht="12.75" customHeight="1" x14ac:dyDescent="0.25">
      <c r="A10" s="4" t="s">
        <v>319</v>
      </c>
      <c r="B10" s="161" t="s">
        <v>17</v>
      </c>
      <c r="C10" s="161" t="s">
        <v>174</v>
      </c>
      <c r="D10" s="8" t="s">
        <v>326</v>
      </c>
      <c r="E1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0.84970796515608171</v>
      </c>
      <c r="F1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0.8498037114599345</v>
      </c>
      <c r="G1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0.13866573351042313</v>
      </c>
      <c r="H1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1.1530555029642385E-2</v>
      </c>
      <c r="I1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8.5788113774260509E-3</v>
      </c>
      <c r="J1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5.0343406565787462E-4</v>
      </c>
      <c r="K1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1.4129282059553549E-3</v>
      </c>
      <c r="L1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8.6121885389491275E-4</v>
      </c>
      <c r="M1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1.7416252670819209E-4</v>
      </c>
      <c r="N1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51953678</v>
      </c>
      <c r="O10" s="170">
        <f>IFERROR(VLOOKUP(Vertailu[[#This Row],[Y-tunnus]],'1.2 Ohjaus-laskentataulu'!A:AQ,COLUMN('1.2 Ohjaus-laskentataulu'!AE:AE),FALSE),0)</f>
        <v>52216337</v>
      </c>
      <c r="P10" s="170">
        <f>IFERROR(Vertailu[[#This Row],[Rahoitus pl. hark. kor. 2025 ilman alv, €]]-Vertailu[[#This Row],[Rahoitus pl. hark. kor. 2024 ilman alv, €]],0)</f>
        <v>262659</v>
      </c>
      <c r="Q10" s="172">
        <f>IFERROR(Vertailu[[#This Row],[Muutos, € 1]]/Vertailu[[#This Row],[Rahoitus pl. hark. kor. 2024 ilman alv, €]],0)</f>
        <v>5.0556382167976635E-3</v>
      </c>
      <c r="R10" s="175">
        <f>IFERROR(VLOOKUP(Vertailu[[#This Row],[Y-tunnus]],'Suoritepäät. 2024 oikaistu'!$AB:$AL,COLUMN('Suoritepäät. 2024 oikaistu'!J:J),FALSE),0)</f>
        <v>51958678</v>
      </c>
      <c r="S10" s="176">
        <f>IFERROR(VLOOKUP(Vertailu[[#This Row],[Y-tunnus]],'1.2 Ohjaus-laskentataulu'!A:AQ,COLUMN('1.2 Ohjaus-laskentataulu'!AO:AO),FALSE),0)</f>
        <v>52221337</v>
      </c>
      <c r="T10" s="170">
        <f>IFERROR(Vertailu[[#This Row],[Rahoitus ml. hark. kor. 
2025 ilman alv, €]]-Vertailu[[#This Row],[Rahoitus ml. hark. kor. 
2024 ilman alv, €]],0)</f>
        <v>262659</v>
      </c>
      <c r="U10" s="174">
        <f>IFERROR(Vertailu[[#This Row],[Muutos, € 2]]/Vertailu[[#This Row],[Rahoitus ml. hark. kor. 
2024 ilman alv, €]],0)</f>
        <v>5.0551517111347595E-3</v>
      </c>
      <c r="V1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54785796</v>
      </c>
      <c r="W10" s="175">
        <f>IFERROR(VLOOKUP(Vertailu[[#This Row],[Y-tunnus]],'1.2 Ohjaus-laskentataulu'!A:AQ,COLUMN('1.2 Ohjaus-laskentataulu'!AQ:AQ),FALSE),0)</f>
        <v>55480202</v>
      </c>
      <c r="X10" s="177">
        <f>IFERROR(Vertailu[[#This Row],[Rahoitus ml. hark. kor. + alv 2025, €]]-Vertailu[[#This Row],[Rahoitus ml. hark. kor. + alv 2024, €]],0)</f>
        <v>694406</v>
      </c>
      <c r="Y10" s="172">
        <f>IFERROR(Vertailu[[#This Row],[Muutos, € 3]]/Vertailu[[#This Row],[Rahoitus ml. hark. kor. + alv 2024, €]],0)</f>
        <v>1.2674927640003624E-2</v>
      </c>
      <c r="Z10" s="170">
        <f>IFERROR(VLOOKUP(Vertailu[[#This Row],[Y-tunnus]],'Suoritepäät. 2024 oikaistu'!$B:$N,COLUMN('Suoritepäät. 2024 oikaistu'!H:H),FALSE),0)</f>
        <v>43765503</v>
      </c>
      <c r="AA10" s="170">
        <f>IFERROR(VLOOKUP(Vertailu[[#This Row],[Y-tunnus]],'1.2 Ohjaus-laskentataulu'!A:AQ,COLUMN('1.2 Ohjaus-laskentataulu'!AL:AL),FALSE),0)</f>
        <v>44377886</v>
      </c>
      <c r="AB10" s="170">
        <f>Vertailu[[#This Row],[Perusrahoitus 2025, €]]-Vertailu[[#This Row],[Perusrahoitus 2024, €]]</f>
        <v>612383</v>
      </c>
      <c r="AC10" s="172">
        <f>IFERROR(Vertailu[[#This Row],[Perusrahoituksen muutos, €]]/Vertailu[[#This Row],[Perusrahoitus 2024, €]],0)</f>
        <v>1.3992367458909361E-2</v>
      </c>
      <c r="AD10" s="170">
        <f>IFERROR(VLOOKUP(Vertailu[[#This Row],[Y-tunnus]],'Suoritepäät. 2024 oikaistu'!$O:$Y,COLUMN('Suoritepäät. 2024 oikaistu'!D:D),FALSE),0)</f>
        <v>7580023</v>
      </c>
      <c r="AE10" s="170">
        <f>IFERROR(VLOOKUP(Vertailu[[#This Row],[Y-tunnus]],'1.2 Ohjaus-laskentataulu'!A:AQ,COLUMN('1.2 Ohjaus-laskentataulu'!N:N),FALSE),0)</f>
        <v>7241310</v>
      </c>
      <c r="AF10" s="170">
        <f>Vertailu[[#This Row],[Suoritusrahoitus 2025, €]]-Vertailu[[#This Row],[Suoritusrahoitus 2024, €]]</f>
        <v>-338713</v>
      </c>
      <c r="AG10" s="172">
        <f>IFERROR(Vertailu[[#This Row],[Suoritusrahoituksen muutos, €]]/Vertailu[[#This Row],[Suoritusrahoitus 2024, €]],0)</f>
        <v>-4.468495676068529E-2</v>
      </c>
      <c r="AH10" s="170">
        <f>IFERROR(VLOOKUP(Vertailu[[#This Row],[Y-tunnus]],'Suoritepäät. 2024 oikaistu'!$AB:$AL,COLUMN('Suoritepäät. 2024 oikaistu'!I:I),FALSE),0)</f>
        <v>613152</v>
      </c>
      <c r="AI1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602141</v>
      </c>
      <c r="AJ10" s="170">
        <f>Vertailu[[#This Row],[Vaikuttavuusrahoitus 2025, €]]-Vertailu[[#This Row],[Vaikuttavuusrahoitus 2024, €]]</f>
        <v>-11011</v>
      </c>
      <c r="AK10" s="172">
        <f>IFERROR(Vertailu[[#This Row],[Vaikuttavuusrahoituksen muutos, €]]/Vertailu[[#This Row],[Vaikuttavuusrahoitus 2024, €]],0)</f>
        <v>-1.7958026720943585E-2</v>
      </c>
    </row>
    <row r="11" spans="1:37" s="2" customFormat="1" ht="12.75" customHeight="1" x14ac:dyDescent="0.25">
      <c r="A11" s="4" t="s">
        <v>317</v>
      </c>
      <c r="B11" s="161" t="s">
        <v>493</v>
      </c>
      <c r="C11" s="161" t="s">
        <v>174</v>
      </c>
      <c r="D11" s="8" t="s">
        <v>326</v>
      </c>
      <c r="E1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0.50172990328517175</v>
      </c>
      <c r="F1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0.50799483143427704</v>
      </c>
      <c r="G1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0.25721602255374132</v>
      </c>
      <c r="H1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0.23478914601198167</v>
      </c>
      <c r="I1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0.12562590547789654</v>
      </c>
      <c r="J1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1.8509730216531579E-2</v>
      </c>
      <c r="K1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4.3030658992129683E-2</v>
      </c>
      <c r="L1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4.0231802341516895E-2</v>
      </c>
      <c r="M1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7.3910489839069662E-3</v>
      </c>
      <c r="N1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717761</v>
      </c>
      <c r="O11" s="170">
        <f>IFERROR(VLOOKUP(Vertailu[[#This Row],[Y-tunnus]],'1.2 Ohjaus-laskentataulu'!A:AQ,COLUMN('1.2 Ohjaus-laskentataulu'!AE:AE),FALSE),0)</f>
        <v>634475</v>
      </c>
      <c r="P11" s="170">
        <f>IFERROR(Vertailu[[#This Row],[Rahoitus pl. hark. kor. 2025 ilman alv, €]]-Vertailu[[#This Row],[Rahoitus pl. hark. kor. 2024 ilman alv, €]],0)</f>
        <v>-83286</v>
      </c>
      <c r="Q11" s="172">
        <f>IFERROR(Vertailu[[#This Row],[Muutos, € 1]]/Vertailu[[#This Row],[Rahoitus pl. hark. kor. 2024 ilman alv, €]],0)</f>
        <v>-0.11603583922782096</v>
      </c>
      <c r="R11" s="175">
        <f>IFERROR(VLOOKUP(Vertailu[[#This Row],[Y-tunnus]],'Suoritepäät. 2024 oikaistu'!$AB:$AL,COLUMN('Suoritepäät. 2024 oikaistu'!J:J),FALSE),0)</f>
        <v>724761</v>
      </c>
      <c r="S11" s="176">
        <f>IFERROR(VLOOKUP(Vertailu[[#This Row],[Y-tunnus]],'1.2 Ohjaus-laskentataulu'!A:AQ,COLUMN('1.2 Ohjaus-laskentataulu'!AO:AO),FALSE),0)</f>
        <v>638475</v>
      </c>
      <c r="T11" s="170">
        <f>IFERROR(Vertailu[[#This Row],[Rahoitus ml. hark. kor. 
2025 ilman alv, €]]-Vertailu[[#This Row],[Rahoitus ml. hark. kor. 
2024 ilman alv, €]],0)</f>
        <v>-86286</v>
      </c>
      <c r="U11" s="174">
        <f>IFERROR(Vertailu[[#This Row],[Muutos, € 2]]/Vertailu[[#This Row],[Rahoitus ml. hark. kor. 
2024 ilman alv, €]],0)</f>
        <v>-0.1190544193189203</v>
      </c>
      <c r="V1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751843</v>
      </c>
      <c r="W11" s="175">
        <f>IFERROR(VLOOKUP(Vertailu[[#This Row],[Y-tunnus]],'1.2 Ohjaus-laskentataulu'!A:AQ,COLUMN('1.2 Ohjaus-laskentataulu'!AQ:AQ),FALSE),0)</f>
        <v>669460</v>
      </c>
      <c r="X11" s="177">
        <f>IFERROR(Vertailu[[#This Row],[Rahoitus ml. hark. kor. + alv 2025, €]]-Vertailu[[#This Row],[Rahoitus ml. hark. kor. + alv 2024, €]],0)</f>
        <v>-82383</v>
      </c>
      <c r="Y11" s="172">
        <f>IFERROR(Vertailu[[#This Row],[Muutos, € 3]]/Vertailu[[#This Row],[Rahoitus ml. hark. kor. + alv 2024, €]],0)</f>
        <v>-0.10957473834297853</v>
      </c>
      <c r="Z11" s="170">
        <f>IFERROR(VLOOKUP(Vertailu[[#This Row],[Y-tunnus]],'Suoritepäät. 2024 oikaistu'!$B:$N,COLUMN('Suoritepäät. 2024 oikaistu'!H:H),FALSE),0)</f>
        <v>378245</v>
      </c>
      <c r="AA11" s="170">
        <f>IFERROR(VLOOKUP(Vertailu[[#This Row],[Y-tunnus]],'1.2 Ohjaus-laskentataulu'!A:AQ,COLUMN('1.2 Ohjaus-laskentataulu'!AL:AL),FALSE),0)</f>
        <v>324342</v>
      </c>
      <c r="AB11" s="170">
        <f>Vertailu[[#This Row],[Perusrahoitus 2025, €]]-Vertailu[[#This Row],[Perusrahoitus 2024, €]]</f>
        <v>-53903</v>
      </c>
      <c r="AC11" s="172">
        <f>IFERROR(Vertailu[[#This Row],[Perusrahoituksen muutos, €]]/Vertailu[[#This Row],[Perusrahoitus 2024, €]],0)</f>
        <v>-0.14250816269877989</v>
      </c>
      <c r="AD11" s="170">
        <f>IFERROR(VLOOKUP(Vertailu[[#This Row],[Y-tunnus]],'Suoritepäät. 2024 oikaistu'!$O:$Y,COLUMN('Suoritepäät. 2024 oikaistu'!D:D),FALSE),0)</f>
        <v>187473</v>
      </c>
      <c r="AE11" s="170">
        <f>IFERROR(VLOOKUP(Vertailu[[#This Row],[Y-tunnus]],'1.2 Ohjaus-laskentataulu'!A:AQ,COLUMN('1.2 Ohjaus-laskentataulu'!N:N),FALSE),0)</f>
        <v>164226</v>
      </c>
      <c r="AF11" s="170">
        <f>Vertailu[[#This Row],[Suoritusrahoitus 2025, €]]-Vertailu[[#This Row],[Suoritusrahoitus 2024, €]]</f>
        <v>-23247</v>
      </c>
      <c r="AG11" s="172">
        <f>IFERROR(Vertailu[[#This Row],[Suoritusrahoituksen muutos, €]]/Vertailu[[#This Row],[Suoritusrahoitus 2024, €]],0)</f>
        <v>-0.12400185626730249</v>
      </c>
      <c r="AH11" s="170">
        <f>IFERROR(VLOOKUP(Vertailu[[#This Row],[Y-tunnus]],'Suoritepäät. 2024 oikaistu'!$AB:$AL,COLUMN('Suoritepäät. 2024 oikaistu'!I:I),FALSE),0)</f>
        <v>159043</v>
      </c>
      <c r="AI1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149907</v>
      </c>
      <c r="AJ11" s="170">
        <f>Vertailu[[#This Row],[Vaikuttavuusrahoitus 2025, €]]-Vertailu[[#This Row],[Vaikuttavuusrahoitus 2024, €]]</f>
        <v>-9136</v>
      </c>
      <c r="AK11" s="172">
        <f>IFERROR(Vertailu[[#This Row],[Vaikuttavuusrahoituksen muutos, €]]/Vertailu[[#This Row],[Vaikuttavuusrahoitus 2024, €]],0)</f>
        <v>-5.7443584439428333E-2</v>
      </c>
    </row>
    <row r="12" spans="1:37" s="2" customFormat="1" ht="12.75" customHeight="1" x14ac:dyDescent="0.25">
      <c r="A12" s="4" t="s">
        <v>316</v>
      </c>
      <c r="B12" s="161" t="s">
        <v>19</v>
      </c>
      <c r="C12" s="161" t="s">
        <v>174</v>
      </c>
      <c r="D12" s="8" t="s">
        <v>326</v>
      </c>
      <c r="E1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0.67923448844251066</v>
      </c>
      <c r="F1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0.68016537600930804</v>
      </c>
      <c r="G1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0.22030226357358648</v>
      </c>
      <c r="H1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9.9532360417105531E-2</v>
      </c>
      <c r="I1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7.5506809415172071E-2</v>
      </c>
      <c r="J1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3.6080106927221731E-3</v>
      </c>
      <c r="K1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1.1992734039234501E-2</v>
      </c>
      <c r="L1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6.5554745196633847E-3</v>
      </c>
      <c r="M1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1.8693317503133942E-3</v>
      </c>
      <c r="N1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19487025</v>
      </c>
      <c r="O12" s="170">
        <f>IFERROR(VLOOKUP(Vertailu[[#This Row],[Y-tunnus]],'1.2 Ohjaus-laskentataulu'!A:AQ,COLUMN('1.2 Ohjaus-laskentataulu'!AE:AE),FALSE),0)</f>
        <v>18245141</v>
      </c>
      <c r="P12" s="170">
        <f>IFERROR(Vertailu[[#This Row],[Rahoitus pl. hark. kor. 2025 ilman alv, €]]-Vertailu[[#This Row],[Rahoitus pl. hark. kor. 2024 ilman alv, €]],0)</f>
        <v>-1241884</v>
      </c>
      <c r="Q12" s="172">
        <f>IFERROR(Vertailu[[#This Row],[Muutos, € 1]]/Vertailu[[#This Row],[Rahoitus pl. hark. kor. 2024 ilman alv, €]],0)</f>
        <v>-6.3728763112891787E-2</v>
      </c>
      <c r="R12" s="175">
        <f>IFERROR(VLOOKUP(Vertailu[[#This Row],[Y-tunnus]],'Suoritepäät. 2024 oikaistu'!$AB:$AL,COLUMN('Suoritepäät. 2024 oikaistu'!J:J),FALSE),0)</f>
        <v>19557139</v>
      </c>
      <c r="S12" s="176">
        <f>IFERROR(VLOOKUP(Vertailu[[#This Row],[Y-tunnus]],'1.2 Ohjaus-laskentataulu'!A:AQ,COLUMN('1.2 Ohjaus-laskentataulu'!AO:AO),FALSE),0)</f>
        <v>18262141</v>
      </c>
      <c r="T12" s="170">
        <f>IFERROR(Vertailu[[#This Row],[Rahoitus ml. hark. kor. 
2025 ilman alv, €]]-Vertailu[[#This Row],[Rahoitus ml. hark. kor. 
2024 ilman alv, €]],0)</f>
        <v>-1294998</v>
      </c>
      <c r="U12" s="174">
        <f>IFERROR(Vertailu[[#This Row],[Muutos, € 2]]/Vertailu[[#This Row],[Rahoitus ml. hark. kor. 
2024 ilman alv, €]],0)</f>
        <v>-6.6216127011215695E-2</v>
      </c>
      <c r="V1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20913933</v>
      </c>
      <c r="W12" s="175">
        <f>IFERROR(VLOOKUP(Vertailu[[#This Row],[Y-tunnus]],'1.2 Ohjaus-laskentataulu'!A:AQ,COLUMN('1.2 Ohjaus-laskentataulu'!AQ:AQ),FALSE),0)</f>
        <v>19672922</v>
      </c>
      <c r="X12" s="177">
        <f>IFERROR(Vertailu[[#This Row],[Rahoitus ml. hark. kor. + alv 2025, €]]-Vertailu[[#This Row],[Rahoitus ml. hark. kor. + alv 2024, €]],0)</f>
        <v>-1241011</v>
      </c>
      <c r="Y12" s="172">
        <f>IFERROR(Vertailu[[#This Row],[Muutos, € 3]]/Vertailu[[#This Row],[Rahoitus ml. hark. kor. + alv 2024, €]],0)</f>
        <v>-5.9338958387214875E-2</v>
      </c>
      <c r="Z12" s="170">
        <f>IFERROR(VLOOKUP(Vertailu[[#This Row],[Y-tunnus]],'Suoritepäät. 2024 oikaistu'!$B:$N,COLUMN('Suoritepäät. 2024 oikaistu'!H:H),FALSE),0)</f>
        <v>13513414</v>
      </c>
      <c r="AA12" s="170">
        <f>IFERROR(VLOOKUP(Vertailu[[#This Row],[Y-tunnus]],'1.2 Ohjaus-laskentataulu'!A:AQ,COLUMN('1.2 Ohjaus-laskentataulu'!AL:AL),FALSE),0)</f>
        <v>12421276</v>
      </c>
      <c r="AB12" s="170">
        <f>Vertailu[[#This Row],[Perusrahoitus 2025, €]]-Vertailu[[#This Row],[Perusrahoitus 2024, €]]</f>
        <v>-1092138</v>
      </c>
      <c r="AC12" s="172">
        <f>IFERROR(Vertailu[[#This Row],[Perusrahoituksen muutos, €]]/Vertailu[[#This Row],[Perusrahoitus 2024, €]],0)</f>
        <v>-8.0818807149695845E-2</v>
      </c>
      <c r="AD12" s="170">
        <f>IFERROR(VLOOKUP(Vertailu[[#This Row],[Y-tunnus]],'Suoritepäät. 2024 oikaistu'!$O:$Y,COLUMN('Suoritepäät. 2024 oikaistu'!D:D),FALSE),0)</f>
        <v>4024652</v>
      </c>
      <c r="AE12" s="170">
        <f>IFERROR(VLOOKUP(Vertailu[[#This Row],[Y-tunnus]],'1.2 Ohjaus-laskentataulu'!A:AQ,COLUMN('1.2 Ohjaus-laskentataulu'!N:N),FALSE),0)</f>
        <v>4023191</v>
      </c>
      <c r="AF12" s="170">
        <f>Vertailu[[#This Row],[Suoritusrahoitus 2025, €]]-Vertailu[[#This Row],[Suoritusrahoitus 2024, €]]</f>
        <v>-1461</v>
      </c>
      <c r="AG12" s="172">
        <f>IFERROR(Vertailu[[#This Row],[Suoritusrahoituksen muutos, €]]/Vertailu[[#This Row],[Suoritusrahoitus 2024, €]],0)</f>
        <v>-3.6301275240691619E-4</v>
      </c>
      <c r="AH12" s="170">
        <f>IFERROR(VLOOKUP(Vertailu[[#This Row],[Y-tunnus]],'Suoritepäät. 2024 oikaistu'!$AB:$AL,COLUMN('Suoritepäät. 2024 oikaistu'!I:I),FALSE),0)</f>
        <v>2019073</v>
      </c>
      <c r="AI1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1817674</v>
      </c>
      <c r="AJ12" s="170">
        <f>Vertailu[[#This Row],[Vaikuttavuusrahoitus 2025, €]]-Vertailu[[#This Row],[Vaikuttavuusrahoitus 2024, €]]</f>
        <v>-201399</v>
      </c>
      <c r="AK12" s="172">
        <f>IFERROR(Vertailu[[#This Row],[Vaikuttavuusrahoituksen muutos, €]]/Vertailu[[#This Row],[Vaikuttavuusrahoitus 2024, €]],0)</f>
        <v>-9.9748250806186795E-2</v>
      </c>
    </row>
    <row r="13" spans="1:37" s="2" customFormat="1" ht="12.75" customHeight="1" x14ac:dyDescent="0.25">
      <c r="A13" s="4" t="s">
        <v>175</v>
      </c>
      <c r="B13" s="161" t="s">
        <v>148</v>
      </c>
      <c r="C13" s="161" t="s">
        <v>174</v>
      </c>
      <c r="D13" s="8" t="s">
        <v>326</v>
      </c>
      <c r="E1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0.64418550629074789</v>
      </c>
      <c r="F1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0.64593357300317433</v>
      </c>
      <c r="G1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0.23386249951309745</v>
      </c>
      <c r="H1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0.12020392748372823</v>
      </c>
      <c r="I1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8.4286895479364257E-2</v>
      </c>
      <c r="J1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5.3634314800231099E-3</v>
      </c>
      <c r="K1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1.7582351835102296E-2</v>
      </c>
      <c r="L1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1.0241362167462877E-2</v>
      </c>
      <c r="M1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2.7298865217756834E-3</v>
      </c>
      <c r="N1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32466869</v>
      </c>
      <c r="O13" s="170">
        <f>IFERROR(VLOOKUP(Vertailu[[#This Row],[Y-tunnus]],'1.2 Ohjaus-laskentataulu'!A:AQ,COLUMN('1.2 Ohjaus-laskentataulu'!AE:AE),FALSE),0)</f>
        <v>30266209</v>
      </c>
      <c r="P13" s="170">
        <f>IFERROR(Vertailu[[#This Row],[Rahoitus pl. hark. kor. 2025 ilman alv, €]]-Vertailu[[#This Row],[Rahoitus pl. hark. kor. 2024 ilman alv, €]],0)</f>
        <v>-2200660</v>
      </c>
      <c r="Q13" s="172">
        <f>IFERROR(Vertailu[[#This Row],[Muutos, € 1]]/Vertailu[[#This Row],[Rahoitus pl. hark. kor. 2024 ilman alv, €]],0)</f>
        <v>-6.7781713105750971E-2</v>
      </c>
      <c r="R13" s="175">
        <f>IFERROR(VLOOKUP(Vertailu[[#This Row],[Y-tunnus]],'Suoritepäät. 2024 oikaistu'!$AB:$AL,COLUMN('Suoritepäät. 2024 oikaistu'!J:J),FALSE),0)</f>
        <v>32563624</v>
      </c>
      <c r="S13" s="176">
        <f>IFERROR(VLOOKUP(Vertailu[[#This Row],[Y-tunnus]],'1.2 Ohjaus-laskentataulu'!A:AQ,COLUMN('1.2 Ohjaus-laskentataulu'!AO:AO),FALSE),0)</f>
        <v>30319209</v>
      </c>
      <c r="T13" s="170">
        <f>IFERROR(Vertailu[[#This Row],[Rahoitus ml. hark. kor. 
2025 ilman alv, €]]-Vertailu[[#This Row],[Rahoitus ml. hark. kor. 
2024 ilman alv, €]],0)</f>
        <v>-2244415</v>
      </c>
      <c r="U13" s="174">
        <f>IFERROR(Vertailu[[#This Row],[Muutos, € 2]]/Vertailu[[#This Row],[Rahoitus ml. hark. kor. 
2024 ilman alv, €]],0)</f>
        <v>-6.8923993226306754E-2</v>
      </c>
      <c r="V1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34537287</v>
      </c>
      <c r="W13" s="175">
        <f>IFERROR(VLOOKUP(Vertailu[[#This Row],[Y-tunnus]],'1.2 Ohjaus-laskentataulu'!A:AQ,COLUMN('1.2 Ohjaus-laskentataulu'!AQ:AQ),FALSE),0)</f>
        <v>32137978</v>
      </c>
      <c r="X13" s="177">
        <f>IFERROR(Vertailu[[#This Row],[Rahoitus ml. hark. kor. + alv 2025, €]]-Vertailu[[#This Row],[Rahoitus ml. hark. kor. + alv 2024, €]],0)</f>
        <v>-2399309</v>
      </c>
      <c r="Y13" s="172">
        <f>IFERROR(Vertailu[[#This Row],[Muutos, € 3]]/Vertailu[[#This Row],[Rahoitus ml. hark. kor. + alv 2024, €]],0)</f>
        <v>-6.9470106323058903E-2</v>
      </c>
      <c r="Z13" s="170">
        <f>IFERROR(VLOOKUP(Vertailu[[#This Row],[Y-tunnus]],'Suoritepäät. 2024 oikaistu'!$B:$N,COLUMN('Suoritepäät. 2024 oikaistu'!H:H),FALSE),0)</f>
        <v>20792981</v>
      </c>
      <c r="AA13" s="170">
        <f>IFERROR(VLOOKUP(Vertailu[[#This Row],[Y-tunnus]],'1.2 Ohjaus-laskentataulu'!A:AQ,COLUMN('1.2 Ohjaus-laskentataulu'!AL:AL),FALSE),0)</f>
        <v>19584195</v>
      </c>
      <c r="AB13" s="170">
        <f>Vertailu[[#This Row],[Perusrahoitus 2025, €]]-Vertailu[[#This Row],[Perusrahoitus 2024, €]]</f>
        <v>-1208786</v>
      </c>
      <c r="AC13" s="172">
        <f>IFERROR(Vertailu[[#This Row],[Perusrahoituksen muutos, €]]/Vertailu[[#This Row],[Perusrahoitus 2024, €]],0)</f>
        <v>-5.8134329079606237E-2</v>
      </c>
      <c r="AD13" s="170">
        <f>IFERROR(VLOOKUP(Vertailu[[#This Row],[Y-tunnus]],'Suoritepäät. 2024 oikaistu'!$O:$Y,COLUMN('Suoritepäät. 2024 oikaistu'!D:D),FALSE),0)</f>
        <v>7846216</v>
      </c>
      <c r="AE13" s="170">
        <f>IFERROR(VLOOKUP(Vertailu[[#This Row],[Y-tunnus]],'1.2 Ohjaus-laskentataulu'!A:AQ,COLUMN('1.2 Ohjaus-laskentataulu'!N:N),FALSE),0)</f>
        <v>7090526</v>
      </c>
      <c r="AF13" s="170">
        <f>Vertailu[[#This Row],[Suoritusrahoitus 2025, €]]-Vertailu[[#This Row],[Suoritusrahoitus 2024, €]]</f>
        <v>-755690</v>
      </c>
      <c r="AG13" s="172">
        <f>IFERROR(Vertailu[[#This Row],[Suoritusrahoituksen muutos, €]]/Vertailu[[#This Row],[Suoritusrahoitus 2024, €]],0)</f>
        <v>-9.6312668425136402E-2</v>
      </c>
      <c r="AH13" s="170">
        <f>IFERROR(VLOOKUP(Vertailu[[#This Row],[Y-tunnus]],'Suoritepäät. 2024 oikaistu'!$AB:$AL,COLUMN('Suoritepäät. 2024 oikaistu'!I:I),FALSE),0)</f>
        <v>3924427</v>
      </c>
      <c r="AI1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3644488</v>
      </c>
      <c r="AJ13" s="170">
        <f>Vertailu[[#This Row],[Vaikuttavuusrahoitus 2025, €]]-Vertailu[[#This Row],[Vaikuttavuusrahoitus 2024, €]]</f>
        <v>-279939</v>
      </c>
      <c r="AK13" s="172">
        <f>IFERROR(Vertailu[[#This Row],[Vaikuttavuusrahoituksen muutos, €]]/Vertailu[[#This Row],[Vaikuttavuusrahoitus 2024, €]],0)</f>
        <v>-7.133245184583635E-2</v>
      </c>
    </row>
    <row r="14" spans="1:37" s="2" customFormat="1" ht="12.75" customHeight="1" x14ac:dyDescent="0.25">
      <c r="A14" s="4" t="s">
        <v>315</v>
      </c>
      <c r="B14" s="161" t="s">
        <v>20</v>
      </c>
      <c r="C14" s="161" t="s">
        <v>174</v>
      </c>
      <c r="D14" s="8" t="s">
        <v>326</v>
      </c>
      <c r="E1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</v>
      </c>
      <c r="F1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</v>
      </c>
      <c r="G1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0.20419490846987245</v>
      </c>
      <c r="H1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0.79580509153012757</v>
      </c>
      <c r="I1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0.67844372097987937</v>
      </c>
      <c r="J1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1.9373432246357476E-2</v>
      </c>
      <c r="K1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8.7473981960826175E-2</v>
      </c>
      <c r="L1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8.5125687143085878E-3</v>
      </c>
      <c r="M1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2.0013876287559374E-3</v>
      </c>
      <c r="N1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20708</v>
      </c>
      <c r="O14" s="170">
        <f>IFERROR(VLOOKUP(Vertailu[[#This Row],[Y-tunnus]],'1.2 Ohjaus-laskentataulu'!A:AQ,COLUMN('1.2 Ohjaus-laskentataulu'!AE:AE),FALSE),0)</f>
        <v>37474</v>
      </c>
      <c r="P14" s="170">
        <f>IFERROR(Vertailu[[#This Row],[Rahoitus pl. hark. kor. 2025 ilman alv, €]]-Vertailu[[#This Row],[Rahoitus pl. hark. kor. 2024 ilman alv, €]],0)</f>
        <v>16766</v>
      </c>
      <c r="Q14" s="172">
        <f>IFERROR(Vertailu[[#This Row],[Muutos, € 1]]/Vertailu[[#This Row],[Rahoitus pl. hark. kor. 2024 ilman alv, €]],0)</f>
        <v>0.80963878694224456</v>
      </c>
      <c r="R14" s="175">
        <f>IFERROR(VLOOKUP(Vertailu[[#This Row],[Y-tunnus]],'Suoritepäät. 2024 oikaistu'!$AB:$AL,COLUMN('Suoritepäät. 2024 oikaistu'!J:J),FALSE),0)</f>
        <v>20708</v>
      </c>
      <c r="S14" s="176">
        <f>IFERROR(VLOOKUP(Vertailu[[#This Row],[Y-tunnus]],'1.2 Ohjaus-laskentataulu'!A:AQ,COLUMN('1.2 Ohjaus-laskentataulu'!AO:AO),FALSE),0)</f>
        <v>37474</v>
      </c>
      <c r="T14" s="170">
        <f>IFERROR(Vertailu[[#This Row],[Rahoitus ml. hark. kor. 
2025 ilman alv, €]]-Vertailu[[#This Row],[Rahoitus ml. hark. kor. 
2024 ilman alv, €]],0)</f>
        <v>16766</v>
      </c>
      <c r="U14" s="174">
        <f>IFERROR(Vertailu[[#This Row],[Muutos, € 2]]/Vertailu[[#This Row],[Rahoitus ml. hark. kor. 
2024 ilman alv, €]],0)</f>
        <v>0.80963878694224456</v>
      </c>
      <c r="V1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20708</v>
      </c>
      <c r="W14" s="175">
        <f>IFERROR(VLOOKUP(Vertailu[[#This Row],[Y-tunnus]],'1.2 Ohjaus-laskentataulu'!A:AQ,COLUMN('1.2 Ohjaus-laskentataulu'!AQ:AQ),FALSE),0)</f>
        <v>37554</v>
      </c>
      <c r="X14" s="177">
        <f>IFERROR(Vertailu[[#This Row],[Rahoitus ml. hark. kor. + alv 2025, €]]-Vertailu[[#This Row],[Rahoitus ml. hark. kor. + alv 2024, €]],0)</f>
        <v>16846</v>
      </c>
      <c r="Y14" s="172">
        <f>IFERROR(Vertailu[[#This Row],[Muutos, € 3]]/Vertailu[[#This Row],[Rahoitus ml. hark. kor. + alv 2024, €]],0)</f>
        <v>0.81350202820166118</v>
      </c>
      <c r="Z14" s="170">
        <f>IFERROR(VLOOKUP(Vertailu[[#This Row],[Y-tunnus]],'Suoritepäät. 2024 oikaistu'!$B:$N,COLUMN('Suoritepäät. 2024 oikaistu'!H:H),FALSE),0)</f>
        <v>10919</v>
      </c>
      <c r="AA14" s="170">
        <f>IFERROR(VLOOKUP(Vertailu[[#This Row],[Y-tunnus]],'1.2 Ohjaus-laskentataulu'!A:AQ,COLUMN('1.2 Ohjaus-laskentataulu'!AL:AL),FALSE),0)</f>
        <v>0</v>
      </c>
      <c r="AB14" s="170">
        <f>Vertailu[[#This Row],[Perusrahoitus 2025, €]]-Vertailu[[#This Row],[Perusrahoitus 2024, €]]</f>
        <v>-10919</v>
      </c>
      <c r="AC14" s="172">
        <f>IFERROR(Vertailu[[#This Row],[Perusrahoituksen muutos, €]]/Vertailu[[#This Row],[Perusrahoitus 2024, €]],0)</f>
        <v>-1</v>
      </c>
      <c r="AD14" s="170">
        <f>IFERROR(VLOOKUP(Vertailu[[#This Row],[Y-tunnus]],'Suoritepäät. 2024 oikaistu'!$O:$Y,COLUMN('Suoritepäät. 2024 oikaistu'!D:D),FALSE),0)</f>
        <v>0</v>
      </c>
      <c r="AE14" s="170">
        <f>IFERROR(VLOOKUP(Vertailu[[#This Row],[Y-tunnus]],'1.2 Ohjaus-laskentataulu'!A:AQ,COLUMN('1.2 Ohjaus-laskentataulu'!N:N),FALSE),0)</f>
        <v>7652</v>
      </c>
      <c r="AF14" s="170">
        <f>Vertailu[[#This Row],[Suoritusrahoitus 2025, €]]-Vertailu[[#This Row],[Suoritusrahoitus 2024, €]]</f>
        <v>7652</v>
      </c>
      <c r="AG14" s="172">
        <f>IFERROR(Vertailu[[#This Row],[Suoritusrahoituksen muutos, €]]/Vertailu[[#This Row],[Suoritusrahoitus 2024, €]],0)</f>
        <v>0</v>
      </c>
      <c r="AH14" s="170">
        <f>IFERROR(VLOOKUP(Vertailu[[#This Row],[Y-tunnus]],'Suoritepäät. 2024 oikaistu'!$AB:$AL,COLUMN('Suoritepäät. 2024 oikaistu'!I:I),FALSE),0)</f>
        <v>9789</v>
      </c>
      <c r="AI1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29822</v>
      </c>
      <c r="AJ14" s="170">
        <f>Vertailu[[#This Row],[Vaikuttavuusrahoitus 2025, €]]-Vertailu[[#This Row],[Vaikuttavuusrahoitus 2024, €]]</f>
        <v>20033</v>
      </c>
      <c r="AK14" s="172">
        <f>IFERROR(Vertailu[[#This Row],[Vaikuttavuusrahoituksen muutos, €]]/Vertailu[[#This Row],[Vaikuttavuusrahoitus 2024, €]],0)</f>
        <v>2.046480743691899</v>
      </c>
    </row>
    <row r="15" spans="1:37" s="2" customFormat="1" ht="12.75" customHeight="1" x14ac:dyDescent="0.25">
      <c r="A15" s="4" t="s">
        <v>314</v>
      </c>
      <c r="B15" s="161" t="s">
        <v>21</v>
      </c>
      <c r="C15" s="161" t="s">
        <v>174</v>
      </c>
      <c r="D15" s="8" t="s">
        <v>325</v>
      </c>
      <c r="E1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0.67810484984838104</v>
      </c>
      <c r="F1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0.68048862323676262</v>
      </c>
      <c r="G1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0.2102173850699125</v>
      </c>
      <c r="H1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0.10929399169332484</v>
      </c>
      <c r="I1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7.7627989875193079E-2</v>
      </c>
      <c r="J1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5.0871771520790239E-3</v>
      </c>
      <c r="K1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1.4265655281828335E-2</v>
      </c>
      <c r="L1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1.0193965593199888E-2</v>
      </c>
      <c r="M1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2.1192037910245025E-3</v>
      </c>
      <c r="N1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71266413</v>
      </c>
      <c r="O15" s="170">
        <f>IFERROR(VLOOKUP(Vertailu[[#This Row],[Y-tunnus]],'1.2 Ohjaus-laskentataulu'!A:AQ,COLUMN('1.2 Ohjaus-laskentataulu'!AE:AE),FALSE),0)</f>
        <v>68215983</v>
      </c>
      <c r="P15" s="170">
        <f>IFERROR(Vertailu[[#This Row],[Rahoitus pl. hark. kor. 2025 ilman alv, €]]-Vertailu[[#This Row],[Rahoitus pl. hark. kor. 2024 ilman alv, €]],0)</f>
        <v>-3050430</v>
      </c>
      <c r="Q15" s="172">
        <f>IFERROR(Vertailu[[#This Row],[Muutos, € 1]]/Vertailu[[#This Row],[Rahoitus pl. hark. kor. 2024 ilman alv, €]],0)</f>
        <v>-4.2803192578248606E-2</v>
      </c>
      <c r="R15" s="175">
        <f>IFERROR(VLOOKUP(Vertailu[[#This Row],[Y-tunnus]],'Suoritepäät. 2024 oikaistu'!$AB:$AL,COLUMN('Suoritepäät. 2024 oikaistu'!J:J),FALSE),0)</f>
        <v>71484166</v>
      </c>
      <c r="S15" s="176">
        <f>IFERROR(VLOOKUP(Vertailu[[#This Row],[Y-tunnus]],'1.2 Ohjaus-laskentataulu'!A:AQ,COLUMN('1.2 Ohjaus-laskentataulu'!AO:AO),FALSE),0)</f>
        <v>68378983</v>
      </c>
      <c r="T15" s="170">
        <f>IFERROR(Vertailu[[#This Row],[Rahoitus ml. hark. kor. 
2025 ilman alv, €]]-Vertailu[[#This Row],[Rahoitus ml. hark. kor. 
2024 ilman alv, €]],0)</f>
        <v>-3105183</v>
      </c>
      <c r="U15" s="174">
        <f>IFERROR(Vertailu[[#This Row],[Muutos, € 2]]/Vertailu[[#This Row],[Rahoitus ml. hark. kor. 
2024 ilman alv, €]],0)</f>
        <v>-4.3438752576339772E-2</v>
      </c>
      <c r="V1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71484166</v>
      </c>
      <c r="W15" s="175">
        <f>IFERROR(VLOOKUP(Vertailu[[#This Row],[Y-tunnus]],'1.2 Ohjaus-laskentataulu'!A:AQ,COLUMN('1.2 Ohjaus-laskentataulu'!AQ:AQ),FALSE),0)</f>
        <v>68378983</v>
      </c>
      <c r="X15" s="177">
        <f>IFERROR(Vertailu[[#This Row],[Rahoitus ml. hark. kor. + alv 2025, €]]-Vertailu[[#This Row],[Rahoitus ml. hark. kor. + alv 2024, €]],0)</f>
        <v>-3105183</v>
      </c>
      <c r="Y15" s="172">
        <f>IFERROR(Vertailu[[#This Row],[Muutos, € 3]]/Vertailu[[#This Row],[Rahoitus ml. hark. kor. + alv 2024, €]],0)</f>
        <v>-4.3438752576339772E-2</v>
      </c>
      <c r="Z15" s="170">
        <f>IFERROR(VLOOKUP(Vertailu[[#This Row],[Y-tunnus]],'Suoritepäät. 2024 oikaistu'!$B:$N,COLUMN('Suoritepäät. 2024 oikaistu'!H:H),FALSE),0)</f>
        <v>49664992</v>
      </c>
      <c r="AA15" s="170">
        <f>IFERROR(VLOOKUP(Vertailu[[#This Row],[Y-tunnus]],'1.2 Ohjaus-laskentataulu'!A:AQ,COLUMN('1.2 Ohjaus-laskentataulu'!AL:AL),FALSE),0)</f>
        <v>46531120</v>
      </c>
      <c r="AB15" s="170">
        <f>Vertailu[[#This Row],[Perusrahoitus 2025, €]]-Vertailu[[#This Row],[Perusrahoitus 2024, €]]</f>
        <v>-3133872</v>
      </c>
      <c r="AC15" s="172">
        <f>IFERROR(Vertailu[[#This Row],[Perusrahoituksen muutos, €]]/Vertailu[[#This Row],[Perusrahoitus 2024, €]],0)</f>
        <v>-6.3100221580625643E-2</v>
      </c>
      <c r="AD15" s="170">
        <f>IFERROR(VLOOKUP(Vertailu[[#This Row],[Y-tunnus]],'Suoritepäät. 2024 oikaistu'!$O:$Y,COLUMN('Suoritepäät. 2024 oikaistu'!D:D),FALSE),0)</f>
        <v>14615665</v>
      </c>
      <c r="AE15" s="170">
        <f>IFERROR(VLOOKUP(Vertailu[[#This Row],[Y-tunnus]],'1.2 Ohjaus-laskentataulu'!A:AQ,COLUMN('1.2 Ohjaus-laskentataulu'!N:N),FALSE),0)</f>
        <v>14374451</v>
      </c>
      <c r="AF15" s="170">
        <f>Vertailu[[#This Row],[Suoritusrahoitus 2025, €]]-Vertailu[[#This Row],[Suoritusrahoitus 2024, €]]</f>
        <v>-241214</v>
      </c>
      <c r="AG15" s="172">
        <f>IFERROR(Vertailu[[#This Row],[Suoritusrahoituksen muutos, €]]/Vertailu[[#This Row],[Suoritusrahoitus 2024, €]],0)</f>
        <v>-1.6503799177115787E-2</v>
      </c>
      <c r="AH15" s="170">
        <f>IFERROR(VLOOKUP(Vertailu[[#This Row],[Y-tunnus]],'Suoritepäät. 2024 oikaistu'!$AB:$AL,COLUMN('Suoritepäät. 2024 oikaistu'!I:I),FALSE),0)</f>
        <v>7203509</v>
      </c>
      <c r="AI1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7473412</v>
      </c>
      <c r="AJ15" s="170">
        <f>Vertailu[[#This Row],[Vaikuttavuusrahoitus 2025, €]]-Vertailu[[#This Row],[Vaikuttavuusrahoitus 2024, €]]</f>
        <v>269903</v>
      </c>
      <c r="AK15" s="172">
        <f>IFERROR(Vertailu[[#This Row],[Vaikuttavuusrahoituksen muutos, €]]/Vertailu[[#This Row],[Vaikuttavuusrahoitus 2024, €]],0)</f>
        <v>3.7468267201443077E-2</v>
      </c>
    </row>
    <row r="16" spans="1:37" s="2" customFormat="1" ht="12.75" customHeight="1" x14ac:dyDescent="0.25">
      <c r="A16" s="4" t="s">
        <v>313</v>
      </c>
      <c r="B16" s="161" t="s">
        <v>22</v>
      </c>
      <c r="C16" s="161" t="s">
        <v>312</v>
      </c>
      <c r="D16" s="8" t="s">
        <v>325</v>
      </c>
      <c r="E1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0.67018880455669494</v>
      </c>
      <c r="F1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0.67151840269214436</v>
      </c>
      <c r="G1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0.22473866505428572</v>
      </c>
      <c r="H1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0.10374293225356992</v>
      </c>
      <c r="I1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7.6431592094858072E-2</v>
      </c>
      <c r="J1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3.3345672652614761E-3</v>
      </c>
      <c r="K1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1.4101004381674441E-2</v>
      </c>
      <c r="L1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7.132191403110319E-3</v>
      </c>
      <c r="M1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2.7435771086656235E-3</v>
      </c>
      <c r="N1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33783865</v>
      </c>
      <c r="O16" s="170">
        <f>IFERROR(VLOOKUP(Vertailu[[#This Row],[Y-tunnus]],'1.2 Ohjaus-laskentataulu'!A:AQ,COLUMN('1.2 Ohjaus-laskentataulu'!AE:AE),FALSE),0)</f>
        <v>30795385</v>
      </c>
      <c r="P16" s="170">
        <f>IFERROR(Vertailu[[#This Row],[Rahoitus pl. hark. kor. 2025 ilman alv, €]]-Vertailu[[#This Row],[Rahoitus pl. hark. kor. 2024 ilman alv, €]],0)</f>
        <v>-2988480</v>
      </c>
      <c r="Q16" s="172">
        <f>IFERROR(Vertailu[[#This Row],[Muutos, € 1]]/Vertailu[[#This Row],[Rahoitus pl. hark. kor. 2024 ilman alv, €]],0)</f>
        <v>-8.8458795345055991E-2</v>
      </c>
      <c r="R16" s="175">
        <f>IFERROR(VLOOKUP(Vertailu[[#This Row],[Y-tunnus]],'Suoritepäät. 2024 oikaistu'!$AB:$AL,COLUMN('Suoritepäät. 2024 oikaistu'!J:J),FALSE),0)</f>
        <v>33892494</v>
      </c>
      <c r="S16" s="176">
        <f>IFERROR(VLOOKUP(Vertailu[[#This Row],[Y-tunnus]],'1.2 Ohjaus-laskentataulu'!A:AQ,COLUMN('1.2 Ohjaus-laskentataulu'!AO:AO),FALSE),0)</f>
        <v>30836385</v>
      </c>
      <c r="T16" s="170">
        <f>IFERROR(Vertailu[[#This Row],[Rahoitus ml. hark. kor. 
2025 ilman alv, €]]-Vertailu[[#This Row],[Rahoitus ml. hark. kor. 
2024 ilman alv, €]],0)</f>
        <v>-3056109</v>
      </c>
      <c r="U16" s="174">
        <f>IFERROR(Vertailu[[#This Row],[Muutos, € 2]]/Vertailu[[#This Row],[Rahoitus ml. hark. kor. 
2024 ilman alv, €]],0)</f>
        <v>-9.01706731879926E-2</v>
      </c>
      <c r="V1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33892494</v>
      </c>
      <c r="W16" s="175">
        <f>IFERROR(VLOOKUP(Vertailu[[#This Row],[Y-tunnus]],'1.2 Ohjaus-laskentataulu'!A:AQ,COLUMN('1.2 Ohjaus-laskentataulu'!AQ:AQ),FALSE),0)</f>
        <v>30836385</v>
      </c>
      <c r="X16" s="177">
        <f>IFERROR(Vertailu[[#This Row],[Rahoitus ml. hark. kor. + alv 2025, €]]-Vertailu[[#This Row],[Rahoitus ml. hark. kor. + alv 2024, €]],0)</f>
        <v>-3056109</v>
      </c>
      <c r="Y16" s="172">
        <f>IFERROR(Vertailu[[#This Row],[Muutos, € 3]]/Vertailu[[#This Row],[Rahoitus ml. hark. kor. + alv 2024, €]],0)</f>
        <v>-9.01706731879926E-2</v>
      </c>
      <c r="Z16" s="170">
        <f>IFERROR(VLOOKUP(Vertailu[[#This Row],[Y-tunnus]],'Suoritepäät. 2024 oikaistu'!$B:$N,COLUMN('Suoritepäät. 2024 oikaistu'!H:H),FALSE),0)</f>
        <v>22936784</v>
      </c>
      <c r="AA16" s="170">
        <f>IFERROR(VLOOKUP(Vertailu[[#This Row],[Y-tunnus]],'1.2 Ohjaus-laskentataulu'!A:AQ,COLUMN('1.2 Ohjaus-laskentataulu'!AL:AL),FALSE),0)</f>
        <v>20707200</v>
      </c>
      <c r="AB16" s="170">
        <f>Vertailu[[#This Row],[Perusrahoitus 2025, €]]-Vertailu[[#This Row],[Perusrahoitus 2024, €]]</f>
        <v>-2229584</v>
      </c>
      <c r="AC16" s="172">
        <f>IFERROR(Vertailu[[#This Row],[Perusrahoituksen muutos, €]]/Vertailu[[#This Row],[Perusrahoitus 2024, €]],0)</f>
        <v>-9.7205606505253742E-2</v>
      </c>
      <c r="AD16" s="170">
        <f>IFERROR(VLOOKUP(Vertailu[[#This Row],[Y-tunnus]],'Suoritepäät. 2024 oikaistu'!$O:$Y,COLUMN('Suoritepäät. 2024 oikaistu'!D:D),FALSE),0)</f>
        <v>7266567</v>
      </c>
      <c r="AE16" s="170">
        <f>IFERROR(VLOOKUP(Vertailu[[#This Row],[Y-tunnus]],'1.2 Ohjaus-laskentataulu'!A:AQ,COLUMN('1.2 Ohjaus-laskentataulu'!N:N),FALSE),0)</f>
        <v>6930128</v>
      </c>
      <c r="AF16" s="170">
        <f>Vertailu[[#This Row],[Suoritusrahoitus 2025, €]]-Vertailu[[#This Row],[Suoritusrahoitus 2024, €]]</f>
        <v>-336439</v>
      </c>
      <c r="AG16" s="172">
        <f>IFERROR(Vertailu[[#This Row],[Suoritusrahoituksen muutos, €]]/Vertailu[[#This Row],[Suoritusrahoitus 2024, €]],0)</f>
        <v>-4.6299579980477713E-2</v>
      </c>
      <c r="AH16" s="170">
        <f>IFERROR(VLOOKUP(Vertailu[[#This Row],[Y-tunnus]],'Suoritepäät. 2024 oikaistu'!$AB:$AL,COLUMN('Suoritepäät. 2024 oikaistu'!I:I),FALSE),0)</f>
        <v>3689143</v>
      </c>
      <c r="AI1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3199057</v>
      </c>
      <c r="AJ16" s="170">
        <f>Vertailu[[#This Row],[Vaikuttavuusrahoitus 2025, €]]-Vertailu[[#This Row],[Vaikuttavuusrahoitus 2024, €]]</f>
        <v>-490086</v>
      </c>
      <c r="AK16" s="172">
        <f>IFERROR(Vertailu[[#This Row],[Vaikuttavuusrahoituksen muutos, €]]/Vertailu[[#This Row],[Vaikuttavuusrahoitus 2024, €]],0)</f>
        <v>-0.13284548742079122</v>
      </c>
    </row>
    <row r="17" spans="1:37" s="2" customFormat="1" ht="12.75" customHeight="1" x14ac:dyDescent="0.25">
      <c r="A17" s="4" t="s">
        <v>311</v>
      </c>
      <c r="B17" s="161" t="s">
        <v>23</v>
      </c>
      <c r="C17" s="161" t="s">
        <v>201</v>
      </c>
      <c r="D17" s="8" t="s">
        <v>326</v>
      </c>
      <c r="E1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0.68701251698726995</v>
      </c>
      <c r="F1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0.6882706391267458</v>
      </c>
      <c r="G1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0.21152797046656133</v>
      </c>
      <c r="H1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0.10020139040669288</v>
      </c>
      <c r="I1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6.8148562137638979E-2</v>
      </c>
      <c r="J1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4.4243262948156208E-3</v>
      </c>
      <c r="K1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1.1348401489420906E-2</v>
      </c>
      <c r="L1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1.2280005985865558E-2</v>
      </c>
      <c r="M1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4.0000944989518096E-3</v>
      </c>
      <c r="N1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30730427</v>
      </c>
      <c r="O17" s="170">
        <f>IFERROR(VLOOKUP(Vertailu[[#This Row],[Y-tunnus]],'1.2 Ohjaus-laskentataulu'!A:AQ,COLUMN('1.2 Ohjaus-laskentataulu'!AE:AE),FALSE),0)</f>
        <v>28578074</v>
      </c>
      <c r="P17" s="170">
        <f>IFERROR(Vertailu[[#This Row],[Rahoitus pl. hark. kor. 2025 ilman alv, €]]-Vertailu[[#This Row],[Rahoitus pl. hark. kor. 2024 ilman alv, €]],0)</f>
        <v>-2152353</v>
      </c>
      <c r="Q17" s="172">
        <f>IFERROR(Vertailu[[#This Row],[Muutos, € 1]]/Vertailu[[#This Row],[Rahoitus pl. hark. kor. 2024 ilman alv, €]],0)</f>
        <v>-7.0039801269276211E-2</v>
      </c>
      <c r="R17" s="175">
        <f>IFERROR(VLOOKUP(Vertailu[[#This Row],[Y-tunnus]],'Suoritepäät. 2024 oikaistu'!$AB:$AL,COLUMN('Suoritepäät. 2024 oikaistu'!J:J),FALSE),0)</f>
        <v>30855483</v>
      </c>
      <c r="S17" s="176">
        <f>IFERROR(VLOOKUP(Vertailu[[#This Row],[Y-tunnus]],'1.2 Ohjaus-laskentataulu'!A:AQ,COLUMN('1.2 Ohjaus-laskentataulu'!AO:AO),FALSE),0)</f>
        <v>28614074</v>
      </c>
      <c r="T17" s="170">
        <f>IFERROR(Vertailu[[#This Row],[Rahoitus ml. hark. kor. 
2025 ilman alv, €]]-Vertailu[[#This Row],[Rahoitus ml. hark. kor. 
2024 ilman alv, €]],0)</f>
        <v>-2241409</v>
      </c>
      <c r="U17" s="174">
        <f>IFERROR(Vertailu[[#This Row],[Muutos, € 2]]/Vertailu[[#This Row],[Rahoitus ml. hark. kor. 
2024 ilman alv, €]],0)</f>
        <v>-7.2642162172603164E-2</v>
      </c>
      <c r="V1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32604314</v>
      </c>
      <c r="W17" s="175">
        <f>IFERROR(VLOOKUP(Vertailu[[#This Row],[Y-tunnus]],'1.2 Ohjaus-laskentataulu'!A:AQ,COLUMN('1.2 Ohjaus-laskentataulu'!AQ:AQ),FALSE),0)</f>
        <v>30584504</v>
      </c>
      <c r="X17" s="177">
        <f>IFERROR(Vertailu[[#This Row],[Rahoitus ml. hark. kor. + alv 2025, €]]-Vertailu[[#This Row],[Rahoitus ml. hark. kor. + alv 2024, €]],0)</f>
        <v>-2019810</v>
      </c>
      <c r="Y17" s="172">
        <f>IFERROR(Vertailu[[#This Row],[Muutos, € 3]]/Vertailu[[#This Row],[Rahoitus ml. hark. kor. + alv 2024, €]],0)</f>
        <v>-6.1949164150486347E-2</v>
      </c>
      <c r="Z17" s="170">
        <f>IFERROR(VLOOKUP(Vertailu[[#This Row],[Y-tunnus]],'Suoritepäät. 2024 oikaistu'!$B:$N,COLUMN('Suoritepäät. 2024 oikaistu'!H:H),FALSE),0)</f>
        <v>21470960</v>
      </c>
      <c r="AA17" s="170">
        <f>IFERROR(VLOOKUP(Vertailu[[#This Row],[Y-tunnus]],'1.2 Ohjaus-laskentataulu'!A:AQ,COLUMN('1.2 Ohjaus-laskentataulu'!AL:AL),FALSE),0)</f>
        <v>19694227</v>
      </c>
      <c r="AB17" s="170">
        <f>Vertailu[[#This Row],[Perusrahoitus 2025, €]]-Vertailu[[#This Row],[Perusrahoitus 2024, €]]</f>
        <v>-1776733</v>
      </c>
      <c r="AC17" s="172">
        <f>IFERROR(Vertailu[[#This Row],[Perusrahoituksen muutos, €]]/Vertailu[[#This Row],[Perusrahoitus 2024, €]],0)</f>
        <v>-8.2750515114368428E-2</v>
      </c>
      <c r="AD17" s="170">
        <f>IFERROR(VLOOKUP(Vertailu[[#This Row],[Y-tunnus]],'Suoritepäät. 2024 oikaistu'!$O:$Y,COLUMN('Suoritepäät. 2024 oikaistu'!D:D),FALSE),0)</f>
        <v>6420538</v>
      </c>
      <c r="AE17" s="170">
        <f>IFERROR(VLOOKUP(Vertailu[[#This Row],[Y-tunnus]],'1.2 Ohjaus-laskentataulu'!A:AQ,COLUMN('1.2 Ohjaus-laskentataulu'!N:N),FALSE),0)</f>
        <v>6052677</v>
      </c>
      <c r="AF17" s="170">
        <f>Vertailu[[#This Row],[Suoritusrahoitus 2025, €]]-Vertailu[[#This Row],[Suoritusrahoitus 2024, €]]</f>
        <v>-367861</v>
      </c>
      <c r="AG17" s="172">
        <f>IFERROR(Vertailu[[#This Row],[Suoritusrahoituksen muutos, €]]/Vertailu[[#This Row],[Suoritusrahoitus 2024, €]],0)</f>
        <v>-5.7294419875717581E-2</v>
      </c>
      <c r="AH17" s="170">
        <f>IFERROR(VLOOKUP(Vertailu[[#This Row],[Y-tunnus]],'Suoritepäät. 2024 oikaistu'!$AB:$AL,COLUMN('Suoritepäät. 2024 oikaistu'!I:I),FALSE),0)</f>
        <v>2963985</v>
      </c>
      <c r="AI1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2867170</v>
      </c>
      <c r="AJ17" s="170">
        <f>Vertailu[[#This Row],[Vaikuttavuusrahoitus 2025, €]]-Vertailu[[#This Row],[Vaikuttavuusrahoitus 2024, €]]</f>
        <v>-96815</v>
      </c>
      <c r="AK17" s="172">
        <f>IFERROR(Vertailu[[#This Row],[Vaikuttavuusrahoituksen muutos, €]]/Vertailu[[#This Row],[Vaikuttavuusrahoitus 2024, €]],0)</f>
        <v>-3.2663795532028674E-2</v>
      </c>
    </row>
    <row r="18" spans="1:37" s="2" customFormat="1" ht="12.75" customHeight="1" x14ac:dyDescent="0.25">
      <c r="A18" s="4" t="s">
        <v>310</v>
      </c>
      <c r="B18" s="161" t="s">
        <v>24</v>
      </c>
      <c r="C18" s="161" t="s">
        <v>215</v>
      </c>
      <c r="D18" s="8" t="s">
        <v>326</v>
      </c>
      <c r="E1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0.66857971221140933</v>
      </c>
      <c r="F1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0.66857971221140933</v>
      </c>
      <c r="G1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0.19277201487660262</v>
      </c>
      <c r="H1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0.13864827291198803</v>
      </c>
      <c r="I1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0.10832471868724676</v>
      </c>
      <c r="J1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6.2203685880298006E-3</v>
      </c>
      <c r="K1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1.5042954407728229E-2</v>
      </c>
      <c r="L1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6.7907175703133356E-3</v>
      </c>
      <c r="M1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2.2695136586698985E-3</v>
      </c>
      <c r="N1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207517</v>
      </c>
      <c r="O18" s="170">
        <f>IFERROR(VLOOKUP(Vertailu[[#This Row],[Y-tunnus]],'1.2 Ohjaus-laskentataulu'!A:AQ,COLUMN('1.2 Ohjaus-laskentataulu'!AE:AE),FALSE),0)</f>
        <v>168318</v>
      </c>
      <c r="P18" s="170">
        <f>IFERROR(Vertailu[[#This Row],[Rahoitus pl. hark. kor. 2025 ilman alv, €]]-Vertailu[[#This Row],[Rahoitus pl. hark. kor. 2024 ilman alv, €]],0)</f>
        <v>-39199</v>
      </c>
      <c r="Q18" s="172">
        <f>IFERROR(Vertailu[[#This Row],[Muutos, € 1]]/Vertailu[[#This Row],[Rahoitus pl. hark. kor. 2024 ilman alv, €]],0)</f>
        <v>-0.18889536760843689</v>
      </c>
      <c r="R18" s="175">
        <f>IFERROR(VLOOKUP(Vertailu[[#This Row],[Y-tunnus]],'Suoritepäät. 2024 oikaistu'!$AB:$AL,COLUMN('Suoritepäät. 2024 oikaistu'!J:J),FALSE),0)</f>
        <v>207517</v>
      </c>
      <c r="S18" s="176">
        <f>IFERROR(VLOOKUP(Vertailu[[#This Row],[Y-tunnus]],'1.2 Ohjaus-laskentataulu'!A:AQ,COLUMN('1.2 Ohjaus-laskentataulu'!AO:AO),FALSE),0)</f>
        <v>168318</v>
      </c>
      <c r="T18" s="170">
        <f>IFERROR(Vertailu[[#This Row],[Rahoitus ml. hark. kor. 
2025 ilman alv, €]]-Vertailu[[#This Row],[Rahoitus ml. hark. kor. 
2024 ilman alv, €]],0)</f>
        <v>-39199</v>
      </c>
      <c r="U18" s="174">
        <f>IFERROR(Vertailu[[#This Row],[Muutos, € 2]]/Vertailu[[#This Row],[Rahoitus ml. hark. kor. 
2024 ilman alv, €]],0)</f>
        <v>-0.18889536760843689</v>
      </c>
      <c r="V1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207517</v>
      </c>
      <c r="W18" s="175">
        <f>IFERROR(VLOOKUP(Vertailu[[#This Row],[Y-tunnus]],'1.2 Ohjaus-laskentataulu'!A:AQ,COLUMN('1.2 Ohjaus-laskentataulu'!AQ:AQ),FALSE),0)</f>
        <v>168318</v>
      </c>
      <c r="X18" s="177">
        <f>IFERROR(Vertailu[[#This Row],[Rahoitus ml. hark. kor. + alv 2025, €]]-Vertailu[[#This Row],[Rahoitus ml. hark. kor. + alv 2024, €]],0)</f>
        <v>-39199</v>
      </c>
      <c r="Y18" s="172">
        <f>IFERROR(Vertailu[[#This Row],[Muutos, € 3]]/Vertailu[[#This Row],[Rahoitus ml. hark. kor. + alv 2024, €]],0)</f>
        <v>-0.18889536760843689</v>
      </c>
      <c r="Z18" s="170">
        <f>IFERROR(VLOOKUP(Vertailu[[#This Row],[Y-tunnus]],'Suoritepäät. 2024 oikaistu'!$B:$N,COLUMN('Suoritepäät. 2024 oikaistu'!H:H),FALSE),0)</f>
        <v>128298</v>
      </c>
      <c r="AA18" s="170">
        <f>IFERROR(VLOOKUP(Vertailu[[#This Row],[Y-tunnus]],'1.2 Ohjaus-laskentataulu'!A:AQ,COLUMN('1.2 Ohjaus-laskentataulu'!AL:AL),FALSE),0)</f>
        <v>112534</v>
      </c>
      <c r="AB18" s="170">
        <f>Vertailu[[#This Row],[Perusrahoitus 2025, €]]-Vertailu[[#This Row],[Perusrahoitus 2024, €]]</f>
        <v>-15764</v>
      </c>
      <c r="AC18" s="172">
        <f>IFERROR(Vertailu[[#This Row],[Perusrahoituksen muutos, €]]/Vertailu[[#This Row],[Perusrahoitus 2024, €]],0)</f>
        <v>-0.12287019283231228</v>
      </c>
      <c r="AD18" s="170">
        <f>IFERROR(VLOOKUP(Vertailu[[#This Row],[Y-tunnus]],'Suoritepäät. 2024 oikaistu'!$O:$Y,COLUMN('Suoritepäät. 2024 oikaistu'!D:D),FALSE),0)</f>
        <v>38256</v>
      </c>
      <c r="AE18" s="170">
        <f>IFERROR(VLOOKUP(Vertailu[[#This Row],[Y-tunnus]],'1.2 Ohjaus-laskentataulu'!A:AQ,COLUMN('1.2 Ohjaus-laskentataulu'!N:N),FALSE),0)</f>
        <v>32447</v>
      </c>
      <c r="AF18" s="170">
        <f>Vertailu[[#This Row],[Suoritusrahoitus 2025, €]]-Vertailu[[#This Row],[Suoritusrahoitus 2024, €]]</f>
        <v>-5809</v>
      </c>
      <c r="AG18" s="172">
        <f>IFERROR(Vertailu[[#This Row],[Suoritusrahoituksen muutos, €]]/Vertailu[[#This Row],[Suoritusrahoitus 2024, €]],0)</f>
        <v>-0.15184546214972816</v>
      </c>
      <c r="AH18" s="170">
        <f>IFERROR(VLOOKUP(Vertailu[[#This Row],[Y-tunnus]],'Suoritepäät. 2024 oikaistu'!$AB:$AL,COLUMN('Suoritepäät. 2024 oikaistu'!I:I),FALSE),0)</f>
        <v>40963</v>
      </c>
      <c r="AI1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23337</v>
      </c>
      <c r="AJ18" s="170">
        <f>Vertailu[[#This Row],[Vaikuttavuusrahoitus 2025, €]]-Vertailu[[#This Row],[Vaikuttavuusrahoitus 2024, €]]</f>
        <v>-17626</v>
      </c>
      <c r="AK18" s="172">
        <f>IFERROR(Vertailu[[#This Row],[Vaikuttavuusrahoituksen muutos, €]]/Vertailu[[#This Row],[Vaikuttavuusrahoitus 2024, €]],0)</f>
        <v>-0.4302907501891951</v>
      </c>
    </row>
    <row r="19" spans="1:37" s="2" customFormat="1" ht="12.75" customHeight="1" x14ac:dyDescent="0.25">
      <c r="A19" s="4" t="s">
        <v>318</v>
      </c>
      <c r="B19" s="161" t="s">
        <v>470</v>
      </c>
      <c r="C19" s="161" t="s">
        <v>174</v>
      </c>
      <c r="D19" s="8" t="s">
        <v>326</v>
      </c>
      <c r="E1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8.0417177262190775E-2</v>
      </c>
      <c r="F1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1</v>
      </c>
      <c r="G1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</v>
      </c>
      <c r="H1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</v>
      </c>
      <c r="I1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</v>
      </c>
      <c r="J1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0</v>
      </c>
      <c r="K1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0</v>
      </c>
      <c r="L1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1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1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129663</v>
      </c>
      <c r="O19" s="170">
        <f>IFERROR(VLOOKUP(Vertailu[[#This Row],[Y-tunnus]],'1.2 Ohjaus-laskentataulu'!A:AQ,COLUMN('1.2 Ohjaus-laskentataulu'!AE:AE),FALSE),0)</f>
        <v>118057</v>
      </c>
      <c r="P19" s="170">
        <f>IFERROR(Vertailu[[#This Row],[Rahoitus pl. hark. kor. 2025 ilman alv, €]]-Vertailu[[#This Row],[Rahoitus pl. hark. kor. 2024 ilman alv, €]],0)</f>
        <v>-11606</v>
      </c>
      <c r="Q19" s="172">
        <f>IFERROR(Vertailu[[#This Row],[Muutos, € 1]]/Vertailu[[#This Row],[Rahoitus pl. hark. kor. 2024 ilman alv, €]],0)</f>
        <v>-8.9508957836854003E-2</v>
      </c>
      <c r="R19" s="175">
        <f>IFERROR(VLOOKUP(Vertailu[[#This Row],[Y-tunnus]],'Suoritepäät. 2024 oikaistu'!$AB:$AL,COLUMN('Suoritepäät. 2024 oikaistu'!J:J),FALSE),0)</f>
        <v>1454663</v>
      </c>
      <c r="S19" s="176">
        <f>IFERROR(VLOOKUP(Vertailu[[#This Row],[Y-tunnus]],'1.2 Ohjaus-laskentataulu'!A:AQ,COLUMN('1.2 Ohjaus-laskentataulu'!AO:AO),FALSE),0)</f>
        <v>1468057</v>
      </c>
      <c r="T19" s="170">
        <f>IFERROR(Vertailu[[#This Row],[Rahoitus ml. hark. kor. 
2025 ilman alv, €]]-Vertailu[[#This Row],[Rahoitus ml. hark. kor. 
2024 ilman alv, €]],0)</f>
        <v>13394</v>
      </c>
      <c r="U19" s="174">
        <f>IFERROR(Vertailu[[#This Row],[Muutos, € 2]]/Vertailu[[#This Row],[Rahoitus ml. hark. kor. 
2024 ilman alv, €]],0)</f>
        <v>9.2076309083272204E-3</v>
      </c>
      <c r="V1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1497547</v>
      </c>
      <c r="W19" s="175">
        <f>IFERROR(VLOOKUP(Vertailu[[#This Row],[Y-tunnus]],'1.2 Ohjaus-laskentataulu'!A:AQ,COLUMN('1.2 Ohjaus-laskentataulu'!AQ:AQ),FALSE),0)</f>
        <v>1514522</v>
      </c>
      <c r="X19" s="177">
        <f>IFERROR(Vertailu[[#This Row],[Rahoitus ml. hark. kor. + alv 2025, €]]-Vertailu[[#This Row],[Rahoitus ml. hark. kor. + alv 2024, €]],0)</f>
        <v>16975</v>
      </c>
      <c r="Y19" s="172">
        <f>IFERROR(Vertailu[[#This Row],[Muutos, € 3]]/Vertailu[[#This Row],[Rahoitus ml. hark. kor. + alv 2024, €]],0)</f>
        <v>1.1335203502794903E-2</v>
      </c>
      <c r="Z19" s="170">
        <f>IFERROR(VLOOKUP(Vertailu[[#This Row],[Y-tunnus]],'Suoritepäät. 2024 oikaistu'!$B:$N,COLUMN('Suoritepäät. 2024 oikaistu'!H:H),FALSE),0)</f>
        <v>1454663</v>
      </c>
      <c r="AA19" s="170">
        <f>IFERROR(VLOOKUP(Vertailu[[#This Row],[Y-tunnus]],'1.2 Ohjaus-laskentataulu'!A:AQ,COLUMN('1.2 Ohjaus-laskentataulu'!AL:AL),FALSE),0)</f>
        <v>1468057</v>
      </c>
      <c r="AB19" s="170">
        <f>Vertailu[[#This Row],[Perusrahoitus 2025, €]]-Vertailu[[#This Row],[Perusrahoitus 2024, €]]</f>
        <v>13394</v>
      </c>
      <c r="AC19" s="172">
        <f>IFERROR(Vertailu[[#This Row],[Perusrahoituksen muutos, €]]/Vertailu[[#This Row],[Perusrahoitus 2024, €]],0)</f>
        <v>9.2076309083272204E-3</v>
      </c>
      <c r="AD19" s="170">
        <f>IFERROR(VLOOKUP(Vertailu[[#This Row],[Y-tunnus]],'Suoritepäät. 2024 oikaistu'!$O:$Y,COLUMN('Suoritepäät. 2024 oikaistu'!D:D),FALSE),0)</f>
        <v>0</v>
      </c>
      <c r="AE19" s="170">
        <f>IFERROR(VLOOKUP(Vertailu[[#This Row],[Y-tunnus]],'1.2 Ohjaus-laskentataulu'!A:AQ,COLUMN('1.2 Ohjaus-laskentataulu'!N:N),FALSE),0)</f>
        <v>0</v>
      </c>
      <c r="AF19" s="170">
        <f>Vertailu[[#This Row],[Suoritusrahoitus 2025, €]]-Vertailu[[#This Row],[Suoritusrahoitus 2024, €]]</f>
        <v>0</v>
      </c>
      <c r="AG19" s="172">
        <f>IFERROR(Vertailu[[#This Row],[Suoritusrahoituksen muutos, €]]/Vertailu[[#This Row],[Suoritusrahoitus 2024, €]],0)</f>
        <v>0</v>
      </c>
      <c r="AH19" s="170">
        <f>IFERROR(VLOOKUP(Vertailu[[#This Row],[Y-tunnus]],'Suoritepäät. 2024 oikaistu'!$AB:$AL,COLUMN('Suoritepäät. 2024 oikaistu'!I:I),FALSE),0)</f>
        <v>0</v>
      </c>
      <c r="AI1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0</v>
      </c>
      <c r="AJ19" s="170">
        <f>Vertailu[[#This Row],[Vaikuttavuusrahoitus 2025, €]]-Vertailu[[#This Row],[Vaikuttavuusrahoitus 2024, €]]</f>
        <v>0</v>
      </c>
      <c r="AK19" s="172">
        <f>IFERROR(Vertailu[[#This Row],[Vaikuttavuusrahoituksen muutos, €]]/Vertailu[[#This Row],[Vaikuttavuusrahoitus 2024, €]],0)</f>
        <v>0</v>
      </c>
    </row>
    <row r="20" spans="1:37" s="2" customFormat="1" ht="12.75" customHeight="1" x14ac:dyDescent="0.25">
      <c r="A20" s="4" t="s">
        <v>309</v>
      </c>
      <c r="B20" s="161" t="s">
        <v>25</v>
      </c>
      <c r="C20" s="161" t="s">
        <v>174</v>
      </c>
      <c r="D20" s="8" t="s">
        <v>326</v>
      </c>
      <c r="E2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0.70070205921716877</v>
      </c>
      <c r="F2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0.70070205921716877</v>
      </c>
      <c r="G2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0.2118422597384301</v>
      </c>
      <c r="H2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8.7455681044401143E-2</v>
      </c>
      <c r="I2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7.509685599567964E-2</v>
      </c>
      <c r="J2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1.6189626429359695E-3</v>
      </c>
      <c r="K2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7.7748949259198383E-3</v>
      </c>
      <c r="L2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2.8675244781516352E-3</v>
      </c>
      <c r="M2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9.7443001714057616E-5</v>
      </c>
      <c r="N2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1708659</v>
      </c>
      <c r="O20" s="170">
        <f>IFERROR(VLOOKUP(Vertailu[[#This Row],[Y-tunnus]],'1.2 Ohjaus-laskentataulu'!A:AQ,COLUMN('1.2 Ohjaus-laskentataulu'!AE:AE),FALSE),0)</f>
        <v>1703560</v>
      </c>
      <c r="P20" s="170">
        <f>IFERROR(Vertailu[[#This Row],[Rahoitus pl. hark. kor. 2025 ilman alv, €]]-Vertailu[[#This Row],[Rahoitus pl. hark. kor. 2024 ilman alv, €]],0)</f>
        <v>-5099</v>
      </c>
      <c r="Q20" s="172">
        <f>IFERROR(Vertailu[[#This Row],[Muutos, € 1]]/Vertailu[[#This Row],[Rahoitus pl. hark. kor. 2024 ilman alv, €]],0)</f>
        <v>-2.9842115951749294E-3</v>
      </c>
      <c r="R20" s="175">
        <f>IFERROR(VLOOKUP(Vertailu[[#This Row],[Y-tunnus]],'Suoritepäät. 2024 oikaistu'!$AB:$AL,COLUMN('Suoritepäät. 2024 oikaistu'!J:J),FALSE),0)</f>
        <v>1708659</v>
      </c>
      <c r="S20" s="176">
        <f>IFERROR(VLOOKUP(Vertailu[[#This Row],[Y-tunnus]],'1.2 Ohjaus-laskentataulu'!A:AQ,COLUMN('1.2 Ohjaus-laskentataulu'!AO:AO),FALSE),0)</f>
        <v>1703560</v>
      </c>
      <c r="T20" s="170">
        <f>IFERROR(Vertailu[[#This Row],[Rahoitus ml. hark. kor. 
2025 ilman alv, €]]-Vertailu[[#This Row],[Rahoitus ml. hark. kor. 
2024 ilman alv, €]],0)</f>
        <v>-5099</v>
      </c>
      <c r="U20" s="174">
        <f>IFERROR(Vertailu[[#This Row],[Muutos, € 2]]/Vertailu[[#This Row],[Rahoitus ml. hark. kor. 
2024 ilman alv, €]],0)</f>
        <v>-2.9842115951749294E-3</v>
      </c>
      <c r="V2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2012739</v>
      </c>
      <c r="W20" s="175">
        <f>IFERROR(VLOOKUP(Vertailu[[#This Row],[Y-tunnus]],'1.2 Ohjaus-laskentataulu'!A:AQ,COLUMN('1.2 Ohjaus-laskentataulu'!AQ:AQ),FALSE),0)</f>
        <v>1869666</v>
      </c>
      <c r="X20" s="177">
        <f>IFERROR(Vertailu[[#This Row],[Rahoitus ml. hark. kor. + alv 2025, €]]-Vertailu[[#This Row],[Rahoitus ml. hark. kor. + alv 2024, €]],0)</f>
        <v>-143073</v>
      </c>
      <c r="Y20" s="172">
        <f>IFERROR(Vertailu[[#This Row],[Muutos, € 3]]/Vertailu[[#This Row],[Rahoitus ml. hark. kor. + alv 2024, €]],0)</f>
        <v>-7.1083732167956201E-2</v>
      </c>
      <c r="Z20" s="170">
        <f>IFERROR(VLOOKUP(Vertailu[[#This Row],[Y-tunnus]],'Suoritepäät. 2024 oikaistu'!$B:$N,COLUMN('Suoritepäät. 2024 oikaistu'!H:H),FALSE),0)</f>
        <v>1203134</v>
      </c>
      <c r="AA20" s="170">
        <f>IFERROR(VLOOKUP(Vertailu[[#This Row],[Y-tunnus]],'1.2 Ohjaus-laskentataulu'!A:AQ,COLUMN('1.2 Ohjaus-laskentataulu'!AL:AL),FALSE),0)</f>
        <v>1193688</v>
      </c>
      <c r="AB20" s="170">
        <f>Vertailu[[#This Row],[Perusrahoitus 2025, €]]-Vertailu[[#This Row],[Perusrahoitus 2024, €]]</f>
        <v>-9446</v>
      </c>
      <c r="AC20" s="172">
        <f>IFERROR(Vertailu[[#This Row],[Perusrahoituksen muutos, €]]/Vertailu[[#This Row],[Perusrahoitus 2024, €]],0)</f>
        <v>-7.8511620484501311E-3</v>
      </c>
      <c r="AD20" s="170">
        <f>IFERROR(VLOOKUP(Vertailu[[#This Row],[Y-tunnus]],'Suoritepäät. 2024 oikaistu'!$O:$Y,COLUMN('Suoritepäät. 2024 oikaistu'!D:D),FALSE),0)</f>
        <v>375952</v>
      </c>
      <c r="AE20" s="170">
        <f>IFERROR(VLOOKUP(Vertailu[[#This Row],[Y-tunnus]],'1.2 Ohjaus-laskentataulu'!A:AQ,COLUMN('1.2 Ohjaus-laskentataulu'!N:N),FALSE),0)</f>
        <v>360886</v>
      </c>
      <c r="AF20" s="170">
        <f>Vertailu[[#This Row],[Suoritusrahoitus 2025, €]]-Vertailu[[#This Row],[Suoritusrahoitus 2024, €]]</f>
        <v>-15066</v>
      </c>
      <c r="AG20" s="172">
        <f>IFERROR(Vertailu[[#This Row],[Suoritusrahoituksen muutos, €]]/Vertailu[[#This Row],[Suoritusrahoitus 2024, €]],0)</f>
        <v>-4.0074264799761672E-2</v>
      </c>
      <c r="AH20" s="170">
        <f>IFERROR(VLOOKUP(Vertailu[[#This Row],[Y-tunnus]],'Suoritepäät. 2024 oikaistu'!$AB:$AL,COLUMN('Suoritepäät. 2024 oikaistu'!I:I),FALSE),0)</f>
        <v>129573</v>
      </c>
      <c r="AI2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148986</v>
      </c>
      <c r="AJ20" s="170">
        <f>Vertailu[[#This Row],[Vaikuttavuusrahoitus 2025, €]]-Vertailu[[#This Row],[Vaikuttavuusrahoitus 2024, €]]</f>
        <v>19413</v>
      </c>
      <c r="AK20" s="172">
        <f>IFERROR(Vertailu[[#This Row],[Vaikuttavuusrahoituksen muutos, €]]/Vertailu[[#This Row],[Vaikuttavuusrahoitus 2024, €]],0)</f>
        <v>0.14982287976661804</v>
      </c>
    </row>
    <row r="21" spans="1:37" s="2" customFormat="1" ht="12.75" customHeight="1" x14ac:dyDescent="0.25">
      <c r="A21" s="4" t="s">
        <v>308</v>
      </c>
      <c r="B21" s="161" t="s">
        <v>383</v>
      </c>
      <c r="C21" s="161" t="s">
        <v>180</v>
      </c>
      <c r="D21" s="8" t="s">
        <v>326</v>
      </c>
      <c r="E2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0.7715573025553083</v>
      </c>
      <c r="F2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0.7715573025553083</v>
      </c>
      <c r="G2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0.20216383903195662</v>
      </c>
      <c r="H2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2.6278858412735116E-2</v>
      </c>
      <c r="I2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2.1166315018738498E-2</v>
      </c>
      <c r="J2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1.4098031092741922E-3</v>
      </c>
      <c r="K2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3.7027402847224231E-3</v>
      </c>
      <c r="L2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2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2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261450</v>
      </c>
      <c r="O21" s="170">
        <f>IFERROR(VLOOKUP(Vertailu[[#This Row],[Y-tunnus]],'1.2 Ohjaus-laskentataulu'!A:AQ,COLUMN('1.2 Ohjaus-laskentataulu'!AE:AE),FALSE),0)</f>
        <v>311391</v>
      </c>
      <c r="P21" s="170">
        <f>IFERROR(Vertailu[[#This Row],[Rahoitus pl. hark. kor. 2025 ilman alv, €]]-Vertailu[[#This Row],[Rahoitus pl. hark. kor. 2024 ilman alv, €]],0)</f>
        <v>49941</v>
      </c>
      <c r="Q21" s="172">
        <f>IFERROR(Vertailu[[#This Row],[Muutos, € 1]]/Vertailu[[#This Row],[Rahoitus pl. hark. kor. 2024 ilman alv, €]],0)</f>
        <v>0.19101549053356282</v>
      </c>
      <c r="R21" s="175">
        <f>IFERROR(VLOOKUP(Vertailu[[#This Row],[Y-tunnus]],'Suoritepäät. 2024 oikaistu'!$AB:$AL,COLUMN('Suoritepäät. 2024 oikaistu'!J:J),FALSE),0)</f>
        <v>261450</v>
      </c>
      <c r="S21" s="176">
        <f>IFERROR(VLOOKUP(Vertailu[[#This Row],[Y-tunnus]],'1.2 Ohjaus-laskentataulu'!A:AQ,COLUMN('1.2 Ohjaus-laskentataulu'!AO:AO),FALSE),0)</f>
        <v>311391</v>
      </c>
      <c r="T21" s="170">
        <f>IFERROR(Vertailu[[#This Row],[Rahoitus ml. hark. kor. 
2025 ilman alv, €]]-Vertailu[[#This Row],[Rahoitus ml. hark. kor. 
2024 ilman alv, €]],0)</f>
        <v>49941</v>
      </c>
      <c r="U21" s="174">
        <f>IFERROR(Vertailu[[#This Row],[Muutos, € 2]]/Vertailu[[#This Row],[Rahoitus ml. hark. kor. 
2024 ilman alv, €]],0)</f>
        <v>0.19101549053356282</v>
      </c>
      <c r="V2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261450</v>
      </c>
      <c r="W21" s="175">
        <f>IFERROR(VLOOKUP(Vertailu[[#This Row],[Y-tunnus]],'1.2 Ohjaus-laskentataulu'!A:AQ,COLUMN('1.2 Ohjaus-laskentataulu'!AQ:AQ),FALSE),0)</f>
        <v>311391</v>
      </c>
      <c r="X21" s="177">
        <f>IFERROR(Vertailu[[#This Row],[Rahoitus ml. hark. kor. + alv 2025, €]]-Vertailu[[#This Row],[Rahoitus ml. hark. kor. + alv 2024, €]],0)</f>
        <v>49941</v>
      </c>
      <c r="Y21" s="172">
        <f>IFERROR(Vertailu[[#This Row],[Muutos, € 3]]/Vertailu[[#This Row],[Rahoitus ml. hark. kor. + alv 2024, €]],0)</f>
        <v>0.19101549053356282</v>
      </c>
      <c r="Z21" s="170">
        <f>IFERROR(VLOOKUP(Vertailu[[#This Row],[Y-tunnus]],'Suoritepäät. 2024 oikaistu'!$B:$N,COLUMN('Suoritepäät. 2024 oikaistu'!H:H),FALSE),0)</f>
        <v>234075</v>
      </c>
      <c r="AA21" s="170">
        <f>IFERROR(VLOOKUP(Vertailu[[#This Row],[Y-tunnus]],'1.2 Ohjaus-laskentataulu'!A:AQ,COLUMN('1.2 Ohjaus-laskentataulu'!AL:AL),FALSE),0)</f>
        <v>240256</v>
      </c>
      <c r="AB21" s="170">
        <f>Vertailu[[#This Row],[Perusrahoitus 2025, €]]-Vertailu[[#This Row],[Perusrahoitus 2024, €]]</f>
        <v>6181</v>
      </c>
      <c r="AC21" s="172">
        <f>IFERROR(Vertailu[[#This Row],[Perusrahoituksen muutos, €]]/Vertailu[[#This Row],[Perusrahoitus 2024, €]],0)</f>
        <v>2.6406066431699241E-2</v>
      </c>
      <c r="AD21" s="170">
        <f>IFERROR(VLOOKUP(Vertailu[[#This Row],[Y-tunnus]],'Suoritepäät. 2024 oikaistu'!$O:$Y,COLUMN('Suoritepäät. 2024 oikaistu'!D:D),FALSE),0)</f>
        <v>20012</v>
      </c>
      <c r="AE21" s="170">
        <f>IFERROR(VLOOKUP(Vertailu[[#This Row],[Y-tunnus]],'1.2 Ohjaus-laskentataulu'!A:AQ,COLUMN('1.2 Ohjaus-laskentataulu'!N:N),FALSE),0)</f>
        <v>62952</v>
      </c>
      <c r="AF21" s="170">
        <f>Vertailu[[#This Row],[Suoritusrahoitus 2025, €]]-Vertailu[[#This Row],[Suoritusrahoitus 2024, €]]</f>
        <v>42940</v>
      </c>
      <c r="AG21" s="172">
        <f>IFERROR(Vertailu[[#This Row],[Suoritusrahoituksen muutos, €]]/Vertailu[[#This Row],[Suoritusrahoitus 2024, €]],0)</f>
        <v>2.1457125724565262</v>
      </c>
      <c r="AH21" s="170">
        <f>IFERROR(VLOOKUP(Vertailu[[#This Row],[Y-tunnus]],'Suoritepäät. 2024 oikaistu'!$AB:$AL,COLUMN('Suoritepäät. 2024 oikaistu'!I:I),FALSE),0)</f>
        <v>7363</v>
      </c>
      <c r="AI2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8183</v>
      </c>
      <c r="AJ21" s="170">
        <f>Vertailu[[#This Row],[Vaikuttavuusrahoitus 2025, €]]-Vertailu[[#This Row],[Vaikuttavuusrahoitus 2024, €]]</f>
        <v>820</v>
      </c>
      <c r="AK21" s="172">
        <f>IFERROR(Vertailu[[#This Row],[Vaikuttavuusrahoituksen muutos, €]]/Vertailu[[#This Row],[Vaikuttavuusrahoitus 2024, €]],0)</f>
        <v>0.11136764905609127</v>
      </c>
    </row>
    <row r="22" spans="1:37" s="2" customFormat="1" ht="12.75" customHeight="1" x14ac:dyDescent="0.25">
      <c r="A22" s="4" t="s">
        <v>307</v>
      </c>
      <c r="B22" s="161" t="s">
        <v>128</v>
      </c>
      <c r="C22" s="161" t="s">
        <v>183</v>
      </c>
      <c r="D22" s="8" t="s">
        <v>326</v>
      </c>
      <c r="E2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0.30570367193981712</v>
      </c>
      <c r="F2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0.30570367193981712</v>
      </c>
      <c r="G2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0.20084037921937486</v>
      </c>
      <c r="H2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0.49345594884080801</v>
      </c>
      <c r="I2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0.44966114492929254</v>
      </c>
      <c r="J2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1.1233022288926383E-2</v>
      </c>
      <c r="K2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3.2561781622589096E-2</v>
      </c>
      <c r="L2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2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2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380349</v>
      </c>
      <c r="O22" s="170">
        <f>IFERROR(VLOOKUP(Vertailu[[#This Row],[Y-tunnus]],'1.2 Ohjaus-laskentataulu'!A:AQ,COLUMN('1.2 Ohjaus-laskentataulu'!AE:AE),FALSE),0)</f>
        <v>429092</v>
      </c>
      <c r="P22" s="170">
        <f>IFERROR(Vertailu[[#This Row],[Rahoitus pl. hark. kor. 2025 ilman alv, €]]-Vertailu[[#This Row],[Rahoitus pl. hark. kor. 2024 ilman alv, €]],0)</f>
        <v>48743</v>
      </c>
      <c r="Q22" s="172">
        <f>IFERROR(Vertailu[[#This Row],[Muutos, € 1]]/Vertailu[[#This Row],[Rahoitus pl. hark. kor. 2024 ilman alv, €]],0)</f>
        <v>0.12815335389339791</v>
      </c>
      <c r="R22" s="175">
        <f>IFERROR(VLOOKUP(Vertailu[[#This Row],[Y-tunnus]],'Suoritepäät. 2024 oikaistu'!$AB:$AL,COLUMN('Suoritepäät. 2024 oikaistu'!J:J),FALSE),0)</f>
        <v>380349</v>
      </c>
      <c r="S22" s="176">
        <f>IFERROR(VLOOKUP(Vertailu[[#This Row],[Y-tunnus]],'1.2 Ohjaus-laskentataulu'!A:AQ,COLUMN('1.2 Ohjaus-laskentataulu'!AO:AO),FALSE),0)</f>
        <v>429092</v>
      </c>
      <c r="T22" s="170">
        <f>IFERROR(Vertailu[[#This Row],[Rahoitus ml. hark. kor. 
2025 ilman alv, €]]-Vertailu[[#This Row],[Rahoitus ml. hark. kor. 
2024 ilman alv, €]],0)</f>
        <v>48743</v>
      </c>
      <c r="U22" s="174">
        <f>IFERROR(Vertailu[[#This Row],[Muutos, € 2]]/Vertailu[[#This Row],[Rahoitus ml. hark. kor. 
2024 ilman alv, €]],0)</f>
        <v>0.12815335389339791</v>
      </c>
      <c r="V2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392515</v>
      </c>
      <c r="W22" s="175">
        <f>IFERROR(VLOOKUP(Vertailu[[#This Row],[Y-tunnus]],'1.2 Ohjaus-laskentataulu'!A:AQ,COLUMN('1.2 Ohjaus-laskentataulu'!AQ:AQ),FALSE),0)</f>
        <v>442009</v>
      </c>
      <c r="X22" s="177">
        <f>IFERROR(Vertailu[[#This Row],[Rahoitus ml. hark. kor. + alv 2025, €]]-Vertailu[[#This Row],[Rahoitus ml. hark. kor. + alv 2024, €]],0)</f>
        <v>49494</v>
      </c>
      <c r="Y22" s="172">
        <f>IFERROR(Vertailu[[#This Row],[Muutos, € 3]]/Vertailu[[#This Row],[Rahoitus ml. hark. kor. + alv 2024, €]],0)</f>
        <v>0.12609454415754812</v>
      </c>
      <c r="Z22" s="170">
        <f>IFERROR(VLOOKUP(Vertailu[[#This Row],[Y-tunnus]],'Suoritepäät. 2024 oikaistu'!$B:$N,COLUMN('Suoritepäät. 2024 oikaistu'!H:H),FALSE),0)</f>
        <v>147406</v>
      </c>
      <c r="AA22" s="170">
        <f>IFERROR(VLOOKUP(Vertailu[[#This Row],[Y-tunnus]],'1.2 Ohjaus-laskentataulu'!A:AQ,COLUMN('1.2 Ohjaus-laskentataulu'!AL:AL),FALSE),0)</f>
        <v>131175</v>
      </c>
      <c r="AB22" s="170">
        <f>Vertailu[[#This Row],[Perusrahoitus 2025, €]]-Vertailu[[#This Row],[Perusrahoitus 2024, €]]</f>
        <v>-16231</v>
      </c>
      <c r="AC22" s="172">
        <f>IFERROR(Vertailu[[#This Row],[Perusrahoituksen muutos, €]]/Vertailu[[#This Row],[Perusrahoitus 2024, €]],0)</f>
        <v>-0.1101108503046009</v>
      </c>
      <c r="AD22" s="170">
        <f>IFERROR(VLOOKUP(Vertailu[[#This Row],[Y-tunnus]],'Suoritepäät. 2024 oikaistu'!$O:$Y,COLUMN('Suoritepäät. 2024 oikaistu'!D:D),FALSE),0)</f>
        <v>110394</v>
      </c>
      <c r="AE22" s="170">
        <f>IFERROR(VLOOKUP(Vertailu[[#This Row],[Y-tunnus]],'1.2 Ohjaus-laskentataulu'!A:AQ,COLUMN('1.2 Ohjaus-laskentataulu'!N:N),FALSE),0)</f>
        <v>86179</v>
      </c>
      <c r="AF22" s="170">
        <f>Vertailu[[#This Row],[Suoritusrahoitus 2025, €]]-Vertailu[[#This Row],[Suoritusrahoitus 2024, €]]</f>
        <v>-24215</v>
      </c>
      <c r="AG22" s="172">
        <f>IFERROR(Vertailu[[#This Row],[Suoritusrahoituksen muutos, €]]/Vertailu[[#This Row],[Suoritusrahoitus 2024, €]],0)</f>
        <v>-0.21935068934905882</v>
      </c>
      <c r="AH22" s="170">
        <f>IFERROR(VLOOKUP(Vertailu[[#This Row],[Y-tunnus]],'Suoritepäät. 2024 oikaistu'!$AB:$AL,COLUMN('Suoritepäät. 2024 oikaistu'!I:I),FALSE),0)</f>
        <v>122549</v>
      </c>
      <c r="AI2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211738</v>
      </c>
      <c r="AJ22" s="170">
        <f>Vertailu[[#This Row],[Vaikuttavuusrahoitus 2025, €]]-Vertailu[[#This Row],[Vaikuttavuusrahoitus 2024, €]]</f>
        <v>89189</v>
      </c>
      <c r="AK22" s="172">
        <f>IFERROR(Vertailu[[#This Row],[Vaikuttavuusrahoituksen muutos, €]]/Vertailu[[#This Row],[Vaikuttavuusrahoitus 2024, €]],0)</f>
        <v>0.72778235644517708</v>
      </c>
    </row>
    <row r="23" spans="1:37" s="2" customFormat="1" ht="12.75" customHeight="1" x14ac:dyDescent="0.25">
      <c r="A23" s="4" t="s">
        <v>306</v>
      </c>
      <c r="B23" s="161" t="s">
        <v>494</v>
      </c>
      <c r="C23" s="161" t="s">
        <v>181</v>
      </c>
      <c r="D23" s="8" t="s">
        <v>326</v>
      </c>
      <c r="E2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0.62191436946033063</v>
      </c>
      <c r="F2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0.62264495559497479</v>
      </c>
      <c r="G2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0.24832914951006893</v>
      </c>
      <c r="H2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0.12902589489495633</v>
      </c>
      <c r="I2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7.5015853719121783E-2</v>
      </c>
      <c r="J2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3.8509195157090631E-3</v>
      </c>
      <c r="K2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1.492952766145223E-2</v>
      </c>
      <c r="L2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2.75189879336394E-2</v>
      </c>
      <c r="M2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7.7106060650338551E-3</v>
      </c>
      <c r="N2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1475721</v>
      </c>
      <c r="O23" s="170">
        <f>IFERROR(VLOOKUP(Vertailu[[#This Row],[Y-tunnus]],'1.2 Ohjaus-laskentataulu'!A:AQ,COLUMN('1.2 Ohjaus-laskentataulu'!AE:AE),FALSE),0)</f>
        <v>1367764</v>
      </c>
      <c r="P23" s="170">
        <f>IFERROR(Vertailu[[#This Row],[Rahoitus pl. hark. kor. 2025 ilman alv, €]]-Vertailu[[#This Row],[Rahoitus pl. hark. kor. 2024 ilman alv, €]],0)</f>
        <v>-107957</v>
      </c>
      <c r="Q23" s="172">
        <f>IFERROR(Vertailu[[#This Row],[Muutos, € 1]]/Vertailu[[#This Row],[Rahoitus pl. hark. kor. 2024 ilman alv, €]],0)</f>
        <v>-7.3155427075985227E-2</v>
      </c>
      <c r="R23" s="175">
        <f>IFERROR(VLOOKUP(Vertailu[[#This Row],[Y-tunnus]],'Suoritepäät. 2024 oikaistu'!$AB:$AL,COLUMN('Suoritepäät. 2024 oikaistu'!J:J),FALSE),0)</f>
        <v>1480721</v>
      </c>
      <c r="S23" s="176">
        <f>IFERROR(VLOOKUP(Vertailu[[#This Row],[Y-tunnus]],'1.2 Ohjaus-laskentataulu'!A:AQ,COLUMN('1.2 Ohjaus-laskentataulu'!AO:AO),FALSE),0)</f>
        <v>1368764</v>
      </c>
      <c r="T23" s="170">
        <f>IFERROR(Vertailu[[#This Row],[Rahoitus ml. hark. kor. 
2025 ilman alv, €]]-Vertailu[[#This Row],[Rahoitus ml. hark. kor. 
2024 ilman alv, €]],0)</f>
        <v>-111957</v>
      </c>
      <c r="U23" s="174">
        <f>IFERROR(Vertailu[[#This Row],[Muutos, € 2]]/Vertailu[[#This Row],[Rahoitus ml. hark. kor. 
2024 ilman alv, €]],0)</f>
        <v>-7.5609787394114086E-2</v>
      </c>
      <c r="V2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1548160</v>
      </c>
      <c r="W23" s="175">
        <f>IFERROR(VLOOKUP(Vertailu[[#This Row],[Y-tunnus]],'1.2 Ohjaus-laskentataulu'!A:AQ,COLUMN('1.2 Ohjaus-laskentataulu'!AQ:AQ),FALSE),0)</f>
        <v>1438664</v>
      </c>
      <c r="X23" s="177">
        <f>IFERROR(Vertailu[[#This Row],[Rahoitus ml. hark. kor. + alv 2025, €]]-Vertailu[[#This Row],[Rahoitus ml. hark. kor. + alv 2024, €]],0)</f>
        <v>-109496</v>
      </c>
      <c r="Y23" s="172">
        <f>IFERROR(Vertailu[[#This Row],[Muutos, € 3]]/Vertailu[[#This Row],[Rahoitus ml. hark. kor. + alv 2024, €]],0)</f>
        <v>-7.0726539892517565E-2</v>
      </c>
      <c r="Z23" s="170">
        <f>IFERROR(VLOOKUP(Vertailu[[#This Row],[Y-tunnus]],'Suoritepäät. 2024 oikaistu'!$B:$N,COLUMN('Suoritepäät. 2024 oikaistu'!H:H),FALSE),0)</f>
        <v>954950</v>
      </c>
      <c r="AA23" s="170">
        <f>IFERROR(VLOOKUP(Vertailu[[#This Row],[Y-tunnus]],'1.2 Ohjaus-laskentataulu'!A:AQ,COLUMN('1.2 Ohjaus-laskentataulu'!AL:AL),FALSE),0)</f>
        <v>852254</v>
      </c>
      <c r="AB23" s="170">
        <f>Vertailu[[#This Row],[Perusrahoitus 2025, €]]-Vertailu[[#This Row],[Perusrahoitus 2024, €]]</f>
        <v>-102696</v>
      </c>
      <c r="AC23" s="172">
        <f>IFERROR(Vertailu[[#This Row],[Perusrahoituksen muutos, €]]/Vertailu[[#This Row],[Perusrahoitus 2024, €]],0)</f>
        <v>-0.10754070893764071</v>
      </c>
      <c r="AD23" s="170">
        <f>IFERROR(VLOOKUP(Vertailu[[#This Row],[Y-tunnus]],'Suoritepäät. 2024 oikaistu'!$O:$Y,COLUMN('Suoritepäät. 2024 oikaistu'!D:D),FALSE),0)</f>
        <v>334921</v>
      </c>
      <c r="AE23" s="170">
        <f>IFERROR(VLOOKUP(Vertailu[[#This Row],[Y-tunnus]],'1.2 Ohjaus-laskentataulu'!A:AQ,COLUMN('1.2 Ohjaus-laskentataulu'!N:N),FALSE),0)</f>
        <v>339904</v>
      </c>
      <c r="AF23" s="170">
        <f>Vertailu[[#This Row],[Suoritusrahoitus 2025, €]]-Vertailu[[#This Row],[Suoritusrahoitus 2024, €]]</f>
        <v>4983</v>
      </c>
      <c r="AG23" s="172">
        <f>IFERROR(Vertailu[[#This Row],[Suoritusrahoituksen muutos, €]]/Vertailu[[#This Row],[Suoritusrahoitus 2024, €]],0)</f>
        <v>1.4878135440895017E-2</v>
      </c>
      <c r="AH23" s="170">
        <f>IFERROR(VLOOKUP(Vertailu[[#This Row],[Y-tunnus]],'Suoritepäät. 2024 oikaistu'!$AB:$AL,COLUMN('Suoritepäät. 2024 oikaistu'!I:I),FALSE),0)</f>
        <v>190850</v>
      </c>
      <c r="AI2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176606</v>
      </c>
      <c r="AJ23" s="170">
        <f>Vertailu[[#This Row],[Vaikuttavuusrahoitus 2025, €]]-Vertailu[[#This Row],[Vaikuttavuusrahoitus 2024, €]]</f>
        <v>-14244</v>
      </c>
      <c r="AK23" s="172">
        <f>IFERROR(Vertailu[[#This Row],[Vaikuttavuusrahoituksen muutos, €]]/Vertailu[[#This Row],[Vaikuttavuusrahoitus 2024, €]],0)</f>
        <v>-7.4634529735394292E-2</v>
      </c>
    </row>
    <row r="24" spans="1:37" s="2" customFormat="1" ht="12.75" customHeight="1" x14ac:dyDescent="0.25">
      <c r="A24" s="4" t="s">
        <v>305</v>
      </c>
      <c r="B24" s="161" t="s">
        <v>27</v>
      </c>
      <c r="C24" s="161" t="s">
        <v>188</v>
      </c>
      <c r="D24" s="8" t="s">
        <v>326</v>
      </c>
      <c r="E2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0.68371413416400295</v>
      </c>
      <c r="F2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0.68503854362637884</v>
      </c>
      <c r="G2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0.23168954252910556</v>
      </c>
      <c r="H2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8.3271913844515655E-2</v>
      </c>
      <c r="I2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5.7975362010771421E-2</v>
      </c>
      <c r="J2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2.716363807332858E-3</v>
      </c>
      <c r="K2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4.1993713028282099E-3</v>
      </c>
      <c r="L2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1.3305679663758925E-2</v>
      </c>
      <c r="M2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5.075137059824238E-3</v>
      </c>
      <c r="N2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3172583</v>
      </c>
      <c r="O24" s="170">
        <f>IFERROR(VLOOKUP(Vertailu[[#This Row],[Y-tunnus]],'1.2 Ohjaus-laskentataulu'!A:AQ,COLUMN('1.2 Ohjaus-laskentataulu'!AE:AE),FALSE),0)</f>
        <v>3016214</v>
      </c>
      <c r="P24" s="170">
        <f>IFERROR(Vertailu[[#This Row],[Rahoitus pl. hark. kor. 2025 ilman alv, €]]-Vertailu[[#This Row],[Rahoitus pl. hark. kor. 2024 ilman alv, €]],0)</f>
        <v>-156369</v>
      </c>
      <c r="Q24" s="172">
        <f>IFERROR(Vertailu[[#This Row],[Muutos, € 1]]/Vertailu[[#This Row],[Rahoitus pl. hark. kor. 2024 ilman alv, €]],0)</f>
        <v>-4.9287599410322756E-2</v>
      </c>
      <c r="R24" s="175">
        <f>IFERROR(VLOOKUP(Vertailu[[#This Row],[Y-tunnus]],'Suoritepäät. 2024 oikaistu'!$AB:$AL,COLUMN('Suoritepäät. 2024 oikaistu'!J:J),FALSE),0)</f>
        <v>3189288</v>
      </c>
      <c r="S24" s="176">
        <f>IFERROR(VLOOKUP(Vertailu[[#This Row],[Y-tunnus]],'1.2 Ohjaus-laskentataulu'!A:AQ,COLUMN('1.2 Ohjaus-laskentataulu'!AO:AO),FALSE),0)</f>
        <v>3020214</v>
      </c>
      <c r="T24" s="170">
        <f>IFERROR(Vertailu[[#This Row],[Rahoitus ml. hark. kor. 
2025 ilman alv, €]]-Vertailu[[#This Row],[Rahoitus ml. hark. kor. 
2024 ilman alv, €]],0)</f>
        <v>-169074</v>
      </c>
      <c r="U24" s="174">
        <f>IFERROR(Vertailu[[#This Row],[Muutos, € 2]]/Vertailu[[#This Row],[Rahoitus ml. hark. kor. 
2024 ilman alv, €]],0)</f>
        <v>-5.301308630641071E-2</v>
      </c>
      <c r="V2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3500977</v>
      </c>
      <c r="W24" s="175">
        <f>IFERROR(VLOOKUP(Vertailu[[#This Row],[Y-tunnus]],'1.2 Ohjaus-laskentataulu'!A:AQ,COLUMN('1.2 Ohjaus-laskentataulu'!AQ:AQ),FALSE),0)</f>
        <v>3301567</v>
      </c>
      <c r="X24" s="177">
        <f>IFERROR(Vertailu[[#This Row],[Rahoitus ml. hark. kor. + alv 2025, €]]-Vertailu[[#This Row],[Rahoitus ml. hark. kor. + alv 2024, €]],0)</f>
        <v>-199410</v>
      </c>
      <c r="Y24" s="172">
        <f>IFERROR(Vertailu[[#This Row],[Muutos, € 3]]/Vertailu[[#This Row],[Rahoitus ml. hark. kor. + alv 2024, €]],0)</f>
        <v>-5.6958386187627053E-2</v>
      </c>
      <c r="Z24" s="170">
        <f>IFERROR(VLOOKUP(Vertailu[[#This Row],[Y-tunnus]],'Suoritepäät. 2024 oikaistu'!$B:$N,COLUMN('Suoritepäät. 2024 oikaistu'!H:H),FALSE),0)</f>
        <v>2162965</v>
      </c>
      <c r="AA24" s="170">
        <f>IFERROR(VLOOKUP(Vertailu[[#This Row],[Y-tunnus]],'1.2 Ohjaus-laskentataulu'!A:AQ,COLUMN('1.2 Ohjaus-laskentataulu'!AL:AL),FALSE),0)</f>
        <v>2068963</v>
      </c>
      <c r="AB24" s="170">
        <f>Vertailu[[#This Row],[Perusrahoitus 2025, €]]-Vertailu[[#This Row],[Perusrahoitus 2024, €]]</f>
        <v>-94002</v>
      </c>
      <c r="AC24" s="172">
        <f>IFERROR(Vertailu[[#This Row],[Perusrahoituksen muutos, €]]/Vertailu[[#This Row],[Perusrahoitus 2024, €]],0)</f>
        <v>-4.3459787837528581E-2</v>
      </c>
      <c r="AD24" s="170">
        <f>IFERROR(VLOOKUP(Vertailu[[#This Row],[Y-tunnus]],'Suoritepäät. 2024 oikaistu'!$O:$Y,COLUMN('Suoritepäät. 2024 oikaistu'!D:D),FALSE),0)</f>
        <v>777916</v>
      </c>
      <c r="AE24" s="170">
        <f>IFERROR(VLOOKUP(Vertailu[[#This Row],[Y-tunnus]],'1.2 Ohjaus-laskentataulu'!A:AQ,COLUMN('1.2 Ohjaus-laskentataulu'!N:N),FALSE),0)</f>
        <v>699752</v>
      </c>
      <c r="AF24" s="170">
        <f>Vertailu[[#This Row],[Suoritusrahoitus 2025, €]]-Vertailu[[#This Row],[Suoritusrahoitus 2024, €]]</f>
        <v>-78164</v>
      </c>
      <c r="AG24" s="172">
        <f>IFERROR(Vertailu[[#This Row],[Suoritusrahoituksen muutos, €]]/Vertailu[[#This Row],[Suoritusrahoitus 2024, €]],0)</f>
        <v>-0.10047871492551895</v>
      </c>
      <c r="AH24" s="170">
        <f>IFERROR(VLOOKUP(Vertailu[[#This Row],[Y-tunnus]],'Suoritepäät. 2024 oikaistu'!$AB:$AL,COLUMN('Suoritepäät. 2024 oikaistu'!I:I),FALSE),0)</f>
        <v>248407</v>
      </c>
      <c r="AI2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251499</v>
      </c>
      <c r="AJ24" s="170">
        <f>Vertailu[[#This Row],[Vaikuttavuusrahoitus 2025, €]]-Vertailu[[#This Row],[Vaikuttavuusrahoitus 2024, €]]</f>
        <v>3092</v>
      </c>
      <c r="AK24" s="172">
        <f>IFERROR(Vertailu[[#This Row],[Vaikuttavuusrahoituksen muutos, €]]/Vertailu[[#This Row],[Vaikuttavuusrahoitus 2024, €]],0)</f>
        <v>1.2447314286634434E-2</v>
      </c>
    </row>
    <row r="25" spans="1:37" s="2" customFormat="1" ht="12.75" customHeight="1" x14ac:dyDescent="0.25">
      <c r="A25" s="4" t="s">
        <v>304</v>
      </c>
      <c r="B25" s="161" t="s">
        <v>143</v>
      </c>
      <c r="C25" s="161" t="s">
        <v>174</v>
      </c>
      <c r="D25" s="8" t="s">
        <v>326</v>
      </c>
      <c r="E2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0.59143157589382844</v>
      </c>
      <c r="F2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0.59143157589382844</v>
      </c>
      <c r="G2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0.22728261657843207</v>
      </c>
      <c r="H2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0.18128580752773951</v>
      </c>
      <c r="I2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8.8657625643628973E-2</v>
      </c>
      <c r="J2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7.7734063383856694E-3</v>
      </c>
      <c r="K2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4.3798498803394009E-2</v>
      </c>
      <c r="L2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3.7285154833562983E-2</v>
      </c>
      <c r="M2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3.7711219087678584E-3</v>
      </c>
      <c r="N2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243839</v>
      </c>
      <c r="O25" s="170">
        <f>IFERROR(VLOOKUP(Vertailu[[#This Row],[Y-tunnus]],'1.2 Ohjaus-laskentataulu'!A:AQ,COLUMN('1.2 Ohjaus-laskentataulu'!AE:AE),FALSE),0)</f>
        <v>220624</v>
      </c>
      <c r="P25" s="170">
        <f>IFERROR(Vertailu[[#This Row],[Rahoitus pl. hark. kor. 2025 ilman alv, €]]-Vertailu[[#This Row],[Rahoitus pl. hark. kor. 2024 ilman alv, €]],0)</f>
        <v>-23215</v>
      </c>
      <c r="Q25" s="172">
        <f>IFERROR(Vertailu[[#This Row],[Muutos, € 1]]/Vertailu[[#This Row],[Rahoitus pl. hark. kor. 2024 ilman alv, €]],0)</f>
        <v>-9.5206263149045067E-2</v>
      </c>
      <c r="R25" s="175">
        <f>IFERROR(VLOOKUP(Vertailu[[#This Row],[Y-tunnus]],'Suoritepäät. 2024 oikaistu'!$AB:$AL,COLUMN('Suoritepäät. 2024 oikaistu'!J:J),FALSE),0)</f>
        <v>243839</v>
      </c>
      <c r="S25" s="176">
        <f>IFERROR(VLOOKUP(Vertailu[[#This Row],[Y-tunnus]],'1.2 Ohjaus-laskentataulu'!A:AQ,COLUMN('1.2 Ohjaus-laskentataulu'!AO:AO),FALSE),0)</f>
        <v>220624</v>
      </c>
      <c r="T25" s="170">
        <f>IFERROR(Vertailu[[#This Row],[Rahoitus ml. hark. kor. 
2025 ilman alv, €]]-Vertailu[[#This Row],[Rahoitus ml. hark. kor. 
2024 ilman alv, €]],0)</f>
        <v>-23215</v>
      </c>
      <c r="U25" s="174">
        <f>IFERROR(Vertailu[[#This Row],[Muutos, € 2]]/Vertailu[[#This Row],[Rahoitus ml. hark. kor. 
2024 ilman alv, €]],0)</f>
        <v>-9.5206263149045067E-2</v>
      </c>
      <c r="V2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248289</v>
      </c>
      <c r="W25" s="175">
        <f>IFERROR(VLOOKUP(Vertailu[[#This Row],[Y-tunnus]],'1.2 Ohjaus-laskentataulu'!A:AQ,COLUMN('1.2 Ohjaus-laskentataulu'!AQ:AQ),FALSE),0)</f>
        <v>238761</v>
      </c>
      <c r="X25" s="177">
        <f>IFERROR(Vertailu[[#This Row],[Rahoitus ml. hark. kor. + alv 2025, €]]-Vertailu[[#This Row],[Rahoitus ml. hark. kor. + alv 2024, €]],0)</f>
        <v>-9528</v>
      </c>
      <c r="Y25" s="172">
        <f>IFERROR(Vertailu[[#This Row],[Muutos, € 3]]/Vertailu[[#This Row],[Rahoitus ml. hark. kor. + alv 2024, €]],0)</f>
        <v>-3.8374636008844533E-2</v>
      </c>
      <c r="Z25" s="170">
        <f>IFERROR(VLOOKUP(Vertailu[[#This Row],[Y-tunnus]],'Suoritepäät. 2024 oikaistu'!$B:$N,COLUMN('Suoritepäät. 2024 oikaistu'!H:H),FALSE),0)</f>
        <v>148771</v>
      </c>
      <c r="AA25" s="170">
        <f>IFERROR(VLOOKUP(Vertailu[[#This Row],[Y-tunnus]],'1.2 Ohjaus-laskentataulu'!A:AQ,COLUMN('1.2 Ohjaus-laskentataulu'!AL:AL),FALSE),0)</f>
        <v>130484</v>
      </c>
      <c r="AB25" s="170">
        <f>Vertailu[[#This Row],[Perusrahoitus 2025, €]]-Vertailu[[#This Row],[Perusrahoitus 2024, €]]</f>
        <v>-18287</v>
      </c>
      <c r="AC25" s="172">
        <f>IFERROR(Vertailu[[#This Row],[Perusrahoituksen muutos, €]]/Vertailu[[#This Row],[Perusrahoitus 2024, €]],0)</f>
        <v>-0.12292046164911172</v>
      </c>
      <c r="AD25" s="170">
        <f>IFERROR(VLOOKUP(Vertailu[[#This Row],[Y-tunnus]],'Suoritepäät. 2024 oikaistu'!$O:$Y,COLUMN('Suoritepäät. 2024 oikaistu'!D:D),FALSE),0)</f>
        <v>55210</v>
      </c>
      <c r="AE25" s="170">
        <f>IFERROR(VLOOKUP(Vertailu[[#This Row],[Y-tunnus]],'1.2 Ohjaus-laskentataulu'!A:AQ,COLUMN('1.2 Ohjaus-laskentataulu'!N:N),FALSE),0)</f>
        <v>50144</v>
      </c>
      <c r="AF25" s="170">
        <f>Vertailu[[#This Row],[Suoritusrahoitus 2025, €]]-Vertailu[[#This Row],[Suoritusrahoitus 2024, €]]</f>
        <v>-5066</v>
      </c>
      <c r="AG25" s="172">
        <f>IFERROR(Vertailu[[#This Row],[Suoritusrahoituksen muutos, €]]/Vertailu[[#This Row],[Suoritusrahoitus 2024, €]],0)</f>
        <v>-9.1758739358811806E-2</v>
      </c>
      <c r="AH25" s="170">
        <f>IFERROR(VLOOKUP(Vertailu[[#This Row],[Y-tunnus]],'Suoritepäät. 2024 oikaistu'!$AB:$AL,COLUMN('Suoritepäät. 2024 oikaistu'!I:I),FALSE),0)</f>
        <v>39858</v>
      </c>
      <c r="AI2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39996</v>
      </c>
      <c r="AJ25" s="170">
        <f>Vertailu[[#This Row],[Vaikuttavuusrahoitus 2025, €]]-Vertailu[[#This Row],[Vaikuttavuusrahoitus 2024, €]]</f>
        <v>138</v>
      </c>
      <c r="AK25" s="172">
        <f>IFERROR(Vertailu[[#This Row],[Vaikuttavuusrahoituksen muutos, €]]/Vertailu[[#This Row],[Vaikuttavuusrahoitus 2024, €]],0)</f>
        <v>3.4622911335240101E-3</v>
      </c>
    </row>
    <row r="26" spans="1:37" s="2" customFormat="1" ht="12.75" customHeight="1" x14ac:dyDescent="0.25">
      <c r="A26" s="4" t="s">
        <v>303</v>
      </c>
      <c r="B26" s="161" t="s">
        <v>28</v>
      </c>
      <c r="C26" s="161" t="s">
        <v>174</v>
      </c>
      <c r="D26" s="8" t="s">
        <v>327</v>
      </c>
      <c r="E2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0.73463820074905262</v>
      </c>
      <c r="F2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0.7358227072899417</v>
      </c>
      <c r="G2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0.17731288582669694</v>
      </c>
      <c r="H2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8.6864406883361334E-2</v>
      </c>
      <c r="I2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6.7232571682248818E-2</v>
      </c>
      <c r="J2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2.9570961060541765E-3</v>
      </c>
      <c r="K2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6.8510585714696443E-3</v>
      </c>
      <c r="L2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8.2634700444120454E-3</v>
      </c>
      <c r="M2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1.5602104791766541E-3</v>
      </c>
      <c r="N2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102193603</v>
      </c>
      <c r="O26" s="170">
        <f>IFERROR(VLOOKUP(Vertailu[[#This Row],[Y-tunnus]],'1.2 Ohjaus-laskentataulu'!A:AQ,COLUMN('1.2 Ohjaus-laskentataulu'!AE:AE),FALSE),0)</f>
        <v>102031243</v>
      </c>
      <c r="P26" s="170">
        <f>IFERROR(Vertailu[[#This Row],[Rahoitus pl. hark. kor. 2025 ilman alv, €]]-Vertailu[[#This Row],[Rahoitus pl. hark. kor. 2024 ilman alv, €]],0)</f>
        <v>-162360</v>
      </c>
      <c r="Q26" s="172">
        <f>IFERROR(Vertailu[[#This Row],[Muutos, € 1]]/Vertailu[[#This Row],[Rahoitus pl. hark. kor. 2024 ilman alv, €]],0)</f>
        <v>-1.5887491509620226E-3</v>
      </c>
      <c r="R26" s="175">
        <f>IFERROR(VLOOKUP(Vertailu[[#This Row],[Y-tunnus]],'Suoritepäät. 2024 oikaistu'!$AB:$AL,COLUMN('Suoritepäät. 2024 oikaistu'!J:J),FALSE),0)</f>
        <v>102422427</v>
      </c>
      <c r="S26" s="176">
        <f>IFERROR(VLOOKUP(Vertailu[[#This Row],[Y-tunnus]],'1.2 Ohjaus-laskentataulu'!A:AQ,COLUMN('1.2 Ohjaus-laskentataulu'!AO:AO),FALSE),0)</f>
        <v>102152243</v>
      </c>
      <c r="T26" s="170">
        <f>IFERROR(Vertailu[[#This Row],[Rahoitus ml. hark. kor. 
2025 ilman alv, €]]-Vertailu[[#This Row],[Rahoitus ml. hark. kor. 
2024 ilman alv, €]],0)</f>
        <v>-270184</v>
      </c>
      <c r="U26" s="174">
        <f>IFERROR(Vertailu[[#This Row],[Muutos, € 2]]/Vertailu[[#This Row],[Rahoitus ml. hark. kor. 
2024 ilman alv, €]],0)</f>
        <v>-2.6379378805386051E-3</v>
      </c>
      <c r="V2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102422427</v>
      </c>
      <c r="W26" s="175">
        <f>IFERROR(VLOOKUP(Vertailu[[#This Row],[Y-tunnus]],'1.2 Ohjaus-laskentataulu'!A:AQ,COLUMN('1.2 Ohjaus-laskentataulu'!AQ:AQ),FALSE),0)</f>
        <v>102152243</v>
      </c>
      <c r="X26" s="177">
        <f>IFERROR(Vertailu[[#This Row],[Rahoitus ml. hark. kor. + alv 2025, €]]-Vertailu[[#This Row],[Rahoitus ml. hark. kor. + alv 2024, €]],0)</f>
        <v>-270184</v>
      </c>
      <c r="Y26" s="172">
        <f>IFERROR(Vertailu[[#This Row],[Muutos, € 3]]/Vertailu[[#This Row],[Rahoitus ml. hark. kor. + alv 2024, €]],0)</f>
        <v>-2.6379378805386051E-3</v>
      </c>
      <c r="Z26" s="170">
        <f>IFERROR(VLOOKUP(Vertailu[[#This Row],[Y-tunnus]],'Suoritepäät. 2024 oikaistu'!$B:$N,COLUMN('Suoritepäät. 2024 oikaistu'!H:H),FALSE),0)</f>
        <v>75143197</v>
      </c>
      <c r="AA26" s="170">
        <f>IFERROR(VLOOKUP(Vertailu[[#This Row],[Y-tunnus]],'1.2 Ohjaus-laskentataulu'!A:AQ,COLUMN('1.2 Ohjaus-laskentataulu'!AL:AL),FALSE),0)</f>
        <v>75165940</v>
      </c>
      <c r="AB26" s="170">
        <f>Vertailu[[#This Row],[Perusrahoitus 2025, €]]-Vertailu[[#This Row],[Perusrahoitus 2024, €]]</f>
        <v>22743</v>
      </c>
      <c r="AC26" s="172">
        <f>IFERROR(Vertailu[[#This Row],[Perusrahoituksen muutos, €]]/Vertailu[[#This Row],[Perusrahoitus 2024, €]],0)</f>
        <v>3.0266212921443839E-4</v>
      </c>
      <c r="AD26" s="170">
        <f>IFERROR(VLOOKUP(Vertailu[[#This Row],[Y-tunnus]],'Suoritepäät. 2024 oikaistu'!$O:$Y,COLUMN('Suoritepäät. 2024 oikaistu'!D:D),FALSE),0)</f>
        <v>18104606</v>
      </c>
      <c r="AE26" s="170">
        <f>IFERROR(VLOOKUP(Vertailu[[#This Row],[Y-tunnus]],'1.2 Ohjaus-laskentataulu'!A:AQ,COLUMN('1.2 Ohjaus-laskentataulu'!N:N),FALSE),0)</f>
        <v>18112909</v>
      </c>
      <c r="AF26" s="170">
        <f>Vertailu[[#This Row],[Suoritusrahoitus 2025, €]]-Vertailu[[#This Row],[Suoritusrahoitus 2024, €]]</f>
        <v>8303</v>
      </c>
      <c r="AG26" s="172">
        <f>IFERROR(Vertailu[[#This Row],[Suoritusrahoituksen muutos, €]]/Vertailu[[#This Row],[Suoritusrahoitus 2024, €]],0)</f>
        <v>4.5861257626926539E-4</v>
      </c>
      <c r="AH26" s="170">
        <f>IFERROR(VLOOKUP(Vertailu[[#This Row],[Y-tunnus]],'Suoritepäät. 2024 oikaistu'!$AB:$AL,COLUMN('Suoritepäät. 2024 oikaistu'!I:I),FALSE),0)</f>
        <v>9174624</v>
      </c>
      <c r="AI2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8873394</v>
      </c>
      <c r="AJ26" s="170">
        <f>Vertailu[[#This Row],[Vaikuttavuusrahoitus 2025, €]]-Vertailu[[#This Row],[Vaikuttavuusrahoitus 2024, €]]</f>
        <v>-301230</v>
      </c>
      <c r="AK26" s="172">
        <f>IFERROR(Vertailu[[#This Row],[Vaikuttavuusrahoituksen muutos, €]]/Vertailu[[#This Row],[Vaikuttavuusrahoitus 2024, €]],0)</f>
        <v>-3.2832953154265501E-2</v>
      </c>
    </row>
    <row r="27" spans="1:37" s="2" customFormat="1" ht="12.75" customHeight="1" x14ac:dyDescent="0.25">
      <c r="A27" s="4" t="s">
        <v>300</v>
      </c>
      <c r="B27" s="161" t="s">
        <v>29</v>
      </c>
      <c r="C27" s="161" t="s">
        <v>174</v>
      </c>
      <c r="D27" s="8" t="s">
        <v>326</v>
      </c>
      <c r="E2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0.6414651553955989</v>
      </c>
      <c r="F2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0.6414651553955989</v>
      </c>
      <c r="G2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0.24960778468521594</v>
      </c>
      <c r="H2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0.10892705991918515</v>
      </c>
      <c r="I2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9.3039347736683722E-2</v>
      </c>
      <c r="J2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3.4031886397907604E-3</v>
      </c>
      <c r="K2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1.106689093476714E-2</v>
      </c>
      <c r="L2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9.6503463027314718E-4</v>
      </c>
      <c r="M2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4.5259797767038248E-4</v>
      </c>
      <c r="N2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1005743</v>
      </c>
      <c r="O27" s="170">
        <f>IFERROR(VLOOKUP(Vertailu[[#This Row],[Y-tunnus]],'1.2 Ohjaus-laskentataulu'!A:AQ,COLUMN('1.2 Ohjaus-laskentataulu'!AE:AE),FALSE),0)</f>
        <v>919138</v>
      </c>
      <c r="P27" s="170">
        <f>IFERROR(Vertailu[[#This Row],[Rahoitus pl. hark. kor. 2025 ilman alv, €]]-Vertailu[[#This Row],[Rahoitus pl. hark. kor. 2024 ilman alv, €]],0)</f>
        <v>-86605</v>
      </c>
      <c r="Q27" s="172">
        <f>IFERROR(Vertailu[[#This Row],[Muutos, € 1]]/Vertailu[[#This Row],[Rahoitus pl. hark. kor. 2024 ilman alv, €]],0)</f>
        <v>-8.6110467584661288E-2</v>
      </c>
      <c r="R27" s="175">
        <f>IFERROR(VLOOKUP(Vertailu[[#This Row],[Y-tunnus]],'Suoritepäät. 2024 oikaistu'!$AB:$AL,COLUMN('Suoritepäät. 2024 oikaistu'!J:J),FALSE),0)</f>
        <v>1125743</v>
      </c>
      <c r="S27" s="176">
        <f>IFERROR(VLOOKUP(Vertailu[[#This Row],[Y-tunnus]],'1.2 Ohjaus-laskentataulu'!A:AQ,COLUMN('1.2 Ohjaus-laskentataulu'!AO:AO),FALSE),0)</f>
        <v>919138</v>
      </c>
      <c r="T27" s="170">
        <f>IFERROR(Vertailu[[#This Row],[Rahoitus ml. hark. kor. 
2025 ilman alv, €]]-Vertailu[[#This Row],[Rahoitus ml. hark. kor. 
2024 ilman alv, €]],0)</f>
        <v>-206605</v>
      </c>
      <c r="U27" s="174">
        <f>IFERROR(Vertailu[[#This Row],[Muutos, € 2]]/Vertailu[[#This Row],[Rahoitus ml. hark. kor. 
2024 ilman alv, €]],0)</f>
        <v>-0.18352767905285663</v>
      </c>
      <c r="V2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1153307</v>
      </c>
      <c r="W27" s="175">
        <f>IFERROR(VLOOKUP(Vertailu[[#This Row],[Y-tunnus]],'1.2 Ohjaus-laskentataulu'!A:AQ,COLUMN('1.2 Ohjaus-laskentataulu'!AQ:AQ),FALSE),0)</f>
        <v>945028</v>
      </c>
      <c r="X27" s="177">
        <f>IFERROR(Vertailu[[#This Row],[Rahoitus ml. hark. kor. + alv 2025, €]]-Vertailu[[#This Row],[Rahoitus ml. hark. kor. + alv 2024, €]],0)</f>
        <v>-208279</v>
      </c>
      <c r="Y27" s="172">
        <f>IFERROR(Vertailu[[#This Row],[Muutos, € 3]]/Vertailu[[#This Row],[Rahoitus ml. hark. kor. + alv 2024, €]],0)</f>
        <v>-0.18059285168649805</v>
      </c>
      <c r="Z27" s="170">
        <f>IFERROR(VLOOKUP(Vertailu[[#This Row],[Y-tunnus]],'Suoritepäät. 2024 oikaistu'!$B:$N,COLUMN('Suoritepäät. 2024 oikaistu'!H:H),FALSE),0)</f>
        <v>734875</v>
      </c>
      <c r="AA27" s="170">
        <f>IFERROR(VLOOKUP(Vertailu[[#This Row],[Y-tunnus]],'1.2 Ohjaus-laskentataulu'!A:AQ,COLUMN('1.2 Ohjaus-laskentataulu'!AL:AL),FALSE),0)</f>
        <v>589595</v>
      </c>
      <c r="AB27" s="170">
        <f>Vertailu[[#This Row],[Perusrahoitus 2025, €]]-Vertailu[[#This Row],[Perusrahoitus 2024, €]]</f>
        <v>-145280</v>
      </c>
      <c r="AC27" s="172">
        <f>IFERROR(Vertailu[[#This Row],[Perusrahoituksen muutos, €]]/Vertailu[[#This Row],[Perusrahoitus 2024, €]],0)</f>
        <v>-0.19769348528661337</v>
      </c>
      <c r="AD27" s="170">
        <f>IFERROR(VLOOKUP(Vertailu[[#This Row],[Y-tunnus]],'Suoritepäät. 2024 oikaistu'!$O:$Y,COLUMN('Suoritepäät. 2024 oikaistu'!D:D),FALSE),0)</f>
        <v>281581</v>
      </c>
      <c r="AE27" s="170">
        <f>IFERROR(VLOOKUP(Vertailu[[#This Row],[Y-tunnus]],'1.2 Ohjaus-laskentataulu'!A:AQ,COLUMN('1.2 Ohjaus-laskentataulu'!N:N),FALSE),0)</f>
        <v>229424</v>
      </c>
      <c r="AF27" s="170">
        <f>Vertailu[[#This Row],[Suoritusrahoitus 2025, €]]-Vertailu[[#This Row],[Suoritusrahoitus 2024, €]]</f>
        <v>-52157</v>
      </c>
      <c r="AG27" s="172">
        <f>IFERROR(Vertailu[[#This Row],[Suoritusrahoituksen muutos, €]]/Vertailu[[#This Row],[Suoritusrahoitus 2024, €]],0)</f>
        <v>-0.18522911702138994</v>
      </c>
      <c r="AH27" s="170">
        <f>IFERROR(VLOOKUP(Vertailu[[#This Row],[Y-tunnus]],'Suoritepäät. 2024 oikaistu'!$AB:$AL,COLUMN('Suoritepäät. 2024 oikaistu'!I:I),FALSE),0)</f>
        <v>109287</v>
      </c>
      <c r="AI2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100119</v>
      </c>
      <c r="AJ27" s="170">
        <f>Vertailu[[#This Row],[Vaikuttavuusrahoitus 2025, €]]-Vertailu[[#This Row],[Vaikuttavuusrahoitus 2024, €]]</f>
        <v>-9168</v>
      </c>
      <c r="AK27" s="172">
        <f>IFERROR(Vertailu[[#This Row],[Vaikuttavuusrahoituksen muutos, €]]/Vertailu[[#This Row],[Vaikuttavuusrahoitus 2024, €]],0)</f>
        <v>-8.3889209146559063E-2</v>
      </c>
    </row>
    <row r="28" spans="1:37" s="2" customFormat="1" ht="12.75" customHeight="1" x14ac:dyDescent="0.25">
      <c r="A28" s="4" t="s">
        <v>302</v>
      </c>
      <c r="B28" s="161" t="s">
        <v>30</v>
      </c>
      <c r="C28" s="161" t="s">
        <v>174</v>
      </c>
      <c r="D28" s="8" t="s">
        <v>326</v>
      </c>
      <c r="E2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0.6776282919504415</v>
      </c>
      <c r="F2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0.67901717379105175</v>
      </c>
      <c r="G2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0.20683367258552909</v>
      </c>
      <c r="H2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0.11414915362341911</v>
      </c>
      <c r="I2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8.1469885703037301E-2</v>
      </c>
      <c r="J2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4.0117317780705708E-3</v>
      </c>
      <c r="K2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1.2484284935519825E-2</v>
      </c>
      <c r="L2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1.3209708604577061E-2</v>
      </c>
      <c r="M2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2.9735426022143583E-3</v>
      </c>
      <c r="N2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18990835</v>
      </c>
      <c r="O28" s="170">
        <f>IFERROR(VLOOKUP(Vertailu[[#This Row],[Y-tunnus]],'1.2 Ohjaus-laskentataulu'!A:AQ,COLUMN('1.2 Ohjaus-laskentataulu'!AE:AE),FALSE),0)</f>
        <v>18694095</v>
      </c>
      <c r="P28" s="170">
        <f>IFERROR(Vertailu[[#This Row],[Rahoitus pl. hark. kor. 2025 ilman alv, €]]-Vertailu[[#This Row],[Rahoitus pl. hark. kor. 2024 ilman alv, €]],0)</f>
        <v>-296740</v>
      </c>
      <c r="Q28" s="172">
        <f>IFERROR(Vertailu[[#This Row],[Muutos, € 1]]/Vertailu[[#This Row],[Rahoitus pl. hark. kor. 2024 ilman alv, €]],0)</f>
        <v>-1.5625431951780951E-2</v>
      </c>
      <c r="R28" s="175">
        <f>IFERROR(VLOOKUP(Vertailu[[#This Row],[Y-tunnus]],'Suoritepäät. 2024 oikaistu'!$AB:$AL,COLUMN('Suoritepäät. 2024 oikaistu'!J:J),FALSE),0)</f>
        <v>18990835</v>
      </c>
      <c r="S28" s="176">
        <f>IFERROR(VLOOKUP(Vertailu[[#This Row],[Y-tunnus]],'1.2 Ohjaus-laskentataulu'!A:AQ,COLUMN('1.2 Ohjaus-laskentataulu'!AO:AO),FALSE),0)</f>
        <v>18720095</v>
      </c>
      <c r="T28" s="170">
        <f>IFERROR(Vertailu[[#This Row],[Rahoitus ml. hark. kor. 
2025 ilman alv, €]]-Vertailu[[#This Row],[Rahoitus ml. hark. kor. 
2024 ilman alv, €]],0)</f>
        <v>-270740</v>
      </c>
      <c r="U28" s="174">
        <f>IFERROR(Vertailu[[#This Row],[Muutos, € 2]]/Vertailu[[#This Row],[Rahoitus ml. hark. kor. 
2024 ilman alv, €]],0)</f>
        <v>-1.4256350497489974E-2</v>
      </c>
      <c r="V2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20396016</v>
      </c>
      <c r="W28" s="175">
        <f>IFERROR(VLOOKUP(Vertailu[[#This Row],[Y-tunnus]],'1.2 Ohjaus-laskentataulu'!A:AQ,COLUMN('1.2 Ohjaus-laskentataulu'!AQ:AQ),FALSE),0)</f>
        <v>20122216</v>
      </c>
      <c r="X28" s="177">
        <f>IFERROR(Vertailu[[#This Row],[Rahoitus ml. hark. kor. + alv 2025, €]]-Vertailu[[#This Row],[Rahoitus ml. hark. kor. + alv 2024, €]],0)</f>
        <v>-273800</v>
      </c>
      <c r="Y28" s="172">
        <f>IFERROR(Vertailu[[#This Row],[Muutos, € 3]]/Vertailu[[#This Row],[Rahoitus ml. hark. kor. + alv 2024, €]],0)</f>
        <v>-1.3424190292849348E-2</v>
      </c>
      <c r="Z28" s="170">
        <f>IFERROR(VLOOKUP(Vertailu[[#This Row],[Y-tunnus]],'Suoritepäät. 2024 oikaistu'!$B:$N,COLUMN('Suoritepäät. 2024 oikaistu'!H:H),FALSE),0)</f>
        <v>13015413</v>
      </c>
      <c r="AA28" s="170">
        <f>IFERROR(VLOOKUP(Vertailu[[#This Row],[Y-tunnus]],'1.2 Ohjaus-laskentataulu'!A:AQ,COLUMN('1.2 Ohjaus-laskentataulu'!AL:AL),FALSE),0)</f>
        <v>12711266</v>
      </c>
      <c r="AB28" s="170">
        <f>Vertailu[[#This Row],[Perusrahoitus 2025, €]]-Vertailu[[#This Row],[Perusrahoitus 2024, €]]</f>
        <v>-304147</v>
      </c>
      <c r="AC28" s="172">
        <f>IFERROR(Vertailu[[#This Row],[Perusrahoituksen muutos, €]]/Vertailu[[#This Row],[Perusrahoitus 2024, €]],0)</f>
        <v>-2.3368217358911314E-2</v>
      </c>
      <c r="AD28" s="170">
        <f>IFERROR(VLOOKUP(Vertailu[[#This Row],[Y-tunnus]],'Suoritepäät. 2024 oikaistu'!$O:$Y,COLUMN('Suoritepäät. 2024 oikaistu'!D:D),FALSE),0)</f>
        <v>3877332</v>
      </c>
      <c r="AE28" s="170">
        <f>IFERROR(VLOOKUP(Vertailu[[#This Row],[Y-tunnus]],'1.2 Ohjaus-laskentataulu'!A:AQ,COLUMN('1.2 Ohjaus-laskentataulu'!N:N),FALSE),0)</f>
        <v>3871946</v>
      </c>
      <c r="AF28" s="170">
        <f>Vertailu[[#This Row],[Suoritusrahoitus 2025, €]]-Vertailu[[#This Row],[Suoritusrahoitus 2024, €]]</f>
        <v>-5386</v>
      </c>
      <c r="AG28" s="172">
        <f>IFERROR(Vertailu[[#This Row],[Suoritusrahoituksen muutos, €]]/Vertailu[[#This Row],[Suoritusrahoitus 2024, €]],0)</f>
        <v>-1.3890995148210161E-3</v>
      </c>
      <c r="AH28" s="170">
        <f>IFERROR(VLOOKUP(Vertailu[[#This Row],[Y-tunnus]],'Suoritepäät. 2024 oikaistu'!$AB:$AL,COLUMN('Suoritepäät. 2024 oikaistu'!I:I),FALSE),0)</f>
        <v>2098090</v>
      </c>
      <c r="AI2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2136883</v>
      </c>
      <c r="AJ28" s="170">
        <f>Vertailu[[#This Row],[Vaikuttavuusrahoitus 2025, €]]-Vertailu[[#This Row],[Vaikuttavuusrahoitus 2024, €]]</f>
        <v>38793</v>
      </c>
      <c r="AK28" s="172">
        <f>IFERROR(Vertailu[[#This Row],[Vaikuttavuusrahoituksen muutos, €]]/Vertailu[[#This Row],[Vaikuttavuusrahoitus 2024, €]],0)</f>
        <v>1.8489673941537305E-2</v>
      </c>
    </row>
    <row r="29" spans="1:37" s="2" customFormat="1" ht="12.75" customHeight="1" x14ac:dyDescent="0.25">
      <c r="A29" s="4" t="s">
        <v>301</v>
      </c>
      <c r="B29" s="161" t="s">
        <v>31</v>
      </c>
      <c r="C29" s="161" t="s">
        <v>256</v>
      </c>
      <c r="D29" s="8" t="s">
        <v>326</v>
      </c>
      <c r="E2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0.72850184881593227</v>
      </c>
      <c r="F2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0.7297679876546399</v>
      </c>
      <c r="G2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0.16700801769758222</v>
      </c>
      <c r="H2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0.1032239946477779</v>
      </c>
      <c r="I2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7.6410466004931871E-2</v>
      </c>
      <c r="J2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2.0382303025514724E-3</v>
      </c>
      <c r="K2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6.3008133169444322E-3</v>
      </c>
      <c r="L2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1.3085798125810646E-2</v>
      </c>
      <c r="M2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5.3886868975394873E-3</v>
      </c>
      <c r="N2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4639856</v>
      </c>
      <c r="O29" s="170">
        <f>IFERROR(VLOOKUP(Vertailu[[#This Row],[Y-tunnus]],'1.2 Ohjaus-laskentataulu'!A:AQ,COLUMN('1.2 Ohjaus-laskentataulu'!AE:AE),FALSE),0)</f>
        <v>3944014</v>
      </c>
      <c r="P29" s="170">
        <f>IFERROR(Vertailu[[#This Row],[Rahoitus pl. hark. kor. 2025 ilman alv, €]]-Vertailu[[#This Row],[Rahoitus pl. hark. kor. 2024 ilman alv, €]],0)</f>
        <v>-695842</v>
      </c>
      <c r="Q29" s="172">
        <f>IFERROR(Vertailu[[#This Row],[Muutos, € 1]]/Vertailu[[#This Row],[Rahoitus pl. hark. kor. 2024 ilman alv, €]],0)</f>
        <v>-0.14997060253594077</v>
      </c>
      <c r="R29" s="175">
        <f>IFERROR(VLOOKUP(Vertailu[[#This Row],[Y-tunnus]],'Suoritepäät. 2024 oikaistu'!$AB:$AL,COLUMN('Suoritepäät. 2024 oikaistu'!J:J),FALSE),0)</f>
        <v>4652027</v>
      </c>
      <c r="S29" s="176">
        <f>IFERROR(VLOOKUP(Vertailu[[#This Row],[Y-tunnus]],'1.2 Ohjaus-laskentataulu'!A:AQ,COLUMN('1.2 Ohjaus-laskentataulu'!AO:AO),FALSE),0)</f>
        <v>3949014</v>
      </c>
      <c r="T29" s="170">
        <f>IFERROR(Vertailu[[#This Row],[Rahoitus ml. hark. kor. 
2025 ilman alv, €]]-Vertailu[[#This Row],[Rahoitus ml. hark. kor. 
2024 ilman alv, €]],0)</f>
        <v>-703013</v>
      </c>
      <c r="U29" s="174">
        <f>IFERROR(Vertailu[[#This Row],[Muutos, € 2]]/Vertailu[[#This Row],[Rahoitus ml. hark. kor. 
2024 ilman alv, €]],0)</f>
        <v>-0.15111971620113124</v>
      </c>
      <c r="V2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5021364</v>
      </c>
      <c r="W29" s="175">
        <f>IFERROR(VLOOKUP(Vertailu[[#This Row],[Y-tunnus]],'1.2 Ohjaus-laskentataulu'!A:AQ,COLUMN('1.2 Ohjaus-laskentataulu'!AQ:AQ),FALSE),0)</f>
        <v>4312380</v>
      </c>
      <c r="X29" s="177">
        <f>IFERROR(Vertailu[[#This Row],[Rahoitus ml. hark. kor. + alv 2025, €]]-Vertailu[[#This Row],[Rahoitus ml. hark. kor. + alv 2024, €]],0)</f>
        <v>-708984</v>
      </c>
      <c r="Y29" s="172">
        <f>IFERROR(Vertailu[[#This Row],[Muutos, € 3]]/Vertailu[[#This Row],[Rahoitus ml. hark. kor. + alv 2024, €]],0)</f>
        <v>-0.14119350837740502</v>
      </c>
      <c r="Z29" s="170">
        <f>IFERROR(VLOOKUP(Vertailu[[#This Row],[Y-tunnus]],'Suoritepäät. 2024 oikaistu'!$B:$N,COLUMN('Suoritepäät. 2024 oikaistu'!H:H),FALSE),0)</f>
        <v>3209382</v>
      </c>
      <c r="AA29" s="170">
        <f>IFERROR(VLOOKUP(Vertailu[[#This Row],[Y-tunnus]],'1.2 Ohjaus-laskentataulu'!A:AQ,COLUMN('1.2 Ohjaus-laskentataulu'!AL:AL),FALSE),0)</f>
        <v>2881864</v>
      </c>
      <c r="AB29" s="170">
        <f>Vertailu[[#This Row],[Perusrahoitus 2025, €]]-Vertailu[[#This Row],[Perusrahoitus 2024, €]]</f>
        <v>-327518</v>
      </c>
      <c r="AC29" s="172">
        <f>IFERROR(Vertailu[[#This Row],[Perusrahoituksen muutos, €]]/Vertailu[[#This Row],[Perusrahoitus 2024, €]],0)</f>
        <v>-0.10205017663836838</v>
      </c>
      <c r="AD29" s="170">
        <f>IFERROR(VLOOKUP(Vertailu[[#This Row],[Y-tunnus]],'Suoritepäät. 2024 oikaistu'!$O:$Y,COLUMN('Suoritepäät. 2024 oikaistu'!D:D),FALSE),0)</f>
        <v>968980</v>
      </c>
      <c r="AE29" s="170">
        <f>IFERROR(VLOOKUP(Vertailu[[#This Row],[Y-tunnus]],'1.2 Ohjaus-laskentataulu'!A:AQ,COLUMN('1.2 Ohjaus-laskentataulu'!N:N),FALSE),0)</f>
        <v>659517</v>
      </c>
      <c r="AF29" s="170">
        <f>Vertailu[[#This Row],[Suoritusrahoitus 2025, €]]-Vertailu[[#This Row],[Suoritusrahoitus 2024, €]]</f>
        <v>-309463</v>
      </c>
      <c r="AG29" s="172">
        <f>IFERROR(Vertailu[[#This Row],[Suoritusrahoituksen muutos, €]]/Vertailu[[#This Row],[Suoritusrahoitus 2024, €]],0)</f>
        <v>-0.31936985283493985</v>
      </c>
      <c r="AH29" s="170">
        <f>IFERROR(VLOOKUP(Vertailu[[#This Row],[Y-tunnus]],'Suoritepäät. 2024 oikaistu'!$AB:$AL,COLUMN('Suoritepäät. 2024 oikaistu'!I:I),FALSE),0)</f>
        <v>473665</v>
      </c>
      <c r="AI2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407633</v>
      </c>
      <c r="AJ29" s="170">
        <f>Vertailu[[#This Row],[Vaikuttavuusrahoitus 2025, €]]-Vertailu[[#This Row],[Vaikuttavuusrahoitus 2024, €]]</f>
        <v>-66032</v>
      </c>
      <c r="AK29" s="172">
        <f>IFERROR(Vertailu[[#This Row],[Vaikuttavuusrahoituksen muutos, €]]/Vertailu[[#This Row],[Vaikuttavuusrahoitus 2024, €]],0)</f>
        <v>-0.13940654259867205</v>
      </c>
    </row>
    <row r="30" spans="1:37" s="2" customFormat="1" ht="12.75" customHeight="1" x14ac:dyDescent="0.25">
      <c r="A30" s="4" t="s">
        <v>298</v>
      </c>
      <c r="B30" s="161" t="s">
        <v>32</v>
      </c>
      <c r="C30" s="161" t="s">
        <v>174</v>
      </c>
      <c r="D30" s="8" t="s">
        <v>326</v>
      </c>
      <c r="E3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0.69165919226766559</v>
      </c>
      <c r="F3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0.69287527405754334</v>
      </c>
      <c r="G3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0.20593426294228556</v>
      </c>
      <c r="H3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0.10119046300017107</v>
      </c>
      <c r="I3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7.8616525902947487E-2</v>
      </c>
      <c r="J3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3.5641735818932449E-3</v>
      </c>
      <c r="K3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1.0820506598054431E-2</v>
      </c>
      <c r="L3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6.9332606206503116E-3</v>
      </c>
      <c r="M3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1.2559962966255892E-3</v>
      </c>
      <c r="N3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39595184</v>
      </c>
      <c r="O30" s="170">
        <f>IFERROR(VLOOKUP(Vertailu[[#This Row],[Y-tunnus]],'1.2 Ohjaus-laskentataulu'!A:AQ,COLUMN('1.2 Ohjaus-laskentataulu'!AE:AE),FALSE),0)</f>
        <v>36959090</v>
      </c>
      <c r="P30" s="170">
        <f>IFERROR(Vertailu[[#This Row],[Rahoitus pl. hark. kor. 2025 ilman alv, €]]-Vertailu[[#This Row],[Rahoitus pl. hark. kor. 2024 ilman alv, €]],0)</f>
        <v>-2636094</v>
      </c>
      <c r="Q30" s="172">
        <f>IFERROR(Vertailu[[#This Row],[Muutos, € 1]]/Vertailu[[#This Row],[Rahoitus pl. hark. kor. 2024 ilman alv, €]],0)</f>
        <v>-6.6576127036055699E-2</v>
      </c>
      <c r="R30" s="175">
        <f>IFERROR(VLOOKUP(Vertailu[[#This Row],[Y-tunnus]],'Suoritepäät. 2024 oikaistu'!$AB:$AL,COLUMN('Suoritepäät. 2024 oikaistu'!J:J),FALSE),0)</f>
        <v>39790423</v>
      </c>
      <c r="S30" s="176">
        <f>IFERROR(VLOOKUP(Vertailu[[#This Row],[Y-tunnus]],'1.2 Ohjaus-laskentataulu'!A:AQ,COLUMN('1.2 Ohjaus-laskentataulu'!AO:AO),FALSE),0)</f>
        <v>37004090</v>
      </c>
      <c r="T30" s="170">
        <f>IFERROR(Vertailu[[#This Row],[Rahoitus ml. hark. kor. 
2025 ilman alv, €]]-Vertailu[[#This Row],[Rahoitus ml. hark. kor. 
2024 ilman alv, €]],0)</f>
        <v>-2786333</v>
      </c>
      <c r="U30" s="174">
        <f>IFERROR(Vertailu[[#This Row],[Muutos, € 2]]/Vertailu[[#This Row],[Rahoitus ml. hark. kor. 
2024 ilman alv, €]],0)</f>
        <v>-7.0025216871909102E-2</v>
      </c>
      <c r="V3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43590588</v>
      </c>
      <c r="W30" s="175">
        <f>IFERROR(VLOOKUP(Vertailu[[#This Row],[Y-tunnus]],'1.2 Ohjaus-laskentataulu'!A:AQ,COLUMN('1.2 Ohjaus-laskentataulu'!AQ:AQ),FALSE),0)</f>
        <v>39453073</v>
      </c>
      <c r="X30" s="177">
        <f>IFERROR(Vertailu[[#This Row],[Rahoitus ml. hark. kor. + alv 2025, €]]-Vertailu[[#This Row],[Rahoitus ml. hark. kor. + alv 2024, €]],0)</f>
        <v>-4137515</v>
      </c>
      <c r="Y30" s="172">
        <f>IFERROR(Vertailu[[#This Row],[Muutos, € 3]]/Vertailu[[#This Row],[Rahoitus ml. hark. kor. + alv 2024, €]],0)</f>
        <v>-9.4917623042845858E-2</v>
      </c>
      <c r="Z30" s="170">
        <f>IFERROR(VLOOKUP(Vertailu[[#This Row],[Y-tunnus]],'Suoritepäät. 2024 oikaistu'!$B:$N,COLUMN('Suoritepäät. 2024 oikaistu'!H:H),FALSE),0)</f>
        <v>28076830</v>
      </c>
      <c r="AA30" s="170">
        <f>IFERROR(VLOOKUP(Vertailu[[#This Row],[Y-tunnus]],'1.2 Ohjaus-laskentataulu'!A:AQ,COLUMN('1.2 Ohjaus-laskentataulu'!AL:AL),FALSE),0)</f>
        <v>25639219</v>
      </c>
      <c r="AB30" s="170">
        <f>Vertailu[[#This Row],[Perusrahoitus 2025, €]]-Vertailu[[#This Row],[Perusrahoitus 2024, €]]</f>
        <v>-2437611</v>
      </c>
      <c r="AC30" s="172">
        <f>IFERROR(Vertailu[[#This Row],[Perusrahoituksen muutos, €]]/Vertailu[[#This Row],[Perusrahoitus 2024, €]],0)</f>
        <v>-8.6819309729766495E-2</v>
      </c>
      <c r="AD30" s="170">
        <f>IFERROR(VLOOKUP(Vertailu[[#This Row],[Y-tunnus]],'Suoritepäät. 2024 oikaistu'!$O:$Y,COLUMN('Suoritepäät. 2024 oikaistu'!D:D),FALSE),0)</f>
        <v>7868681</v>
      </c>
      <c r="AE30" s="170">
        <f>IFERROR(VLOOKUP(Vertailu[[#This Row],[Y-tunnus]],'1.2 Ohjaus-laskentataulu'!A:AQ,COLUMN('1.2 Ohjaus-laskentataulu'!N:N),FALSE),0)</f>
        <v>7620410</v>
      </c>
      <c r="AF30" s="170">
        <f>Vertailu[[#This Row],[Suoritusrahoitus 2025, €]]-Vertailu[[#This Row],[Suoritusrahoitus 2024, €]]</f>
        <v>-248271</v>
      </c>
      <c r="AG30" s="172">
        <f>IFERROR(Vertailu[[#This Row],[Suoritusrahoituksen muutos, €]]/Vertailu[[#This Row],[Suoritusrahoitus 2024, €]],0)</f>
        <v>-3.155179375043924E-2</v>
      </c>
      <c r="AH30" s="170">
        <f>IFERROR(VLOOKUP(Vertailu[[#This Row],[Y-tunnus]],'Suoritepäät. 2024 oikaistu'!$AB:$AL,COLUMN('Suoritepäät. 2024 oikaistu'!I:I),FALSE),0)</f>
        <v>3844912</v>
      </c>
      <c r="AI3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3744461</v>
      </c>
      <c r="AJ30" s="170">
        <f>Vertailu[[#This Row],[Vaikuttavuusrahoitus 2025, €]]-Vertailu[[#This Row],[Vaikuttavuusrahoitus 2024, €]]</f>
        <v>-100451</v>
      </c>
      <c r="AK30" s="172">
        <f>IFERROR(Vertailu[[#This Row],[Vaikuttavuusrahoituksen muutos, €]]/Vertailu[[#This Row],[Vaikuttavuusrahoitus 2024, €]],0)</f>
        <v>-2.6125695464551596E-2</v>
      </c>
    </row>
    <row r="31" spans="1:37" s="2" customFormat="1" ht="12.75" customHeight="1" x14ac:dyDescent="0.25">
      <c r="A31" s="4" t="s">
        <v>297</v>
      </c>
      <c r="B31" s="161" t="s">
        <v>33</v>
      </c>
      <c r="C31" s="161" t="s">
        <v>256</v>
      </c>
      <c r="D31" s="8" t="s">
        <v>326</v>
      </c>
      <c r="E3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0.71017928425659615</v>
      </c>
      <c r="F3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0.71145282960854672</v>
      </c>
      <c r="G3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0.18500811521291768</v>
      </c>
      <c r="H3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0.10353905517853559</v>
      </c>
      <c r="I3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6.7941461305962542E-2</v>
      </c>
      <c r="J3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3.7016505329696332E-3</v>
      </c>
      <c r="K3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1.092156106822801E-2</v>
      </c>
      <c r="L3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1.5990453504041779E-2</v>
      </c>
      <c r="M3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4.9839287673336344E-3</v>
      </c>
      <c r="N3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6254004</v>
      </c>
      <c r="O31" s="170">
        <f>IFERROR(VLOOKUP(Vertailu[[#This Row],[Y-tunnus]],'1.2 Ohjaus-laskentataulu'!A:AQ,COLUMN('1.2 Ohjaus-laskentataulu'!AE:AE),FALSE),0)</f>
        <v>5489467</v>
      </c>
      <c r="P31" s="170">
        <f>IFERROR(Vertailu[[#This Row],[Rahoitus pl. hark. kor. 2025 ilman alv, €]]-Vertailu[[#This Row],[Rahoitus pl. hark. kor. 2024 ilman alv, €]],0)</f>
        <v>-764537</v>
      </c>
      <c r="Q31" s="172">
        <f>IFERROR(Vertailu[[#This Row],[Muutos, € 1]]/Vertailu[[#This Row],[Rahoitus pl. hark. kor. 2024 ilman alv, €]],0)</f>
        <v>-0.12224760329542482</v>
      </c>
      <c r="R31" s="175">
        <f>IFERROR(VLOOKUP(Vertailu[[#This Row],[Y-tunnus]],'Suoritepäät. 2024 oikaistu'!$AB:$AL,COLUMN('Suoritepäät. 2024 oikaistu'!J:J),FALSE),0)</f>
        <v>6260004</v>
      </c>
      <c r="S31" s="176">
        <f>IFERROR(VLOOKUP(Vertailu[[#This Row],[Y-tunnus]],'1.2 Ohjaus-laskentataulu'!A:AQ,COLUMN('1.2 Ohjaus-laskentataulu'!AO:AO),FALSE),0)</f>
        <v>5496467</v>
      </c>
      <c r="T31" s="170">
        <f>IFERROR(Vertailu[[#This Row],[Rahoitus ml. hark. kor. 
2025 ilman alv, €]]-Vertailu[[#This Row],[Rahoitus ml. hark. kor. 
2024 ilman alv, €]],0)</f>
        <v>-763537</v>
      </c>
      <c r="U31" s="174">
        <f>IFERROR(Vertailu[[#This Row],[Muutos, € 2]]/Vertailu[[#This Row],[Rahoitus ml. hark. kor. 
2024 ilman alv, €]],0)</f>
        <v>-0.12197068883662056</v>
      </c>
      <c r="V3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6816364</v>
      </c>
      <c r="W31" s="175">
        <f>IFERROR(VLOOKUP(Vertailu[[#This Row],[Y-tunnus]],'1.2 Ohjaus-laskentataulu'!A:AQ,COLUMN('1.2 Ohjaus-laskentataulu'!AQ:AQ),FALSE),0)</f>
        <v>6067290</v>
      </c>
      <c r="X31" s="177">
        <f>IFERROR(Vertailu[[#This Row],[Rahoitus ml. hark. kor. + alv 2025, €]]-Vertailu[[#This Row],[Rahoitus ml. hark. kor. + alv 2024, €]],0)</f>
        <v>-749074</v>
      </c>
      <c r="Y31" s="172">
        <f>IFERROR(Vertailu[[#This Row],[Muutos, € 3]]/Vertailu[[#This Row],[Rahoitus ml. hark. kor. + alv 2024, €]],0)</f>
        <v>-0.10989348573521016</v>
      </c>
      <c r="Z31" s="170">
        <f>IFERROR(VLOOKUP(Vertailu[[#This Row],[Y-tunnus]],'Suoritepäät. 2024 oikaistu'!$B:$N,COLUMN('Suoritepäät. 2024 oikaistu'!H:H),FALSE),0)</f>
        <v>4450021</v>
      </c>
      <c r="AA31" s="170">
        <f>IFERROR(VLOOKUP(Vertailu[[#This Row],[Y-tunnus]],'1.2 Ohjaus-laskentataulu'!A:AQ,COLUMN('1.2 Ohjaus-laskentataulu'!AL:AL),FALSE),0)</f>
        <v>3910477</v>
      </c>
      <c r="AB31" s="170">
        <f>Vertailu[[#This Row],[Perusrahoitus 2025, €]]-Vertailu[[#This Row],[Perusrahoitus 2024, €]]</f>
        <v>-539544</v>
      </c>
      <c r="AC31" s="172">
        <f>IFERROR(Vertailu[[#This Row],[Perusrahoituksen muutos, €]]/Vertailu[[#This Row],[Perusrahoitus 2024, €]],0)</f>
        <v>-0.12124527052793684</v>
      </c>
      <c r="AD31" s="170">
        <f>IFERROR(VLOOKUP(Vertailu[[#This Row],[Y-tunnus]],'Suoritepäät. 2024 oikaistu'!$O:$Y,COLUMN('Suoritepäät. 2024 oikaistu'!D:D),FALSE),0)</f>
        <v>1208375</v>
      </c>
      <c r="AE31" s="170">
        <f>IFERROR(VLOOKUP(Vertailu[[#This Row],[Y-tunnus]],'1.2 Ohjaus-laskentataulu'!A:AQ,COLUMN('1.2 Ohjaus-laskentataulu'!N:N),FALSE),0)</f>
        <v>1016891</v>
      </c>
      <c r="AF31" s="170">
        <f>Vertailu[[#This Row],[Suoritusrahoitus 2025, €]]-Vertailu[[#This Row],[Suoritusrahoitus 2024, €]]</f>
        <v>-191484</v>
      </c>
      <c r="AG31" s="172">
        <f>IFERROR(Vertailu[[#This Row],[Suoritusrahoituksen muutos, €]]/Vertailu[[#This Row],[Suoritusrahoitus 2024, €]],0)</f>
        <v>-0.1584640529636909</v>
      </c>
      <c r="AH31" s="170">
        <f>IFERROR(VLOOKUP(Vertailu[[#This Row],[Y-tunnus]],'Suoritepäät. 2024 oikaistu'!$AB:$AL,COLUMN('Suoritepäät. 2024 oikaistu'!I:I),FALSE),0)</f>
        <v>601608</v>
      </c>
      <c r="AI3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569099</v>
      </c>
      <c r="AJ31" s="170">
        <f>Vertailu[[#This Row],[Vaikuttavuusrahoitus 2025, €]]-Vertailu[[#This Row],[Vaikuttavuusrahoitus 2024, €]]</f>
        <v>-32509</v>
      </c>
      <c r="AK31" s="172">
        <f>IFERROR(Vertailu[[#This Row],[Vaikuttavuusrahoituksen muutos, €]]/Vertailu[[#This Row],[Vaikuttavuusrahoitus 2024, €]],0)</f>
        <v>-5.4036847914256461E-2</v>
      </c>
    </row>
    <row r="32" spans="1:37" s="2" customFormat="1" ht="12.75" customHeight="1" x14ac:dyDescent="0.25">
      <c r="A32" s="4" t="s">
        <v>295</v>
      </c>
      <c r="B32" s="161" t="s">
        <v>34</v>
      </c>
      <c r="C32" s="161" t="s">
        <v>201</v>
      </c>
      <c r="D32" s="8" t="s">
        <v>326</v>
      </c>
      <c r="E3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0.75024509126326733</v>
      </c>
      <c r="F3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0.75024509126326733</v>
      </c>
      <c r="G3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0.17550023073667734</v>
      </c>
      <c r="H3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7.4254678000055294E-2</v>
      </c>
      <c r="I3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6.5535596183168773E-2</v>
      </c>
      <c r="J3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2.8794236048937443E-3</v>
      </c>
      <c r="K3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3.0389190039831317E-3</v>
      </c>
      <c r="L3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2.6582566514897934E-3</v>
      </c>
      <c r="M3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1.4248255651985292E-4</v>
      </c>
      <c r="N3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575503</v>
      </c>
      <c r="O32" s="170">
        <f>IFERROR(VLOOKUP(Vertailu[[#This Row],[Y-tunnus]],'1.2 Ohjaus-laskentataulu'!A:AQ,COLUMN('1.2 Ohjaus-laskentataulu'!AE:AE),FALSE),0)</f>
        <v>470233</v>
      </c>
      <c r="P32" s="170">
        <f>IFERROR(Vertailu[[#This Row],[Rahoitus pl. hark. kor. 2025 ilman alv, €]]-Vertailu[[#This Row],[Rahoitus pl. hark. kor. 2024 ilman alv, €]],0)</f>
        <v>-105270</v>
      </c>
      <c r="Q32" s="172">
        <f>IFERROR(Vertailu[[#This Row],[Muutos, € 1]]/Vertailu[[#This Row],[Rahoitus pl. hark. kor. 2024 ilman alv, €]],0)</f>
        <v>-0.18291824716812943</v>
      </c>
      <c r="R32" s="175">
        <f>IFERROR(VLOOKUP(Vertailu[[#This Row],[Y-tunnus]],'Suoritepäät. 2024 oikaistu'!$AB:$AL,COLUMN('Suoritepäät. 2024 oikaistu'!J:J),FALSE),0)</f>
        <v>575503</v>
      </c>
      <c r="S32" s="176">
        <f>IFERROR(VLOOKUP(Vertailu[[#This Row],[Y-tunnus]],'1.2 Ohjaus-laskentataulu'!A:AQ,COLUMN('1.2 Ohjaus-laskentataulu'!AO:AO),FALSE),0)</f>
        <v>470233</v>
      </c>
      <c r="T32" s="170">
        <f>IFERROR(Vertailu[[#This Row],[Rahoitus ml. hark. kor. 
2025 ilman alv, €]]-Vertailu[[#This Row],[Rahoitus ml. hark. kor. 
2024 ilman alv, €]],0)</f>
        <v>-105270</v>
      </c>
      <c r="U32" s="174">
        <f>IFERROR(Vertailu[[#This Row],[Muutos, € 2]]/Vertailu[[#This Row],[Rahoitus ml. hark. kor. 
2024 ilman alv, €]],0)</f>
        <v>-0.18291824716812943</v>
      </c>
      <c r="V3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634878</v>
      </c>
      <c r="W32" s="175">
        <f>IFERROR(VLOOKUP(Vertailu[[#This Row],[Y-tunnus]],'1.2 Ohjaus-laskentataulu'!A:AQ,COLUMN('1.2 Ohjaus-laskentataulu'!AQ:AQ),FALSE),0)</f>
        <v>524551</v>
      </c>
      <c r="X32" s="177">
        <f>IFERROR(Vertailu[[#This Row],[Rahoitus ml. hark. kor. + alv 2025, €]]-Vertailu[[#This Row],[Rahoitus ml. hark. kor. + alv 2024, €]],0)</f>
        <v>-110327</v>
      </c>
      <c r="Y32" s="172">
        <f>IFERROR(Vertailu[[#This Row],[Muutos, € 3]]/Vertailu[[#This Row],[Rahoitus ml. hark. kor. + alv 2024, €]],0)</f>
        <v>-0.17377669410500915</v>
      </c>
      <c r="Z32" s="170">
        <f>IFERROR(VLOOKUP(Vertailu[[#This Row],[Y-tunnus]],'Suoritepäät. 2024 oikaistu'!$B:$N,COLUMN('Suoritepäät. 2024 oikaistu'!H:H),FALSE),0)</f>
        <v>366468</v>
      </c>
      <c r="AA32" s="170">
        <f>IFERROR(VLOOKUP(Vertailu[[#This Row],[Y-tunnus]],'1.2 Ohjaus-laskentataulu'!A:AQ,COLUMN('1.2 Ohjaus-laskentataulu'!AL:AL),FALSE),0)</f>
        <v>352790</v>
      </c>
      <c r="AB32" s="170">
        <f>Vertailu[[#This Row],[Perusrahoitus 2025, €]]-Vertailu[[#This Row],[Perusrahoitus 2024, €]]</f>
        <v>-13678</v>
      </c>
      <c r="AC32" s="172">
        <f>IFERROR(Vertailu[[#This Row],[Perusrahoituksen muutos, €]]/Vertailu[[#This Row],[Perusrahoitus 2024, €]],0)</f>
        <v>-3.7323859109117306E-2</v>
      </c>
      <c r="AD32" s="170">
        <f>IFERROR(VLOOKUP(Vertailu[[#This Row],[Y-tunnus]],'Suoritepäät. 2024 oikaistu'!$O:$Y,COLUMN('Suoritepäät. 2024 oikaistu'!D:D),FALSE),0)</f>
        <v>156069</v>
      </c>
      <c r="AE32" s="170">
        <f>IFERROR(VLOOKUP(Vertailu[[#This Row],[Y-tunnus]],'1.2 Ohjaus-laskentataulu'!A:AQ,COLUMN('1.2 Ohjaus-laskentataulu'!N:N),FALSE),0)</f>
        <v>82526</v>
      </c>
      <c r="AF32" s="170">
        <f>Vertailu[[#This Row],[Suoritusrahoitus 2025, €]]-Vertailu[[#This Row],[Suoritusrahoitus 2024, €]]</f>
        <v>-73543</v>
      </c>
      <c r="AG32" s="172">
        <f>IFERROR(Vertailu[[#This Row],[Suoritusrahoituksen muutos, €]]/Vertailu[[#This Row],[Suoritusrahoitus 2024, €]],0)</f>
        <v>-0.47122106247877543</v>
      </c>
      <c r="AH32" s="170">
        <f>IFERROR(VLOOKUP(Vertailu[[#This Row],[Y-tunnus]],'Suoritepäät. 2024 oikaistu'!$AB:$AL,COLUMN('Suoritepäät. 2024 oikaistu'!I:I),FALSE),0)</f>
        <v>52966</v>
      </c>
      <c r="AI3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34917</v>
      </c>
      <c r="AJ32" s="170">
        <f>Vertailu[[#This Row],[Vaikuttavuusrahoitus 2025, €]]-Vertailu[[#This Row],[Vaikuttavuusrahoitus 2024, €]]</f>
        <v>-18049</v>
      </c>
      <c r="AK32" s="172">
        <f>IFERROR(Vertailu[[#This Row],[Vaikuttavuusrahoituksen muutos, €]]/Vertailu[[#This Row],[Vaikuttavuusrahoitus 2024, €]],0)</f>
        <v>-0.34076577427028659</v>
      </c>
    </row>
    <row r="33" spans="1:37" s="2" customFormat="1" ht="12.75" customHeight="1" x14ac:dyDescent="0.25">
      <c r="A33" s="4" t="s">
        <v>294</v>
      </c>
      <c r="B33" s="161" t="s">
        <v>35</v>
      </c>
      <c r="C33" s="161" t="s">
        <v>201</v>
      </c>
      <c r="D33" s="8" t="s">
        <v>325</v>
      </c>
      <c r="E3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0.61857457673765404</v>
      </c>
      <c r="F3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0.61979376582419199</v>
      </c>
      <c r="G3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0.24046342275529162</v>
      </c>
      <c r="H3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0.13974281142051634</v>
      </c>
      <c r="I3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0.10312883061992108</v>
      </c>
      <c r="J3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5.5670740405190438E-3</v>
      </c>
      <c r="K3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1.3732689199377136E-2</v>
      </c>
      <c r="L3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1.0714041188955765E-2</v>
      </c>
      <c r="M3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6.600176371743329E-3</v>
      </c>
      <c r="N3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17607078</v>
      </c>
      <c r="O33" s="170">
        <f>IFERROR(VLOOKUP(Vertailu[[#This Row],[Y-tunnus]],'1.2 Ohjaus-laskentataulu'!A:AQ,COLUMN('1.2 Ohjaus-laskentataulu'!AE:AE),FALSE),0)</f>
        <v>15565129</v>
      </c>
      <c r="P33" s="170">
        <f>IFERROR(Vertailu[[#This Row],[Rahoitus pl. hark. kor. 2025 ilman alv, €]]-Vertailu[[#This Row],[Rahoitus pl. hark. kor. 2024 ilman alv, €]],0)</f>
        <v>-2041949</v>
      </c>
      <c r="Q33" s="172">
        <f>IFERROR(Vertailu[[#This Row],[Muutos, € 1]]/Vertailu[[#This Row],[Rahoitus pl. hark. kor. 2024 ilman alv, €]],0)</f>
        <v>-0.11597318987284545</v>
      </c>
      <c r="R33" s="175">
        <f>IFERROR(VLOOKUP(Vertailu[[#This Row],[Y-tunnus]],'Suoritepäät. 2024 oikaistu'!$AB:$AL,COLUMN('Suoritepäät. 2024 oikaistu'!J:J),FALSE),0)</f>
        <v>17686607</v>
      </c>
      <c r="S33" s="176">
        <f>IFERROR(VLOOKUP(Vertailu[[#This Row],[Y-tunnus]],'1.2 Ohjaus-laskentataulu'!A:AQ,COLUMN('1.2 Ohjaus-laskentataulu'!AO:AO),FALSE),0)</f>
        <v>15584129</v>
      </c>
      <c r="T33" s="170">
        <f>IFERROR(Vertailu[[#This Row],[Rahoitus ml. hark. kor. 
2025 ilman alv, €]]-Vertailu[[#This Row],[Rahoitus ml. hark. kor. 
2024 ilman alv, €]],0)</f>
        <v>-2102478</v>
      </c>
      <c r="U33" s="174">
        <f>IFERROR(Vertailu[[#This Row],[Muutos, € 2]]/Vertailu[[#This Row],[Rahoitus ml. hark. kor. 
2024 ilman alv, €]],0)</f>
        <v>-0.11887401580190027</v>
      </c>
      <c r="V3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17686607</v>
      </c>
      <c r="W33" s="175">
        <f>IFERROR(VLOOKUP(Vertailu[[#This Row],[Y-tunnus]],'1.2 Ohjaus-laskentataulu'!A:AQ,COLUMN('1.2 Ohjaus-laskentataulu'!AQ:AQ),FALSE),0)</f>
        <v>15584129</v>
      </c>
      <c r="X33" s="177">
        <f>IFERROR(Vertailu[[#This Row],[Rahoitus ml. hark. kor. + alv 2025, €]]-Vertailu[[#This Row],[Rahoitus ml. hark. kor. + alv 2024, €]],0)</f>
        <v>-2102478</v>
      </c>
      <c r="Y33" s="172">
        <f>IFERROR(Vertailu[[#This Row],[Muutos, € 3]]/Vertailu[[#This Row],[Rahoitus ml. hark. kor. + alv 2024, €]],0)</f>
        <v>-0.11887401580190027</v>
      </c>
      <c r="Z33" s="170">
        <f>IFERROR(VLOOKUP(Vertailu[[#This Row],[Y-tunnus]],'Suoritepäät. 2024 oikaistu'!$B:$N,COLUMN('Suoritepäät. 2024 oikaistu'!H:H),FALSE),0)</f>
        <v>10909100</v>
      </c>
      <c r="AA33" s="170">
        <f>IFERROR(VLOOKUP(Vertailu[[#This Row],[Y-tunnus]],'1.2 Ohjaus-laskentataulu'!A:AQ,COLUMN('1.2 Ohjaus-laskentataulu'!AL:AL),FALSE),0)</f>
        <v>9658946</v>
      </c>
      <c r="AB33" s="170">
        <f>Vertailu[[#This Row],[Perusrahoitus 2025, €]]-Vertailu[[#This Row],[Perusrahoitus 2024, €]]</f>
        <v>-1250154</v>
      </c>
      <c r="AC33" s="172">
        <f>IFERROR(Vertailu[[#This Row],[Perusrahoituksen muutos, €]]/Vertailu[[#This Row],[Perusrahoitus 2024, €]],0)</f>
        <v>-0.11459735450220458</v>
      </c>
      <c r="AD33" s="170">
        <f>IFERROR(VLOOKUP(Vertailu[[#This Row],[Y-tunnus]],'Suoritepäät. 2024 oikaistu'!$O:$Y,COLUMN('Suoritepäät. 2024 oikaistu'!D:D),FALSE),0)</f>
        <v>4302660</v>
      </c>
      <c r="AE33" s="170">
        <f>IFERROR(VLOOKUP(Vertailu[[#This Row],[Y-tunnus]],'1.2 Ohjaus-laskentataulu'!A:AQ,COLUMN('1.2 Ohjaus-laskentataulu'!N:N),FALSE),0)</f>
        <v>3747413</v>
      </c>
      <c r="AF33" s="170">
        <f>Vertailu[[#This Row],[Suoritusrahoitus 2025, €]]-Vertailu[[#This Row],[Suoritusrahoitus 2024, €]]</f>
        <v>-555247</v>
      </c>
      <c r="AG33" s="172">
        <f>IFERROR(Vertailu[[#This Row],[Suoritusrahoituksen muutos, €]]/Vertailu[[#This Row],[Suoritusrahoitus 2024, €]],0)</f>
        <v>-0.12904737999284163</v>
      </c>
      <c r="AH33" s="170">
        <f>IFERROR(VLOOKUP(Vertailu[[#This Row],[Y-tunnus]],'Suoritepäät. 2024 oikaistu'!$AB:$AL,COLUMN('Suoritepäät. 2024 oikaistu'!I:I),FALSE),0)</f>
        <v>2474847</v>
      </c>
      <c r="AI3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2177770</v>
      </c>
      <c r="AJ33" s="170">
        <f>Vertailu[[#This Row],[Vaikuttavuusrahoitus 2025, €]]-Vertailu[[#This Row],[Vaikuttavuusrahoitus 2024, €]]</f>
        <v>-297077</v>
      </c>
      <c r="AK33" s="172">
        <f>IFERROR(Vertailu[[#This Row],[Vaikuttavuusrahoituksen muutos, €]]/Vertailu[[#This Row],[Vaikuttavuusrahoitus 2024, €]],0)</f>
        <v>-0.12003853167488737</v>
      </c>
    </row>
    <row r="34" spans="1:37" s="2" customFormat="1" ht="12.75" customHeight="1" x14ac:dyDescent="0.25">
      <c r="A34" s="4" t="s">
        <v>293</v>
      </c>
      <c r="B34" s="161" t="s">
        <v>36</v>
      </c>
      <c r="C34" s="161" t="s">
        <v>242</v>
      </c>
      <c r="D34" s="8" t="s">
        <v>326</v>
      </c>
      <c r="E3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0.57896986982857079</v>
      </c>
      <c r="F3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0.57896986982857079</v>
      </c>
      <c r="G3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0.21917472390143566</v>
      </c>
      <c r="H3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0.2018554062699936</v>
      </c>
      <c r="I3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0.15643293211592851</v>
      </c>
      <c r="J3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1.1606005704342835E-2</v>
      </c>
      <c r="K3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2.6242069827374866E-2</v>
      </c>
      <c r="L3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4.4277420010643319E-3</v>
      </c>
      <c r="M3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3.1466566212830587E-3</v>
      </c>
      <c r="N3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782711</v>
      </c>
      <c r="O34" s="170">
        <f>IFERROR(VLOOKUP(Vertailu[[#This Row],[Y-tunnus]],'1.2 Ohjaus-laskentataulu'!A:AQ,COLUMN('1.2 Ohjaus-laskentataulu'!AE:AE),FALSE),0)</f>
        <v>668964</v>
      </c>
      <c r="P34" s="170">
        <f>IFERROR(Vertailu[[#This Row],[Rahoitus pl. hark. kor. 2025 ilman alv, €]]-Vertailu[[#This Row],[Rahoitus pl. hark. kor. 2024 ilman alv, €]],0)</f>
        <v>-113747</v>
      </c>
      <c r="Q34" s="172">
        <f>IFERROR(Vertailu[[#This Row],[Muutos, € 1]]/Vertailu[[#This Row],[Rahoitus pl. hark. kor. 2024 ilman alv, €]],0)</f>
        <v>-0.14532439176145473</v>
      </c>
      <c r="R34" s="175">
        <f>IFERROR(VLOOKUP(Vertailu[[#This Row],[Y-tunnus]],'Suoritepäät. 2024 oikaistu'!$AB:$AL,COLUMN('Suoritepäät. 2024 oikaistu'!J:J),FALSE),0)</f>
        <v>782711</v>
      </c>
      <c r="S34" s="176">
        <f>IFERROR(VLOOKUP(Vertailu[[#This Row],[Y-tunnus]],'1.2 Ohjaus-laskentataulu'!A:AQ,COLUMN('1.2 Ohjaus-laskentataulu'!AO:AO),FALSE),0)</f>
        <v>668964</v>
      </c>
      <c r="T34" s="170">
        <f>IFERROR(Vertailu[[#This Row],[Rahoitus ml. hark. kor. 
2025 ilman alv, €]]-Vertailu[[#This Row],[Rahoitus ml. hark. kor. 
2024 ilman alv, €]],0)</f>
        <v>-113747</v>
      </c>
      <c r="U34" s="174">
        <f>IFERROR(Vertailu[[#This Row],[Muutos, € 2]]/Vertailu[[#This Row],[Rahoitus ml. hark. kor. 
2024 ilman alv, €]],0)</f>
        <v>-0.14532439176145473</v>
      </c>
      <c r="V3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818342</v>
      </c>
      <c r="W34" s="175">
        <f>IFERROR(VLOOKUP(Vertailu[[#This Row],[Y-tunnus]],'1.2 Ohjaus-laskentataulu'!A:AQ,COLUMN('1.2 Ohjaus-laskentataulu'!AQ:AQ),FALSE),0)</f>
        <v>704822</v>
      </c>
      <c r="X34" s="177">
        <f>IFERROR(Vertailu[[#This Row],[Rahoitus ml. hark. kor. + alv 2025, €]]-Vertailu[[#This Row],[Rahoitus ml. hark. kor. + alv 2024, €]],0)</f>
        <v>-113520</v>
      </c>
      <c r="Y34" s="172">
        <f>IFERROR(Vertailu[[#This Row],[Muutos, € 3]]/Vertailu[[#This Row],[Rahoitus ml. hark. kor. + alv 2024, €]],0)</f>
        <v>-0.13871950846956407</v>
      </c>
      <c r="Z34" s="170">
        <f>IFERROR(VLOOKUP(Vertailu[[#This Row],[Y-tunnus]],'Suoritepäät. 2024 oikaistu'!$B:$N,COLUMN('Suoritepäät. 2024 oikaistu'!H:H),FALSE),0)</f>
        <v>444948</v>
      </c>
      <c r="AA34" s="170">
        <f>IFERROR(VLOOKUP(Vertailu[[#This Row],[Y-tunnus]],'1.2 Ohjaus-laskentataulu'!A:AQ,COLUMN('1.2 Ohjaus-laskentataulu'!AL:AL),FALSE),0)</f>
        <v>387310</v>
      </c>
      <c r="AB34" s="170">
        <f>Vertailu[[#This Row],[Perusrahoitus 2025, €]]-Vertailu[[#This Row],[Perusrahoitus 2024, €]]</f>
        <v>-57638</v>
      </c>
      <c r="AC34" s="172">
        <f>IFERROR(Vertailu[[#This Row],[Perusrahoituksen muutos, €]]/Vertailu[[#This Row],[Perusrahoitus 2024, €]],0)</f>
        <v>-0.12953873261594614</v>
      </c>
      <c r="AD34" s="170">
        <f>IFERROR(VLOOKUP(Vertailu[[#This Row],[Y-tunnus]],'Suoritepäät. 2024 oikaistu'!$O:$Y,COLUMN('Suoritepäät. 2024 oikaistu'!D:D),FALSE),0)</f>
        <v>172367</v>
      </c>
      <c r="AE34" s="170">
        <f>IFERROR(VLOOKUP(Vertailu[[#This Row],[Y-tunnus]],'1.2 Ohjaus-laskentataulu'!A:AQ,COLUMN('1.2 Ohjaus-laskentataulu'!N:N),FALSE),0)</f>
        <v>146620</v>
      </c>
      <c r="AF34" s="170">
        <f>Vertailu[[#This Row],[Suoritusrahoitus 2025, €]]-Vertailu[[#This Row],[Suoritusrahoitus 2024, €]]</f>
        <v>-25747</v>
      </c>
      <c r="AG34" s="172">
        <f>IFERROR(Vertailu[[#This Row],[Suoritusrahoituksen muutos, €]]/Vertailu[[#This Row],[Suoritusrahoitus 2024, €]],0)</f>
        <v>-0.14937313987016076</v>
      </c>
      <c r="AH34" s="170">
        <f>IFERROR(VLOOKUP(Vertailu[[#This Row],[Y-tunnus]],'Suoritepäät. 2024 oikaistu'!$AB:$AL,COLUMN('Suoritepäät. 2024 oikaistu'!I:I),FALSE),0)</f>
        <v>165396</v>
      </c>
      <c r="AI3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135034</v>
      </c>
      <c r="AJ34" s="170">
        <f>Vertailu[[#This Row],[Vaikuttavuusrahoitus 2025, €]]-Vertailu[[#This Row],[Vaikuttavuusrahoitus 2024, €]]</f>
        <v>-30362</v>
      </c>
      <c r="AK34" s="172">
        <f>IFERROR(Vertailu[[#This Row],[Vaikuttavuusrahoituksen muutos, €]]/Vertailu[[#This Row],[Vaikuttavuusrahoitus 2024, €]],0)</f>
        <v>-0.1835715494933372</v>
      </c>
    </row>
    <row r="35" spans="1:37" s="2" customFormat="1" ht="12.75" customHeight="1" x14ac:dyDescent="0.25">
      <c r="A35" s="4" t="s">
        <v>290</v>
      </c>
      <c r="B35" s="161" t="s">
        <v>37</v>
      </c>
      <c r="C35" s="161" t="s">
        <v>242</v>
      </c>
      <c r="D35" s="8" t="s">
        <v>327</v>
      </c>
      <c r="E3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0.68260530575463352</v>
      </c>
      <c r="F3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0.68260530575463352</v>
      </c>
      <c r="G3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0.23397214069204758</v>
      </c>
      <c r="H3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8.3422553553318846E-2</v>
      </c>
      <c r="I3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6.9098823988044955E-2</v>
      </c>
      <c r="J3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3.4689951496216028E-3</v>
      </c>
      <c r="K3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6.867367433819313E-3</v>
      </c>
      <c r="L3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2.5113490944736194E-3</v>
      </c>
      <c r="M3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1.4760178873593547E-3</v>
      </c>
      <c r="N3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745387</v>
      </c>
      <c r="O35" s="170">
        <f>IFERROR(VLOOKUP(Vertailu[[#This Row],[Y-tunnus]],'1.2 Ohjaus-laskentataulu'!A:AQ,COLUMN('1.2 Ohjaus-laskentataulu'!AE:AE),FALSE),0)</f>
        <v>707986</v>
      </c>
      <c r="P35" s="170">
        <f>IFERROR(Vertailu[[#This Row],[Rahoitus pl. hark. kor. 2025 ilman alv, €]]-Vertailu[[#This Row],[Rahoitus pl. hark. kor. 2024 ilman alv, €]],0)</f>
        <v>-37401</v>
      </c>
      <c r="Q35" s="172">
        <f>IFERROR(Vertailu[[#This Row],[Muutos, € 1]]/Vertailu[[#This Row],[Rahoitus pl. hark. kor. 2024 ilman alv, €]],0)</f>
        <v>-5.0176619662001085E-2</v>
      </c>
      <c r="R35" s="175">
        <f>IFERROR(VLOOKUP(Vertailu[[#This Row],[Y-tunnus]],'Suoritepäät. 2024 oikaistu'!$AB:$AL,COLUMN('Suoritepäät. 2024 oikaistu'!J:J),FALSE),0)</f>
        <v>745387</v>
      </c>
      <c r="S35" s="176">
        <f>IFERROR(VLOOKUP(Vertailu[[#This Row],[Y-tunnus]],'1.2 Ohjaus-laskentataulu'!A:AQ,COLUMN('1.2 Ohjaus-laskentataulu'!AO:AO),FALSE),0)</f>
        <v>707986</v>
      </c>
      <c r="T35" s="170">
        <f>IFERROR(Vertailu[[#This Row],[Rahoitus ml. hark. kor. 
2025 ilman alv, €]]-Vertailu[[#This Row],[Rahoitus ml. hark. kor. 
2024 ilman alv, €]],0)</f>
        <v>-37401</v>
      </c>
      <c r="U35" s="174">
        <f>IFERROR(Vertailu[[#This Row],[Muutos, € 2]]/Vertailu[[#This Row],[Rahoitus ml. hark. kor. 
2024 ilman alv, €]],0)</f>
        <v>-5.0176619662001085E-2</v>
      </c>
      <c r="V3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745387</v>
      </c>
      <c r="W35" s="175">
        <f>IFERROR(VLOOKUP(Vertailu[[#This Row],[Y-tunnus]],'1.2 Ohjaus-laskentataulu'!A:AQ,COLUMN('1.2 Ohjaus-laskentataulu'!AQ:AQ),FALSE),0)</f>
        <v>707986</v>
      </c>
      <c r="X35" s="177">
        <f>IFERROR(Vertailu[[#This Row],[Rahoitus ml. hark. kor. + alv 2025, €]]-Vertailu[[#This Row],[Rahoitus ml. hark. kor. + alv 2024, €]],0)</f>
        <v>-37401</v>
      </c>
      <c r="Y35" s="172">
        <f>IFERROR(Vertailu[[#This Row],[Muutos, € 3]]/Vertailu[[#This Row],[Rahoitus ml. hark. kor. + alv 2024, €]],0)</f>
        <v>-5.0176619662001085E-2</v>
      </c>
      <c r="Z35" s="170">
        <f>IFERROR(VLOOKUP(Vertailu[[#This Row],[Y-tunnus]],'Suoritepäät. 2024 oikaistu'!$B:$N,COLUMN('Suoritepäät. 2024 oikaistu'!H:H),FALSE),0)</f>
        <v>503638</v>
      </c>
      <c r="AA35" s="170">
        <f>IFERROR(VLOOKUP(Vertailu[[#This Row],[Y-tunnus]],'1.2 Ohjaus-laskentataulu'!A:AQ,COLUMN('1.2 Ohjaus-laskentataulu'!AL:AL),FALSE),0)</f>
        <v>483275</v>
      </c>
      <c r="AB35" s="170">
        <f>Vertailu[[#This Row],[Perusrahoitus 2025, €]]-Vertailu[[#This Row],[Perusrahoitus 2024, €]]</f>
        <v>-20363</v>
      </c>
      <c r="AC35" s="172">
        <f>IFERROR(Vertailu[[#This Row],[Perusrahoituksen muutos, €]]/Vertailu[[#This Row],[Perusrahoitus 2024, €]],0)</f>
        <v>-4.043181809156577E-2</v>
      </c>
      <c r="AD35" s="170">
        <f>IFERROR(VLOOKUP(Vertailu[[#This Row],[Y-tunnus]],'Suoritepäät. 2024 oikaistu'!$O:$Y,COLUMN('Suoritepäät. 2024 oikaistu'!D:D),FALSE),0)</f>
        <v>183822</v>
      </c>
      <c r="AE35" s="170">
        <f>IFERROR(VLOOKUP(Vertailu[[#This Row],[Y-tunnus]],'1.2 Ohjaus-laskentataulu'!A:AQ,COLUMN('1.2 Ohjaus-laskentataulu'!N:N),FALSE),0)</f>
        <v>165649</v>
      </c>
      <c r="AF35" s="170">
        <f>Vertailu[[#This Row],[Suoritusrahoitus 2025, €]]-Vertailu[[#This Row],[Suoritusrahoitus 2024, €]]</f>
        <v>-18173</v>
      </c>
      <c r="AG35" s="172">
        <f>IFERROR(Vertailu[[#This Row],[Suoritusrahoituksen muutos, €]]/Vertailu[[#This Row],[Suoritusrahoitus 2024, €]],0)</f>
        <v>-9.8861942531361865E-2</v>
      </c>
      <c r="AH35" s="170">
        <f>IFERROR(VLOOKUP(Vertailu[[#This Row],[Y-tunnus]],'Suoritepäät. 2024 oikaistu'!$AB:$AL,COLUMN('Suoritepäät. 2024 oikaistu'!I:I),FALSE),0)</f>
        <v>57927</v>
      </c>
      <c r="AI3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59062</v>
      </c>
      <c r="AJ35" s="170">
        <f>Vertailu[[#This Row],[Vaikuttavuusrahoitus 2025, €]]-Vertailu[[#This Row],[Vaikuttavuusrahoitus 2024, €]]</f>
        <v>1135</v>
      </c>
      <c r="AK35" s="172">
        <f>IFERROR(Vertailu[[#This Row],[Vaikuttavuusrahoituksen muutos, €]]/Vertailu[[#This Row],[Vaikuttavuusrahoitus 2024, €]],0)</f>
        <v>1.9593626460890429E-2</v>
      </c>
    </row>
    <row r="36" spans="1:37" s="2" customFormat="1" ht="12.75" customHeight="1" x14ac:dyDescent="0.25">
      <c r="A36" s="4" t="s">
        <v>289</v>
      </c>
      <c r="B36" s="161" t="s">
        <v>38</v>
      </c>
      <c r="C36" s="161" t="s">
        <v>181</v>
      </c>
      <c r="D36" s="8" t="s">
        <v>325</v>
      </c>
      <c r="E3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0.69766605980051599</v>
      </c>
      <c r="F3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0.69881490369656485</v>
      </c>
      <c r="G3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0.18648474510823865</v>
      </c>
      <c r="H3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0.11470035119519656</v>
      </c>
      <c r="I3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8.0609908459480115E-2</v>
      </c>
      <c r="J3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4.4331652085391011E-3</v>
      </c>
      <c r="K3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1.0902464748841982E-2</v>
      </c>
      <c r="L3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1.3212438788161163E-2</v>
      </c>
      <c r="M3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5.5423739901741933E-3</v>
      </c>
      <c r="N3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31788572</v>
      </c>
      <c r="O36" s="170">
        <f>IFERROR(VLOOKUP(Vertailu[[#This Row],[Y-tunnus]],'1.2 Ohjaus-laskentataulu'!A:AQ,COLUMN('1.2 Ohjaus-laskentataulu'!AE:AE),FALSE),0)</f>
        <v>31299850</v>
      </c>
      <c r="P36" s="170">
        <f>IFERROR(Vertailu[[#This Row],[Rahoitus pl. hark. kor. 2025 ilman alv, €]]-Vertailu[[#This Row],[Rahoitus pl. hark. kor. 2024 ilman alv, €]],0)</f>
        <v>-488722</v>
      </c>
      <c r="Q36" s="172">
        <f>IFERROR(Vertailu[[#This Row],[Muutos, € 1]]/Vertailu[[#This Row],[Rahoitus pl. hark. kor. 2024 ilman alv, €]],0)</f>
        <v>-1.5374141373824531E-2</v>
      </c>
      <c r="R36" s="175">
        <f>IFERROR(VLOOKUP(Vertailu[[#This Row],[Y-tunnus]],'Suoritepäät. 2024 oikaistu'!$AB:$AL,COLUMN('Suoritepäät. 2024 oikaistu'!J:J),FALSE),0)</f>
        <v>32021146</v>
      </c>
      <c r="S36" s="176">
        <f>IFERROR(VLOOKUP(Vertailu[[#This Row],[Y-tunnus]],'1.2 Ohjaus-laskentataulu'!A:AQ,COLUMN('1.2 Ohjaus-laskentataulu'!AO:AO),FALSE),0)</f>
        <v>31335850</v>
      </c>
      <c r="T36" s="170">
        <f>IFERROR(Vertailu[[#This Row],[Rahoitus ml. hark. kor. 
2025 ilman alv, €]]-Vertailu[[#This Row],[Rahoitus ml. hark. kor. 
2024 ilman alv, €]],0)</f>
        <v>-685296</v>
      </c>
      <c r="U36" s="174">
        <f>IFERROR(Vertailu[[#This Row],[Muutos, € 2]]/Vertailu[[#This Row],[Rahoitus ml. hark. kor. 
2024 ilman alv, €]],0)</f>
        <v>-2.1401357715304756E-2</v>
      </c>
      <c r="V3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32021146</v>
      </c>
      <c r="W36" s="175">
        <f>IFERROR(VLOOKUP(Vertailu[[#This Row],[Y-tunnus]],'1.2 Ohjaus-laskentataulu'!A:AQ,COLUMN('1.2 Ohjaus-laskentataulu'!AQ:AQ),FALSE),0)</f>
        <v>31335850</v>
      </c>
      <c r="X36" s="177">
        <f>IFERROR(Vertailu[[#This Row],[Rahoitus ml. hark. kor. + alv 2025, €]]-Vertailu[[#This Row],[Rahoitus ml. hark. kor. + alv 2024, €]],0)</f>
        <v>-685296</v>
      </c>
      <c r="Y36" s="172">
        <f>IFERROR(Vertailu[[#This Row],[Muutos, € 3]]/Vertailu[[#This Row],[Rahoitus ml. hark. kor. + alv 2024, €]],0)</f>
        <v>-2.1401357715304756E-2</v>
      </c>
      <c r="Z36" s="170">
        <f>IFERROR(VLOOKUP(Vertailu[[#This Row],[Y-tunnus]],'Suoritepäät. 2024 oikaistu'!$B:$N,COLUMN('Suoritepäät. 2024 oikaistu'!H:H),FALSE),0)</f>
        <v>22378976</v>
      </c>
      <c r="AA36" s="170">
        <f>IFERROR(VLOOKUP(Vertailu[[#This Row],[Y-tunnus]],'1.2 Ohjaus-laskentataulu'!A:AQ,COLUMN('1.2 Ohjaus-laskentataulu'!AL:AL),FALSE),0)</f>
        <v>21897959</v>
      </c>
      <c r="AB36" s="170">
        <f>Vertailu[[#This Row],[Perusrahoitus 2025, €]]-Vertailu[[#This Row],[Perusrahoitus 2024, €]]</f>
        <v>-481017</v>
      </c>
      <c r="AC36" s="172">
        <f>IFERROR(Vertailu[[#This Row],[Perusrahoituksen muutos, €]]/Vertailu[[#This Row],[Perusrahoitus 2024, €]],0)</f>
        <v>-2.1494147006547573E-2</v>
      </c>
      <c r="AD36" s="170">
        <f>IFERROR(VLOOKUP(Vertailu[[#This Row],[Y-tunnus]],'Suoritepäät. 2024 oikaistu'!$O:$Y,COLUMN('Suoritepäät. 2024 oikaistu'!D:D),FALSE),0)</f>
        <v>6057797</v>
      </c>
      <c r="AE36" s="170">
        <f>IFERROR(VLOOKUP(Vertailu[[#This Row],[Y-tunnus]],'1.2 Ohjaus-laskentataulu'!A:AQ,COLUMN('1.2 Ohjaus-laskentataulu'!N:N),FALSE),0)</f>
        <v>5843658</v>
      </c>
      <c r="AF36" s="170">
        <f>Vertailu[[#This Row],[Suoritusrahoitus 2025, €]]-Vertailu[[#This Row],[Suoritusrahoitus 2024, €]]</f>
        <v>-214139</v>
      </c>
      <c r="AG36" s="172">
        <f>IFERROR(Vertailu[[#This Row],[Suoritusrahoituksen muutos, €]]/Vertailu[[#This Row],[Suoritusrahoitus 2024, €]],0)</f>
        <v>-3.5349319232717766E-2</v>
      </c>
      <c r="AH36" s="170">
        <f>IFERROR(VLOOKUP(Vertailu[[#This Row],[Y-tunnus]],'Suoritepäät. 2024 oikaistu'!$AB:$AL,COLUMN('Suoritepäät. 2024 oikaistu'!I:I),FALSE),0)</f>
        <v>3584373</v>
      </c>
      <c r="AI3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3594233</v>
      </c>
      <c r="AJ36" s="170">
        <f>Vertailu[[#This Row],[Vaikuttavuusrahoitus 2025, €]]-Vertailu[[#This Row],[Vaikuttavuusrahoitus 2024, €]]</f>
        <v>9860</v>
      </c>
      <c r="AK36" s="172">
        <f>IFERROR(Vertailu[[#This Row],[Vaikuttavuusrahoituksen muutos, €]]/Vertailu[[#This Row],[Vaikuttavuusrahoitus 2024, €]],0)</f>
        <v>2.7508297825031046E-3</v>
      </c>
    </row>
    <row r="37" spans="1:37" s="2" customFormat="1" ht="12.75" customHeight="1" x14ac:dyDescent="0.25">
      <c r="A37" s="4" t="s">
        <v>288</v>
      </c>
      <c r="B37" s="161" t="s">
        <v>39</v>
      </c>
      <c r="C37" s="161" t="s">
        <v>174</v>
      </c>
      <c r="D37" s="8" t="s">
        <v>326</v>
      </c>
      <c r="E3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0.49836264266361902</v>
      </c>
      <c r="F3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0.5061431157509626</v>
      </c>
      <c r="G3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0.24541946259407887</v>
      </c>
      <c r="H3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0.2484374216549585</v>
      </c>
      <c r="I3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0.13953154636038115</v>
      </c>
      <c r="J3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1.6769512994254554E-2</v>
      </c>
      <c r="K3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7.036486960791602E-2</v>
      </c>
      <c r="L3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2.0439302800451614E-2</v>
      </c>
      <c r="M3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1.3321898919551637E-3</v>
      </c>
      <c r="N3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1308459</v>
      </c>
      <c r="O37" s="170">
        <f>IFERROR(VLOOKUP(Vertailu[[#This Row],[Y-tunnus]],'1.2 Ohjaus-laskentataulu'!A:AQ,COLUMN('1.2 Ohjaus-laskentataulu'!AE:AE),FALSE),0)</f>
        <v>1147742</v>
      </c>
      <c r="P37" s="170">
        <f>IFERROR(Vertailu[[#This Row],[Rahoitus pl. hark. kor. 2025 ilman alv, €]]-Vertailu[[#This Row],[Rahoitus pl. hark. kor. 2024 ilman alv, €]],0)</f>
        <v>-160717</v>
      </c>
      <c r="Q37" s="172">
        <f>IFERROR(Vertailu[[#This Row],[Muutos, € 1]]/Vertailu[[#This Row],[Rahoitus pl. hark. kor. 2024 ilman alv, €]],0)</f>
        <v>-0.12282922124422699</v>
      </c>
      <c r="R37" s="175">
        <f>IFERROR(VLOOKUP(Vertailu[[#This Row],[Y-tunnus]],'Suoritepäät. 2024 oikaistu'!$AB:$AL,COLUMN('Suoritepäät. 2024 oikaistu'!J:J),FALSE),0)</f>
        <v>1316459</v>
      </c>
      <c r="S37" s="176">
        <f>IFERROR(VLOOKUP(Vertailu[[#This Row],[Y-tunnus]],'1.2 Ohjaus-laskentataulu'!A:AQ,COLUMN('1.2 Ohjaus-laskentataulu'!AO:AO),FALSE),0)</f>
        <v>1156742</v>
      </c>
      <c r="T37" s="170">
        <f>IFERROR(Vertailu[[#This Row],[Rahoitus ml. hark. kor. 
2025 ilman alv, €]]-Vertailu[[#This Row],[Rahoitus ml. hark. kor. 
2024 ilman alv, €]],0)</f>
        <v>-159717</v>
      </c>
      <c r="U37" s="174">
        <f>IFERROR(Vertailu[[#This Row],[Muutos, € 2]]/Vertailu[[#This Row],[Rahoitus ml. hark. kor. 
2024 ilman alv, €]],0)</f>
        <v>-0.12132318591008151</v>
      </c>
      <c r="V3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1375364</v>
      </c>
      <c r="W37" s="175">
        <f>IFERROR(VLOOKUP(Vertailu[[#This Row],[Y-tunnus]],'1.2 Ohjaus-laskentataulu'!A:AQ,COLUMN('1.2 Ohjaus-laskentataulu'!AQ:AQ),FALSE),0)</f>
        <v>1194425</v>
      </c>
      <c r="X37" s="177">
        <f>IFERROR(Vertailu[[#This Row],[Rahoitus ml. hark. kor. + alv 2025, €]]-Vertailu[[#This Row],[Rahoitus ml. hark. kor. + alv 2024, €]],0)</f>
        <v>-180939</v>
      </c>
      <c r="Y37" s="172">
        <f>IFERROR(Vertailu[[#This Row],[Muutos, € 3]]/Vertailu[[#This Row],[Rahoitus ml. hark. kor. + alv 2024, €]],0)</f>
        <v>-0.13155717322832355</v>
      </c>
      <c r="Z37" s="170">
        <f>IFERROR(VLOOKUP(Vertailu[[#This Row],[Y-tunnus]],'Suoritepäät. 2024 oikaistu'!$B:$N,COLUMN('Suoritepäät. 2024 oikaistu'!H:H),FALSE),0)</f>
        <v>683611</v>
      </c>
      <c r="AA37" s="170">
        <f>IFERROR(VLOOKUP(Vertailu[[#This Row],[Y-tunnus]],'1.2 Ohjaus-laskentataulu'!A:AQ,COLUMN('1.2 Ohjaus-laskentataulu'!AL:AL),FALSE),0)</f>
        <v>585477</v>
      </c>
      <c r="AB37" s="170">
        <f>Vertailu[[#This Row],[Perusrahoitus 2025, €]]-Vertailu[[#This Row],[Perusrahoitus 2024, €]]</f>
        <v>-98134</v>
      </c>
      <c r="AC37" s="172">
        <f>IFERROR(Vertailu[[#This Row],[Perusrahoituksen muutos, €]]/Vertailu[[#This Row],[Perusrahoitus 2024, €]],0)</f>
        <v>-0.14355240041485581</v>
      </c>
      <c r="AD37" s="170">
        <f>IFERROR(VLOOKUP(Vertailu[[#This Row],[Y-tunnus]],'Suoritepäät. 2024 oikaistu'!$O:$Y,COLUMN('Suoritepäät. 2024 oikaistu'!D:D),FALSE),0)</f>
        <v>303172</v>
      </c>
      <c r="AE37" s="170">
        <f>IFERROR(VLOOKUP(Vertailu[[#This Row],[Y-tunnus]],'1.2 Ohjaus-laskentataulu'!A:AQ,COLUMN('1.2 Ohjaus-laskentataulu'!N:N),FALSE),0)</f>
        <v>283887</v>
      </c>
      <c r="AF37" s="170">
        <f>Vertailu[[#This Row],[Suoritusrahoitus 2025, €]]-Vertailu[[#This Row],[Suoritusrahoitus 2024, €]]</f>
        <v>-19285</v>
      </c>
      <c r="AG37" s="172">
        <f>IFERROR(Vertailu[[#This Row],[Suoritusrahoituksen muutos, €]]/Vertailu[[#This Row],[Suoritusrahoitus 2024, €]],0)</f>
        <v>-6.3610755610676445E-2</v>
      </c>
      <c r="AH37" s="170">
        <f>IFERROR(VLOOKUP(Vertailu[[#This Row],[Y-tunnus]],'Suoritepäät. 2024 oikaistu'!$AB:$AL,COLUMN('Suoritepäät. 2024 oikaistu'!I:I),FALSE),0)</f>
        <v>329676</v>
      </c>
      <c r="AI3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287378</v>
      </c>
      <c r="AJ37" s="170">
        <f>Vertailu[[#This Row],[Vaikuttavuusrahoitus 2025, €]]-Vertailu[[#This Row],[Vaikuttavuusrahoitus 2024, €]]</f>
        <v>-42298</v>
      </c>
      <c r="AK37" s="172">
        <f>IFERROR(Vertailu[[#This Row],[Vaikuttavuusrahoituksen muutos, €]]/Vertailu[[#This Row],[Vaikuttavuusrahoitus 2024, €]],0)</f>
        <v>-0.12830172654363678</v>
      </c>
    </row>
    <row r="38" spans="1:37" s="2" customFormat="1" ht="12.75" customHeight="1" x14ac:dyDescent="0.25">
      <c r="A38" s="4" t="s">
        <v>287</v>
      </c>
      <c r="B38" s="161" t="s">
        <v>440</v>
      </c>
      <c r="C38" s="161" t="s">
        <v>176</v>
      </c>
      <c r="D38" s="8" t="s">
        <v>325</v>
      </c>
      <c r="E3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0.6714102185474129</v>
      </c>
      <c r="F3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0.67290615529721254</v>
      </c>
      <c r="G38" s="172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0.21743783843827372</v>
      </c>
      <c r="H3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0.1096560062645138</v>
      </c>
      <c r="I3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8.0766197097498452E-2</v>
      </c>
      <c r="J3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3.5923454441781594E-3</v>
      </c>
      <c r="K3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1.1216313759299172E-2</v>
      </c>
      <c r="L3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1.0781128159526577E-2</v>
      </c>
      <c r="M3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3.3000218040114306E-3</v>
      </c>
      <c r="N3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71327105</v>
      </c>
      <c r="O38" s="170">
        <f>IFERROR(VLOOKUP(Vertailu[[#This Row],[Y-tunnus]],'1.2 Ohjaus-laskentataulu'!A:AQ,COLUMN('1.2 Ohjaus-laskentataulu'!AE:AE),FALSE),0)</f>
        <v>68082701</v>
      </c>
      <c r="P38" s="170">
        <f>IFERROR(Vertailu[[#This Row],[Rahoitus pl. hark. kor. 2025 ilman alv, €]]-Vertailu[[#This Row],[Rahoitus pl. hark. kor. 2024 ilman alv, €]],0)</f>
        <v>-3244404</v>
      </c>
      <c r="Q38" s="172">
        <f>IFERROR(Vertailu[[#This Row],[Muutos, € 1]]/Vertailu[[#This Row],[Rahoitus pl. hark. kor. 2024 ilman alv, €]],0)</f>
        <v>-4.5486270611992452E-2</v>
      </c>
      <c r="R38" s="175">
        <f>IFERROR(VLOOKUP(Vertailu[[#This Row],[Y-tunnus]],'Suoritepäät. 2024 oikaistu'!$AB:$AL,COLUMN('Suoritepäät. 2024 oikaistu'!J:J),FALSE),0)</f>
        <v>71523206</v>
      </c>
      <c r="S38" s="176">
        <f>IFERROR(VLOOKUP(Vertailu[[#This Row],[Y-tunnus]],'1.2 Ohjaus-laskentataulu'!A:AQ,COLUMN('1.2 Ohjaus-laskentataulu'!AO:AO),FALSE),0)</f>
        <v>68184701</v>
      </c>
      <c r="T38" s="170">
        <f>IFERROR(Vertailu[[#This Row],[Rahoitus ml. hark. kor. 
2025 ilman alv, €]]-Vertailu[[#This Row],[Rahoitus ml. hark. kor. 
2024 ilman alv, €]],0)</f>
        <v>-3338505</v>
      </c>
      <c r="U38" s="174">
        <f>IFERROR(Vertailu[[#This Row],[Muutos, € 2]]/Vertailu[[#This Row],[Rahoitus ml. hark. kor. 
2024 ilman alv, €]],0)</f>
        <v>-4.6677228087342731E-2</v>
      </c>
      <c r="V3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71523206</v>
      </c>
      <c r="W38" s="175">
        <f>IFERROR(VLOOKUP(Vertailu[[#This Row],[Y-tunnus]],'1.2 Ohjaus-laskentataulu'!A:AQ,COLUMN('1.2 Ohjaus-laskentataulu'!AQ:AQ),FALSE),0)</f>
        <v>68184701</v>
      </c>
      <c r="X38" s="177">
        <f>IFERROR(Vertailu[[#This Row],[Rahoitus ml. hark. kor. + alv 2025, €]]-Vertailu[[#This Row],[Rahoitus ml. hark. kor. + alv 2024, €]],0)</f>
        <v>-3338505</v>
      </c>
      <c r="Y38" s="172">
        <f>IFERROR(Vertailu[[#This Row],[Muutos, € 3]]/Vertailu[[#This Row],[Rahoitus ml. hark. kor. + alv 2024, €]],0)</f>
        <v>-4.6677228087342731E-2</v>
      </c>
      <c r="Z38" s="170">
        <f>IFERROR(VLOOKUP(Vertailu[[#This Row],[Y-tunnus]],'Suoritepäät. 2024 oikaistu'!$B:$N,COLUMN('Suoritepäät. 2024 oikaistu'!H:H),FALSE),0)</f>
        <v>48116732</v>
      </c>
      <c r="AA38" s="170">
        <f>IFERROR(VLOOKUP(Vertailu[[#This Row],[Y-tunnus]],'1.2 Ohjaus-laskentataulu'!A:AQ,COLUMN('1.2 Ohjaus-laskentataulu'!AL:AL),FALSE),0)</f>
        <v>45881905</v>
      </c>
      <c r="AB38" s="170">
        <f>Vertailu[[#This Row],[Perusrahoitus 2025, €]]-Vertailu[[#This Row],[Perusrahoitus 2024, €]]</f>
        <v>-2234827</v>
      </c>
      <c r="AC38" s="172">
        <f>IFERROR(Vertailu[[#This Row],[Perusrahoituksen muutos, €]]/Vertailu[[#This Row],[Perusrahoitus 2024, €]],0)</f>
        <v>-4.6445943170039063E-2</v>
      </c>
      <c r="AD38" s="170">
        <f>IFERROR(VLOOKUP(Vertailu[[#This Row],[Y-tunnus]],'Suoritepäät. 2024 oikaistu'!$O:$Y,COLUMN('Suoritepäät. 2024 oikaistu'!D:D),FALSE),0)</f>
        <v>15461725</v>
      </c>
      <c r="AE38" s="170">
        <f>IFERROR(VLOOKUP(Vertailu[[#This Row],[Y-tunnus]],'1.2 Ohjaus-laskentataulu'!A:AQ,COLUMN('1.2 Ohjaus-laskentataulu'!N:N),FALSE),0)</f>
        <v>14825934</v>
      </c>
      <c r="AF38" s="170">
        <f>Vertailu[[#This Row],[Suoritusrahoitus 2025, €]]-Vertailu[[#This Row],[Suoritusrahoitus 2024, €]]</f>
        <v>-635791</v>
      </c>
      <c r="AG38" s="172">
        <f>IFERROR(Vertailu[[#This Row],[Suoritusrahoituksen muutos, €]]/Vertailu[[#This Row],[Suoritusrahoitus 2024, €]],0)</f>
        <v>-4.1120314841972677E-2</v>
      </c>
      <c r="AH38" s="170">
        <f>IFERROR(VLOOKUP(Vertailu[[#This Row],[Y-tunnus]],'Suoritepäät. 2024 oikaistu'!$AB:$AL,COLUMN('Suoritepäät. 2024 oikaistu'!I:I),FALSE),0)</f>
        <v>7944749</v>
      </c>
      <c r="AI3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7476862</v>
      </c>
      <c r="AJ38" s="170">
        <f>Vertailu[[#This Row],[Vaikuttavuusrahoitus 2025, €]]-Vertailu[[#This Row],[Vaikuttavuusrahoitus 2024, €]]</f>
        <v>-467887</v>
      </c>
      <c r="AK38" s="172">
        <f>IFERROR(Vertailu[[#This Row],[Vaikuttavuusrahoituksen muutos, €]]/Vertailu[[#This Row],[Vaikuttavuusrahoitus 2024, €]],0)</f>
        <v>-5.8892609445559574E-2</v>
      </c>
    </row>
    <row r="39" spans="1:37" s="2" customFormat="1" ht="12.75" customHeight="1" x14ac:dyDescent="0.25">
      <c r="A39" s="4" t="s">
        <v>292</v>
      </c>
      <c r="B39" s="161" t="s">
        <v>40</v>
      </c>
      <c r="C39" s="161" t="s">
        <v>176</v>
      </c>
      <c r="D39" s="8" t="s">
        <v>326</v>
      </c>
      <c r="E3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0.57622242921702427</v>
      </c>
      <c r="F3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0.57865575369305655</v>
      </c>
      <c r="G3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0.22999685614477697</v>
      </c>
      <c r="H3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0.19134739016216648</v>
      </c>
      <c r="I3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0.12679031848324071</v>
      </c>
      <c r="J3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5.8185654870882937E-3</v>
      </c>
      <c r="K3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2.0779131030629717E-2</v>
      </c>
      <c r="L3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3.0623875195760954E-2</v>
      </c>
      <c r="M3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7.3354999654467925E-3</v>
      </c>
      <c r="N3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2191469</v>
      </c>
      <c r="O39" s="170">
        <f>IFERROR(VLOOKUP(Vertailu[[#This Row],[Y-tunnus]],'1.2 Ohjaus-laskentataulu'!A:AQ,COLUMN('1.2 Ohjaus-laskentataulu'!AE:AE),FALSE),0)</f>
        <v>2049802</v>
      </c>
      <c r="P39" s="170">
        <f>IFERROR(Vertailu[[#This Row],[Rahoitus pl. hark. kor. 2025 ilman alv, €]]-Vertailu[[#This Row],[Rahoitus pl. hark. kor. 2024 ilman alv, €]],0)</f>
        <v>-141667</v>
      </c>
      <c r="Q39" s="172">
        <f>IFERROR(Vertailu[[#This Row],[Muutos, € 1]]/Vertailu[[#This Row],[Rahoitus pl. hark. kor. 2024 ilman alv, €]],0)</f>
        <v>-6.4644765680007335E-2</v>
      </c>
      <c r="R39" s="175">
        <f>IFERROR(VLOOKUP(Vertailu[[#This Row],[Y-tunnus]],'Suoritepäät. 2024 oikaistu'!$AB:$AL,COLUMN('Suoritepäät. 2024 oikaistu'!J:J),FALSE),0)</f>
        <v>2196469</v>
      </c>
      <c r="S39" s="176">
        <f>IFERROR(VLOOKUP(Vertailu[[#This Row],[Y-tunnus]],'1.2 Ohjaus-laskentataulu'!A:AQ,COLUMN('1.2 Ohjaus-laskentataulu'!AO:AO),FALSE),0)</f>
        <v>2054802</v>
      </c>
      <c r="T39" s="170">
        <f>IFERROR(Vertailu[[#This Row],[Rahoitus ml. hark. kor. 
2025 ilman alv, €]]-Vertailu[[#This Row],[Rahoitus ml. hark. kor. 
2024 ilman alv, €]],0)</f>
        <v>-141667</v>
      </c>
      <c r="U39" s="174">
        <f>IFERROR(Vertailu[[#This Row],[Muutos, € 2]]/Vertailu[[#This Row],[Rahoitus ml. hark. kor. 
2024 ilman alv, €]],0)</f>
        <v>-6.4497609572454692E-2</v>
      </c>
      <c r="V3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2267884</v>
      </c>
      <c r="W39" s="175">
        <f>IFERROR(VLOOKUP(Vertailu[[#This Row],[Y-tunnus]],'1.2 Ohjaus-laskentataulu'!A:AQ,COLUMN('1.2 Ohjaus-laskentataulu'!AQ:AQ),FALSE),0)</f>
        <v>2521119</v>
      </c>
      <c r="X39" s="177">
        <f>IFERROR(Vertailu[[#This Row],[Rahoitus ml. hark. kor. + alv 2025, €]]-Vertailu[[#This Row],[Rahoitus ml. hark. kor. + alv 2024, €]],0)</f>
        <v>253235</v>
      </c>
      <c r="Y39" s="172">
        <f>IFERROR(Vertailu[[#This Row],[Muutos, € 3]]/Vertailu[[#This Row],[Rahoitus ml. hark. kor. + alv 2024, €]],0)</f>
        <v>0.11166135481356189</v>
      </c>
      <c r="Z39" s="170">
        <f>IFERROR(VLOOKUP(Vertailu[[#This Row],[Y-tunnus]],'Suoritepäät. 2024 oikaistu'!$B:$N,COLUMN('Suoritepäät. 2024 oikaistu'!H:H),FALSE),0)</f>
        <v>1302310</v>
      </c>
      <c r="AA39" s="170">
        <f>IFERROR(VLOOKUP(Vertailu[[#This Row],[Y-tunnus]],'1.2 Ohjaus-laskentataulu'!A:AQ,COLUMN('1.2 Ohjaus-laskentataulu'!AL:AL),FALSE),0)</f>
        <v>1189023</v>
      </c>
      <c r="AB39" s="170">
        <f>Vertailu[[#This Row],[Perusrahoitus 2025, €]]-Vertailu[[#This Row],[Perusrahoitus 2024, €]]</f>
        <v>-113287</v>
      </c>
      <c r="AC39" s="172">
        <f>IFERROR(Vertailu[[#This Row],[Perusrahoituksen muutos, €]]/Vertailu[[#This Row],[Perusrahoitus 2024, €]],0)</f>
        <v>-8.6989272907372281E-2</v>
      </c>
      <c r="AD39" s="170">
        <f>IFERROR(VLOOKUP(Vertailu[[#This Row],[Y-tunnus]],'Suoritepäät. 2024 oikaistu'!$O:$Y,COLUMN('Suoritepäät. 2024 oikaistu'!D:D),FALSE),0)</f>
        <v>518594</v>
      </c>
      <c r="AE39" s="170">
        <f>IFERROR(VLOOKUP(Vertailu[[#This Row],[Y-tunnus]],'1.2 Ohjaus-laskentataulu'!A:AQ,COLUMN('1.2 Ohjaus-laskentataulu'!N:N),FALSE),0)</f>
        <v>472598</v>
      </c>
      <c r="AF39" s="170">
        <f>Vertailu[[#This Row],[Suoritusrahoitus 2025, €]]-Vertailu[[#This Row],[Suoritusrahoitus 2024, €]]</f>
        <v>-45996</v>
      </c>
      <c r="AG39" s="172">
        <f>IFERROR(Vertailu[[#This Row],[Suoritusrahoituksen muutos, €]]/Vertailu[[#This Row],[Suoritusrahoitus 2024, €]],0)</f>
        <v>-8.8693660165755875E-2</v>
      </c>
      <c r="AH39" s="170">
        <f>IFERROR(VLOOKUP(Vertailu[[#This Row],[Y-tunnus]],'Suoritepäät. 2024 oikaistu'!$AB:$AL,COLUMN('Suoritepäät. 2024 oikaistu'!I:I),FALSE),0)</f>
        <v>375565</v>
      </c>
      <c r="AI3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393181</v>
      </c>
      <c r="AJ39" s="170">
        <f>Vertailu[[#This Row],[Vaikuttavuusrahoitus 2025, €]]-Vertailu[[#This Row],[Vaikuttavuusrahoitus 2024, €]]</f>
        <v>17616</v>
      </c>
      <c r="AK39" s="172">
        <f>IFERROR(Vertailu[[#This Row],[Vaikuttavuusrahoituksen muutos, €]]/Vertailu[[#This Row],[Vaikuttavuusrahoitus 2024, €]],0)</f>
        <v>4.6905329303848865E-2</v>
      </c>
    </row>
    <row r="40" spans="1:37" s="2" customFormat="1" ht="12.75" customHeight="1" x14ac:dyDescent="0.25">
      <c r="A40" s="4" t="s">
        <v>291</v>
      </c>
      <c r="B40" s="161" t="s">
        <v>41</v>
      </c>
      <c r="C40" s="161" t="s">
        <v>176</v>
      </c>
      <c r="D40" s="8" t="s">
        <v>326</v>
      </c>
      <c r="E4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0.63751416394455629</v>
      </c>
      <c r="F4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0.6382131865013152</v>
      </c>
      <c r="G4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0.24602238689640277</v>
      </c>
      <c r="H4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0.11576442660228203</v>
      </c>
      <c r="I4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7.0099380036894407E-2</v>
      </c>
      <c r="J4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5.9717497023911463E-3</v>
      </c>
      <c r="K4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1.2205632863566875E-2</v>
      </c>
      <c r="L4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1.9734804822416813E-2</v>
      </c>
      <c r="M4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7.7528591770127829E-3</v>
      </c>
      <c r="N4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1392439</v>
      </c>
      <c r="O40" s="170">
        <f>IFERROR(VLOOKUP(Vertailu[[#This Row],[Y-tunnus]],'1.2 Ohjaus-laskentataulu'!A:AQ,COLUMN('1.2 Ohjaus-laskentataulu'!AE:AE),FALSE),0)</f>
        <v>1429569</v>
      </c>
      <c r="P40" s="170">
        <f>IFERROR(Vertailu[[#This Row],[Rahoitus pl. hark. kor. 2025 ilman alv, €]]-Vertailu[[#This Row],[Rahoitus pl. hark. kor. 2024 ilman alv, €]],0)</f>
        <v>37130</v>
      </c>
      <c r="Q40" s="172">
        <f>IFERROR(Vertailu[[#This Row],[Muutos, € 1]]/Vertailu[[#This Row],[Rahoitus pl. hark. kor. 2024 ilman alv, €]],0)</f>
        <v>2.6665440999569818E-2</v>
      </c>
      <c r="R40" s="175">
        <f>IFERROR(VLOOKUP(Vertailu[[#This Row],[Y-tunnus]],'Suoritepäät. 2024 oikaistu'!$AB:$AL,COLUMN('Suoritepäät. 2024 oikaistu'!J:J),FALSE),0)</f>
        <v>1392795</v>
      </c>
      <c r="S40" s="176">
        <f>IFERROR(VLOOKUP(Vertailu[[#This Row],[Y-tunnus]],'1.2 Ohjaus-laskentataulu'!A:AQ,COLUMN('1.2 Ohjaus-laskentataulu'!AO:AO),FALSE),0)</f>
        <v>1430569</v>
      </c>
      <c r="T40" s="170">
        <f>IFERROR(Vertailu[[#This Row],[Rahoitus ml. hark. kor. 
2025 ilman alv, €]]-Vertailu[[#This Row],[Rahoitus ml. hark. kor. 
2024 ilman alv, €]],0)</f>
        <v>37774</v>
      </c>
      <c r="U40" s="174">
        <f>IFERROR(Vertailu[[#This Row],[Muutos, € 2]]/Vertailu[[#This Row],[Rahoitus ml. hark. kor. 
2024 ilman alv, €]],0)</f>
        <v>2.7121004885859012E-2</v>
      </c>
      <c r="V4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1470552</v>
      </c>
      <c r="W40" s="175">
        <f>IFERROR(VLOOKUP(Vertailu[[#This Row],[Y-tunnus]],'1.2 Ohjaus-laskentataulu'!A:AQ,COLUMN('1.2 Ohjaus-laskentataulu'!AQ:AQ),FALSE),0)</f>
        <v>1507851</v>
      </c>
      <c r="X40" s="177">
        <f>IFERROR(Vertailu[[#This Row],[Rahoitus ml. hark. kor. + alv 2025, €]]-Vertailu[[#This Row],[Rahoitus ml. hark. kor. + alv 2024, €]],0)</f>
        <v>37299</v>
      </c>
      <c r="Y40" s="172">
        <f>IFERROR(Vertailu[[#This Row],[Muutos, € 3]]/Vertailu[[#This Row],[Rahoitus ml. hark. kor. + alv 2024, €]],0)</f>
        <v>2.5363944967604003E-2</v>
      </c>
      <c r="Z40" s="170">
        <f>IFERROR(VLOOKUP(Vertailu[[#This Row],[Y-tunnus]],'Suoritepäät. 2024 oikaistu'!$B:$N,COLUMN('Suoritepäät. 2024 oikaistu'!H:H),FALSE),0)</f>
        <v>895029</v>
      </c>
      <c r="AA40" s="170">
        <f>IFERROR(VLOOKUP(Vertailu[[#This Row],[Y-tunnus]],'1.2 Ohjaus-laskentataulu'!A:AQ,COLUMN('1.2 Ohjaus-laskentataulu'!AL:AL),FALSE),0)</f>
        <v>913008</v>
      </c>
      <c r="AB40" s="170">
        <f>Vertailu[[#This Row],[Perusrahoitus 2025, €]]-Vertailu[[#This Row],[Perusrahoitus 2024, €]]</f>
        <v>17979</v>
      </c>
      <c r="AC40" s="172">
        <f>IFERROR(Vertailu[[#This Row],[Perusrahoituksen muutos, €]]/Vertailu[[#This Row],[Perusrahoitus 2024, €]],0)</f>
        <v>2.0087617272736415E-2</v>
      </c>
      <c r="AD40" s="170">
        <f>IFERROR(VLOOKUP(Vertailu[[#This Row],[Y-tunnus]],'Suoritepäät. 2024 oikaistu'!$O:$Y,COLUMN('Suoritepäät. 2024 oikaistu'!D:D),FALSE),0)</f>
        <v>314081</v>
      </c>
      <c r="AE40" s="170">
        <f>IFERROR(VLOOKUP(Vertailu[[#This Row],[Y-tunnus]],'1.2 Ohjaus-laskentataulu'!A:AQ,COLUMN('1.2 Ohjaus-laskentataulu'!N:N),FALSE),0)</f>
        <v>351952</v>
      </c>
      <c r="AF40" s="170">
        <f>Vertailu[[#This Row],[Suoritusrahoitus 2025, €]]-Vertailu[[#This Row],[Suoritusrahoitus 2024, €]]</f>
        <v>37871</v>
      </c>
      <c r="AG40" s="172">
        <f>IFERROR(Vertailu[[#This Row],[Suoritusrahoituksen muutos, €]]/Vertailu[[#This Row],[Suoritusrahoitus 2024, €]],0)</f>
        <v>0.12057717595142654</v>
      </c>
      <c r="AH40" s="170">
        <f>IFERROR(VLOOKUP(Vertailu[[#This Row],[Y-tunnus]],'Suoritepäät. 2024 oikaistu'!$AB:$AL,COLUMN('Suoritepäät. 2024 oikaistu'!I:I),FALSE),0)</f>
        <v>183685</v>
      </c>
      <c r="AI4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165609</v>
      </c>
      <c r="AJ40" s="170">
        <f>Vertailu[[#This Row],[Vaikuttavuusrahoitus 2025, €]]-Vertailu[[#This Row],[Vaikuttavuusrahoitus 2024, €]]</f>
        <v>-18076</v>
      </c>
      <c r="AK40" s="172">
        <f>IFERROR(Vertailu[[#This Row],[Vaikuttavuusrahoituksen muutos, €]]/Vertailu[[#This Row],[Vaikuttavuusrahoitus 2024, €]],0)</f>
        <v>-9.8407599967335391E-2</v>
      </c>
    </row>
    <row r="41" spans="1:37" s="2" customFormat="1" ht="12.75" customHeight="1" x14ac:dyDescent="0.25">
      <c r="A41" s="4" t="s">
        <v>286</v>
      </c>
      <c r="B41" s="161" t="s">
        <v>42</v>
      </c>
      <c r="C41" s="161" t="s">
        <v>200</v>
      </c>
      <c r="D41" s="8" t="s">
        <v>325</v>
      </c>
      <c r="E4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0.73640915512686045</v>
      </c>
      <c r="F4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0.73716425450171374</v>
      </c>
      <c r="G4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0.18223598516682787</v>
      </c>
      <c r="H4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8.0599760331458423E-2</v>
      </c>
      <c r="I4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6.119264925860568E-2</v>
      </c>
      <c r="J4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2.7037088215994664E-3</v>
      </c>
      <c r="K4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6.8307799647972667E-3</v>
      </c>
      <c r="L4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8.2458361932722154E-3</v>
      </c>
      <c r="M4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1.6267860931837934E-3</v>
      </c>
      <c r="N4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6761158</v>
      </c>
      <c r="O41" s="170">
        <f>IFERROR(VLOOKUP(Vertailu[[#This Row],[Y-tunnus]],'1.2 Ohjaus-laskentataulu'!A:AQ,COLUMN('1.2 Ohjaus-laskentataulu'!AE:AE),FALSE),0)</f>
        <v>6616645</v>
      </c>
      <c r="P41" s="170">
        <f>IFERROR(Vertailu[[#This Row],[Rahoitus pl. hark. kor. 2025 ilman alv, €]]-Vertailu[[#This Row],[Rahoitus pl. hark. kor. 2024 ilman alv, €]],0)</f>
        <v>-144513</v>
      </c>
      <c r="Q41" s="172">
        <f>IFERROR(Vertailu[[#This Row],[Muutos, € 1]]/Vertailu[[#This Row],[Rahoitus pl. hark. kor. 2024 ilman alv, €]],0)</f>
        <v>-2.1374001317525784E-2</v>
      </c>
      <c r="R41" s="175">
        <f>IFERROR(VLOOKUP(Vertailu[[#This Row],[Y-tunnus]],'Suoritepäät. 2024 oikaistu'!$AB:$AL,COLUMN('Suoritepäät. 2024 oikaistu'!J:J),FALSE),0)</f>
        <v>6761158</v>
      </c>
      <c r="S41" s="176">
        <f>IFERROR(VLOOKUP(Vertailu[[#This Row],[Y-tunnus]],'1.2 Ohjaus-laskentataulu'!A:AQ,COLUMN('1.2 Ohjaus-laskentataulu'!AO:AO),FALSE),0)</f>
        <v>6621645</v>
      </c>
      <c r="T41" s="170">
        <f>IFERROR(Vertailu[[#This Row],[Rahoitus ml. hark. kor. 
2025 ilman alv, €]]-Vertailu[[#This Row],[Rahoitus ml. hark. kor. 
2024 ilman alv, €]],0)</f>
        <v>-139513</v>
      </c>
      <c r="U41" s="174">
        <f>IFERROR(Vertailu[[#This Row],[Muutos, € 2]]/Vertailu[[#This Row],[Rahoitus ml. hark. kor. 
2024 ilman alv, €]],0)</f>
        <v>-2.0634483027907349E-2</v>
      </c>
      <c r="V4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6761158</v>
      </c>
      <c r="W41" s="175">
        <f>IFERROR(VLOOKUP(Vertailu[[#This Row],[Y-tunnus]],'1.2 Ohjaus-laskentataulu'!A:AQ,COLUMN('1.2 Ohjaus-laskentataulu'!AQ:AQ),FALSE),0)</f>
        <v>6621645</v>
      </c>
      <c r="X41" s="177">
        <f>IFERROR(Vertailu[[#This Row],[Rahoitus ml. hark. kor. + alv 2025, €]]-Vertailu[[#This Row],[Rahoitus ml. hark. kor. + alv 2024, €]],0)</f>
        <v>-139513</v>
      </c>
      <c r="Y41" s="172">
        <f>IFERROR(Vertailu[[#This Row],[Muutos, € 3]]/Vertailu[[#This Row],[Rahoitus ml. hark. kor. + alv 2024, €]],0)</f>
        <v>-2.0634483027907349E-2</v>
      </c>
      <c r="Z41" s="170">
        <f>IFERROR(VLOOKUP(Vertailu[[#This Row],[Y-tunnus]],'Suoritepäät. 2024 oikaistu'!$B:$N,COLUMN('Suoritepäät. 2024 oikaistu'!H:H),FALSE),0)</f>
        <v>4901253</v>
      </c>
      <c r="AA41" s="170">
        <f>IFERROR(VLOOKUP(Vertailu[[#This Row],[Y-tunnus]],'1.2 Ohjaus-laskentataulu'!A:AQ,COLUMN('1.2 Ohjaus-laskentataulu'!AL:AL),FALSE),0)</f>
        <v>4881240</v>
      </c>
      <c r="AB41" s="170">
        <f>Vertailu[[#This Row],[Perusrahoitus 2025, €]]-Vertailu[[#This Row],[Perusrahoitus 2024, €]]</f>
        <v>-20013</v>
      </c>
      <c r="AC41" s="172">
        <f>IFERROR(Vertailu[[#This Row],[Perusrahoituksen muutos, €]]/Vertailu[[#This Row],[Perusrahoitus 2024, €]],0)</f>
        <v>-4.0832415710839653E-3</v>
      </c>
      <c r="AD41" s="170">
        <f>IFERROR(VLOOKUP(Vertailu[[#This Row],[Y-tunnus]],'Suoritepäät. 2024 oikaistu'!$O:$Y,COLUMN('Suoritepäät. 2024 oikaistu'!D:D),FALSE),0)</f>
        <v>1276148</v>
      </c>
      <c r="AE41" s="170">
        <f>IFERROR(VLOOKUP(Vertailu[[#This Row],[Y-tunnus]],'1.2 Ohjaus-laskentataulu'!A:AQ,COLUMN('1.2 Ohjaus-laskentataulu'!N:N),FALSE),0)</f>
        <v>1206702</v>
      </c>
      <c r="AF41" s="170">
        <f>Vertailu[[#This Row],[Suoritusrahoitus 2025, €]]-Vertailu[[#This Row],[Suoritusrahoitus 2024, €]]</f>
        <v>-69446</v>
      </c>
      <c r="AG41" s="172">
        <f>IFERROR(Vertailu[[#This Row],[Suoritusrahoituksen muutos, €]]/Vertailu[[#This Row],[Suoritusrahoitus 2024, €]],0)</f>
        <v>-5.4418453032093458E-2</v>
      </c>
      <c r="AH41" s="170">
        <f>IFERROR(VLOOKUP(Vertailu[[#This Row],[Y-tunnus]],'Suoritepäät. 2024 oikaistu'!$AB:$AL,COLUMN('Suoritepäät. 2024 oikaistu'!I:I),FALSE),0)</f>
        <v>583757</v>
      </c>
      <c r="AI4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533703</v>
      </c>
      <c r="AJ41" s="170">
        <f>Vertailu[[#This Row],[Vaikuttavuusrahoitus 2025, €]]-Vertailu[[#This Row],[Vaikuttavuusrahoitus 2024, €]]</f>
        <v>-50054</v>
      </c>
      <c r="AK41" s="172">
        <f>IFERROR(Vertailu[[#This Row],[Vaikuttavuusrahoituksen muutos, €]]/Vertailu[[#This Row],[Vaikuttavuusrahoitus 2024, €]],0)</f>
        <v>-8.5744582077816628E-2</v>
      </c>
    </row>
    <row r="42" spans="1:37" s="2" customFormat="1" ht="12.75" customHeight="1" x14ac:dyDescent="0.25">
      <c r="A42" s="4" t="s">
        <v>285</v>
      </c>
      <c r="B42" s="161" t="s">
        <v>43</v>
      </c>
      <c r="C42" s="161" t="s">
        <v>182</v>
      </c>
      <c r="D42" s="8" t="s">
        <v>327</v>
      </c>
      <c r="E4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0.68623720126778953</v>
      </c>
      <c r="F4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0.68760968805618139</v>
      </c>
      <c r="G4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0.19930871522750324</v>
      </c>
      <c r="H4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0.11308159671631532</v>
      </c>
      <c r="I4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7.2740393822698077E-2</v>
      </c>
      <c r="J4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3.5740225475477125E-3</v>
      </c>
      <c r="K4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1.2662462683841677E-2</v>
      </c>
      <c r="L4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1.7761050250992685E-2</v>
      </c>
      <c r="M4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6.3436674112351699E-3</v>
      </c>
      <c r="N4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31151592</v>
      </c>
      <c r="O42" s="170">
        <f>IFERROR(VLOOKUP(Vertailu[[#This Row],[Y-tunnus]],'1.2 Ohjaus-laskentataulu'!A:AQ,COLUMN('1.2 Ohjaus-laskentataulu'!AE:AE),FALSE),0)</f>
        <v>29831783</v>
      </c>
      <c r="P42" s="170">
        <f>IFERROR(Vertailu[[#This Row],[Rahoitus pl. hark. kor. 2025 ilman alv, €]]-Vertailu[[#This Row],[Rahoitus pl. hark. kor. 2024 ilman alv, €]],0)</f>
        <v>-1319809</v>
      </c>
      <c r="Q42" s="172">
        <f>IFERROR(Vertailu[[#This Row],[Muutos, € 1]]/Vertailu[[#This Row],[Rahoitus pl. hark. kor. 2024 ilman alv, €]],0)</f>
        <v>-4.2367305016064671E-2</v>
      </c>
      <c r="R42" s="175">
        <f>IFERROR(VLOOKUP(Vertailu[[#This Row],[Y-tunnus]],'Suoritepäät. 2024 oikaistu'!$AB:$AL,COLUMN('Suoritepäät. 2024 oikaistu'!J:J),FALSE),0)</f>
        <v>31319538</v>
      </c>
      <c r="S42" s="176">
        <f>IFERROR(VLOOKUP(Vertailu[[#This Row],[Y-tunnus]],'1.2 Ohjaus-laskentataulu'!A:AQ,COLUMN('1.2 Ohjaus-laskentataulu'!AO:AO),FALSE),0)</f>
        <v>29872783</v>
      </c>
      <c r="T42" s="170">
        <f>IFERROR(Vertailu[[#This Row],[Rahoitus ml. hark. kor. 
2025 ilman alv, €]]-Vertailu[[#This Row],[Rahoitus ml. hark. kor. 
2024 ilman alv, €]],0)</f>
        <v>-1446755</v>
      </c>
      <c r="U42" s="174">
        <f>IFERROR(Vertailu[[#This Row],[Muutos, € 2]]/Vertailu[[#This Row],[Rahoitus ml. hark. kor. 
2024 ilman alv, €]],0)</f>
        <v>-4.6193369774483899E-2</v>
      </c>
      <c r="V4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31319538</v>
      </c>
      <c r="W42" s="175">
        <f>IFERROR(VLOOKUP(Vertailu[[#This Row],[Y-tunnus]],'1.2 Ohjaus-laskentataulu'!A:AQ,COLUMN('1.2 Ohjaus-laskentataulu'!AQ:AQ),FALSE),0)</f>
        <v>29872783</v>
      </c>
      <c r="X42" s="177">
        <f>IFERROR(Vertailu[[#This Row],[Rahoitus ml. hark. kor. + alv 2025, €]]-Vertailu[[#This Row],[Rahoitus ml. hark. kor. + alv 2024, €]],0)</f>
        <v>-1446755</v>
      </c>
      <c r="Y42" s="172">
        <f>IFERROR(Vertailu[[#This Row],[Muutos, € 3]]/Vertailu[[#This Row],[Rahoitus ml. hark. kor. + alv 2024, €]],0)</f>
        <v>-4.6193369774483899E-2</v>
      </c>
      <c r="Z42" s="170">
        <f>IFERROR(VLOOKUP(Vertailu[[#This Row],[Y-tunnus]],'Suoritepäät. 2024 oikaistu'!$B:$N,COLUMN('Suoritepäät. 2024 oikaistu'!H:H),FALSE),0)</f>
        <v>21567763</v>
      </c>
      <c r="AA42" s="170">
        <f>IFERROR(VLOOKUP(Vertailu[[#This Row],[Y-tunnus]],'1.2 Ohjaus-laskentataulu'!A:AQ,COLUMN('1.2 Ohjaus-laskentataulu'!AL:AL),FALSE),0)</f>
        <v>20540815</v>
      </c>
      <c r="AB42" s="170">
        <f>Vertailu[[#This Row],[Perusrahoitus 2025, €]]-Vertailu[[#This Row],[Perusrahoitus 2024, €]]</f>
        <v>-1026948</v>
      </c>
      <c r="AC42" s="172">
        <f>IFERROR(Vertailu[[#This Row],[Perusrahoituksen muutos, €]]/Vertailu[[#This Row],[Perusrahoitus 2024, €]],0)</f>
        <v>-4.761495200035349E-2</v>
      </c>
      <c r="AD42" s="170">
        <f>IFERROR(VLOOKUP(Vertailu[[#This Row],[Y-tunnus]],'Suoritepäät. 2024 oikaistu'!$O:$Y,COLUMN('Suoritepäät. 2024 oikaistu'!D:D),FALSE),0)</f>
        <v>6076572</v>
      </c>
      <c r="AE42" s="170">
        <f>IFERROR(VLOOKUP(Vertailu[[#This Row],[Y-tunnus]],'1.2 Ohjaus-laskentataulu'!A:AQ,COLUMN('1.2 Ohjaus-laskentataulu'!N:N),FALSE),0)</f>
        <v>5953906</v>
      </c>
      <c r="AF42" s="170">
        <f>Vertailu[[#This Row],[Suoritusrahoitus 2025, €]]-Vertailu[[#This Row],[Suoritusrahoitus 2024, €]]</f>
        <v>-122666</v>
      </c>
      <c r="AG42" s="172">
        <f>IFERROR(Vertailu[[#This Row],[Suoritusrahoituksen muutos, €]]/Vertailu[[#This Row],[Suoritusrahoitus 2024, €]],0)</f>
        <v>-2.0186710533504747E-2</v>
      </c>
      <c r="AH42" s="170">
        <f>IFERROR(VLOOKUP(Vertailu[[#This Row],[Y-tunnus]],'Suoritepäät. 2024 oikaistu'!$AB:$AL,COLUMN('Suoritepäät. 2024 oikaistu'!I:I),FALSE),0)</f>
        <v>3675203</v>
      </c>
      <c r="AI4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3378062</v>
      </c>
      <c r="AJ42" s="170">
        <f>Vertailu[[#This Row],[Vaikuttavuusrahoitus 2025, €]]-Vertailu[[#This Row],[Vaikuttavuusrahoitus 2024, €]]</f>
        <v>-297141</v>
      </c>
      <c r="AK42" s="172">
        <f>IFERROR(Vertailu[[#This Row],[Vaikuttavuusrahoituksen muutos, €]]/Vertailu[[#This Row],[Vaikuttavuusrahoitus 2024, €]],0)</f>
        <v>-8.0850227864964194E-2</v>
      </c>
    </row>
    <row r="43" spans="1:37" s="2" customFormat="1" ht="12.75" customHeight="1" x14ac:dyDescent="0.25">
      <c r="A43" s="4" t="s">
        <v>284</v>
      </c>
      <c r="B43" s="161" t="s">
        <v>149</v>
      </c>
      <c r="C43" s="161" t="s">
        <v>181</v>
      </c>
      <c r="D43" s="8" t="s">
        <v>326</v>
      </c>
      <c r="E4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0.62819248855643206</v>
      </c>
      <c r="F4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0.63107802786853873</v>
      </c>
      <c r="G4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0.20754241502327186</v>
      </c>
      <c r="H4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0.16137955710818944</v>
      </c>
      <c r="I4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9.6374127485050504E-2</v>
      </c>
      <c r="J4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7.2071153552050798E-3</v>
      </c>
      <c r="K4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2.1498229721632022E-2</v>
      </c>
      <c r="L4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2.7199093555917424E-2</v>
      </c>
      <c r="M4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9.1009909903844218E-3</v>
      </c>
      <c r="N4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1111968</v>
      </c>
      <c r="O43" s="170">
        <f>IFERROR(VLOOKUP(Vertailu[[#This Row],[Y-tunnus]],'1.2 Ohjaus-laskentataulu'!A:AQ,COLUMN('1.2 Ohjaus-laskentataulu'!AE:AE),FALSE),0)</f>
        <v>1036667</v>
      </c>
      <c r="P43" s="170">
        <f>IFERROR(Vertailu[[#This Row],[Rahoitus pl. hark. kor. 2025 ilman alv, €]]-Vertailu[[#This Row],[Rahoitus pl. hark. kor. 2024 ilman alv, €]],0)</f>
        <v>-75301</v>
      </c>
      <c r="Q43" s="172">
        <f>IFERROR(Vertailu[[#This Row],[Muutos, € 1]]/Vertailu[[#This Row],[Rahoitus pl. hark. kor. 2024 ilman alv, €]],0)</f>
        <v>-6.7718675357564248E-2</v>
      </c>
      <c r="R43" s="175">
        <f>IFERROR(VLOOKUP(Vertailu[[#This Row],[Y-tunnus]],'Suoritepäät. 2024 oikaistu'!$AB:$AL,COLUMN('Suoritepäät. 2024 oikaistu'!J:J),FALSE),0)</f>
        <v>1116968</v>
      </c>
      <c r="S43" s="176">
        <f>IFERROR(VLOOKUP(Vertailu[[#This Row],[Y-tunnus]],'1.2 Ohjaus-laskentataulu'!A:AQ,COLUMN('1.2 Ohjaus-laskentataulu'!AO:AO),FALSE),0)</f>
        <v>1039667</v>
      </c>
      <c r="T43" s="170">
        <f>IFERROR(Vertailu[[#This Row],[Rahoitus ml. hark. kor. 
2025 ilman alv, €]]-Vertailu[[#This Row],[Rahoitus ml. hark. kor. 
2024 ilman alv, €]],0)</f>
        <v>-77301</v>
      </c>
      <c r="U43" s="174">
        <f>IFERROR(Vertailu[[#This Row],[Muutos, € 2]]/Vertailu[[#This Row],[Rahoitus ml. hark. kor. 
2024 ilman alv, €]],0)</f>
        <v>-6.9206100801455367E-2</v>
      </c>
      <c r="V4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1164563</v>
      </c>
      <c r="W43" s="175">
        <f>IFERROR(VLOOKUP(Vertailu[[#This Row],[Y-tunnus]],'1.2 Ohjaus-laskentataulu'!A:AQ,COLUMN('1.2 Ohjaus-laskentataulu'!AQ:AQ),FALSE),0)</f>
        <v>1093072</v>
      </c>
      <c r="X43" s="177">
        <f>IFERROR(Vertailu[[#This Row],[Rahoitus ml. hark. kor. + alv 2025, €]]-Vertailu[[#This Row],[Rahoitus ml. hark. kor. + alv 2024, €]],0)</f>
        <v>-71491</v>
      </c>
      <c r="Y43" s="172">
        <f>IFERROR(Vertailu[[#This Row],[Muutos, € 3]]/Vertailu[[#This Row],[Rahoitus ml. hark. kor. + alv 2024, €]],0)</f>
        <v>-6.1388692582539546E-2</v>
      </c>
      <c r="Z43" s="170">
        <f>IFERROR(VLOOKUP(Vertailu[[#This Row],[Y-tunnus]],'Suoritepäät. 2024 oikaistu'!$B:$N,COLUMN('Suoritepäät. 2024 oikaistu'!H:H),FALSE),0)</f>
        <v>717463</v>
      </c>
      <c r="AA43" s="170">
        <f>IFERROR(VLOOKUP(Vertailu[[#This Row],[Y-tunnus]],'1.2 Ohjaus-laskentataulu'!A:AQ,COLUMN('1.2 Ohjaus-laskentataulu'!AL:AL),FALSE),0)</f>
        <v>656111</v>
      </c>
      <c r="AB43" s="170">
        <f>Vertailu[[#This Row],[Perusrahoitus 2025, €]]-Vertailu[[#This Row],[Perusrahoitus 2024, €]]</f>
        <v>-61352</v>
      </c>
      <c r="AC43" s="172">
        <f>IFERROR(Vertailu[[#This Row],[Perusrahoituksen muutos, €]]/Vertailu[[#This Row],[Perusrahoitus 2024, €]],0)</f>
        <v>-8.5512423637177107E-2</v>
      </c>
      <c r="AD43" s="170">
        <f>IFERROR(VLOOKUP(Vertailu[[#This Row],[Y-tunnus]],'Suoritepäät. 2024 oikaistu'!$O:$Y,COLUMN('Suoritepäät. 2024 oikaistu'!D:D),FALSE),0)</f>
        <v>224431</v>
      </c>
      <c r="AE43" s="170">
        <f>IFERROR(VLOOKUP(Vertailu[[#This Row],[Y-tunnus]],'1.2 Ohjaus-laskentataulu'!A:AQ,COLUMN('1.2 Ohjaus-laskentataulu'!N:N),FALSE),0)</f>
        <v>215775</v>
      </c>
      <c r="AF43" s="170">
        <f>Vertailu[[#This Row],[Suoritusrahoitus 2025, €]]-Vertailu[[#This Row],[Suoritusrahoitus 2024, €]]</f>
        <v>-8656</v>
      </c>
      <c r="AG43" s="172">
        <f>IFERROR(Vertailu[[#This Row],[Suoritusrahoituksen muutos, €]]/Vertailu[[#This Row],[Suoritusrahoitus 2024, €]],0)</f>
        <v>-3.8568646933801479E-2</v>
      </c>
      <c r="AH43" s="170">
        <f>IFERROR(VLOOKUP(Vertailu[[#This Row],[Y-tunnus]],'Suoritepäät. 2024 oikaistu'!$AB:$AL,COLUMN('Suoritepäät. 2024 oikaistu'!I:I),FALSE),0)</f>
        <v>175074</v>
      </c>
      <c r="AI4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167781</v>
      </c>
      <c r="AJ43" s="170">
        <f>Vertailu[[#This Row],[Vaikuttavuusrahoitus 2025, €]]-Vertailu[[#This Row],[Vaikuttavuusrahoitus 2024, €]]</f>
        <v>-7293</v>
      </c>
      <c r="AK43" s="172">
        <f>IFERROR(Vertailu[[#This Row],[Vaikuttavuusrahoituksen muutos, €]]/Vertailu[[#This Row],[Vaikuttavuusrahoitus 2024, €]],0)</f>
        <v>-4.1656670893450772E-2</v>
      </c>
    </row>
    <row r="44" spans="1:37" s="2" customFormat="1" ht="12.75" customHeight="1" x14ac:dyDescent="0.25">
      <c r="A44" s="4" t="s">
        <v>283</v>
      </c>
      <c r="B44" s="161" t="s">
        <v>539</v>
      </c>
      <c r="C44" s="161" t="s">
        <v>174</v>
      </c>
      <c r="D44" s="8" t="s">
        <v>326</v>
      </c>
      <c r="E4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0.67394988365517439</v>
      </c>
      <c r="F4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0.67394988365517439</v>
      </c>
      <c r="G4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0.21285448089812642</v>
      </c>
      <c r="H4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0.11319563544669924</v>
      </c>
      <c r="I4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7.491308902465027E-2</v>
      </c>
      <c r="J4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1.2329770369614995E-3</v>
      </c>
      <c r="K4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1.1509330762313547E-2</v>
      </c>
      <c r="L4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2.0901278402506746E-2</v>
      </c>
      <c r="M4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4.6389602202671762E-3</v>
      </c>
      <c r="N4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1199814</v>
      </c>
      <c r="O44" s="170">
        <f>IFERROR(VLOOKUP(Vertailu[[#This Row],[Y-tunnus]],'1.2 Ohjaus-laskentataulu'!A:AQ,COLUMN('1.2 Ohjaus-laskentataulu'!AE:AE),FALSE),0)</f>
        <v>1078690</v>
      </c>
      <c r="P44" s="170">
        <f>IFERROR(Vertailu[[#This Row],[Rahoitus pl. hark. kor. 2025 ilman alv, €]]-Vertailu[[#This Row],[Rahoitus pl. hark. kor. 2024 ilman alv, €]],0)</f>
        <v>-121124</v>
      </c>
      <c r="Q44" s="172">
        <f>IFERROR(Vertailu[[#This Row],[Muutos, € 1]]/Vertailu[[#This Row],[Rahoitus pl. hark. kor. 2024 ilman alv, €]],0)</f>
        <v>-0.10095231427537935</v>
      </c>
      <c r="R44" s="175">
        <f>IFERROR(VLOOKUP(Vertailu[[#This Row],[Y-tunnus]],'Suoritepäät. 2024 oikaistu'!$AB:$AL,COLUMN('Suoritepäät. 2024 oikaistu'!J:J),FALSE),0)</f>
        <v>1199814</v>
      </c>
      <c r="S44" s="176">
        <f>IFERROR(VLOOKUP(Vertailu[[#This Row],[Y-tunnus]],'1.2 Ohjaus-laskentataulu'!A:AQ,COLUMN('1.2 Ohjaus-laskentataulu'!AO:AO),FALSE),0)</f>
        <v>1078690</v>
      </c>
      <c r="T44" s="170">
        <f>IFERROR(Vertailu[[#This Row],[Rahoitus ml. hark. kor. 
2025 ilman alv, €]]-Vertailu[[#This Row],[Rahoitus ml. hark. kor. 
2024 ilman alv, €]],0)</f>
        <v>-121124</v>
      </c>
      <c r="U44" s="174">
        <f>IFERROR(Vertailu[[#This Row],[Muutos, € 2]]/Vertailu[[#This Row],[Rahoitus ml. hark. kor. 
2024 ilman alv, €]],0)</f>
        <v>-0.10095231427537935</v>
      </c>
      <c r="V4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1253763</v>
      </c>
      <c r="W44" s="175">
        <f>IFERROR(VLOOKUP(Vertailu[[#This Row],[Y-tunnus]],'1.2 Ohjaus-laskentataulu'!A:AQ,COLUMN('1.2 Ohjaus-laskentataulu'!AQ:AQ),FALSE),0)</f>
        <v>1141526</v>
      </c>
      <c r="X44" s="177">
        <f>IFERROR(Vertailu[[#This Row],[Rahoitus ml. hark. kor. + alv 2025, €]]-Vertailu[[#This Row],[Rahoitus ml. hark. kor. + alv 2024, €]],0)</f>
        <v>-112237</v>
      </c>
      <c r="Y44" s="172">
        <f>IFERROR(Vertailu[[#This Row],[Muutos, € 3]]/Vertailu[[#This Row],[Rahoitus ml. hark. kor. + alv 2024, €]],0)</f>
        <v>-8.9520108664875253E-2</v>
      </c>
      <c r="Z44" s="170">
        <f>IFERROR(VLOOKUP(Vertailu[[#This Row],[Y-tunnus]],'Suoritepäät. 2024 oikaistu'!$B:$N,COLUMN('Suoritepäät. 2024 oikaistu'!H:H),FALSE),0)</f>
        <v>763645</v>
      </c>
      <c r="AA44" s="170">
        <f>IFERROR(VLOOKUP(Vertailu[[#This Row],[Y-tunnus]],'1.2 Ohjaus-laskentataulu'!A:AQ,COLUMN('1.2 Ohjaus-laskentataulu'!AL:AL),FALSE),0)</f>
        <v>726983</v>
      </c>
      <c r="AB44" s="170">
        <f>Vertailu[[#This Row],[Perusrahoitus 2025, €]]-Vertailu[[#This Row],[Perusrahoitus 2024, €]]</f>
        <v>-36662</v>
      </c>
      <c r="AC44" s="172">
        <f>IFERROR(Vertailu[[#This Row],[Perusrahoituksen muutos, €]]/Vertailu[[#This Row],[Perusrahoitus 2024, €]],0)</f>
        <v>-4.800921894335719E-2</v>
      </c>
      <c r="AD44" s="170">
        <f>IFERROR(VLOOKUP(Vertailu[[#This Row],[Y-tunnus]],'Suoritepäät. 2024 oikaistu'!$O:$Y,COLUMN('Suoritepäät. 2024 oikaistu'!D:D),FALSE),0)</f>
        <v>267181</v>
      </c>
      <c r="AE44" s="170">
        <f>IFERROR(VLOOKUP(Vertailu[[#This Row],[Y-tunnus]],'1.2 Ohjaus-laskentataulu'!A:AQ,COLUMN('1.2 Ohjaus-laskentataulu'!N:N),FALSE),0)</f>
        <v>229604</v>
      </c>
      <c r="AF44" s="170">
        <f>Vertailu[[#This Row],[Suoritusrahoitus 2025, €]]-Vertailu[[#This Row],[Suoritusrahoitus 2024, €]]</f>
        <v>-37577</v>
      </c>
      <c r="AG44" s="172">
        <f>IFERROR(Vertailu[[#This Row],[Suoritusrahoituksen muutos, €]]/Vertailu[[#This Row],[Suoritusrahoitus 2024, €]],0)</f>
        <v>-0.14064248580550265</v>
      </c>
      <c r="AH44" s="170">
        <f>IFERROR(VLOOKUP(Vertailu[[#This Row],[Y-tunnus]],'Suoritepäät. 2024 oikaistu'!$AB:$AL,COLUMN('Suoritepäät. 2024 oikaistu'!I:I),FALSE),0)</f>
        <v>168988</v>
      </c>
      <c r="AI4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122103</v>
      </c>
      <c r="AJ44" s="170">
        <f>Vertailu[[#This Row],[Vaikuttavuusrahoitus 2025, €]]-Vertailu[[#This Row],[Vaikuttavuusrahoitus 2024, €]]</f>
        <v>-46885</v>
      </c>
      <c r="AK44" s="172">
        <f>IFERROR(Vertailu[[#This Row],[Vaikuttavuusrahoituksen muutos, €]]/Vertailu[[#This Row],[Vaikuttavuusrahoitus 2024, €]],0)</f>
        <v>-0.27744573579189052</v>
      </c>
    </row>
    <row r="45" spans="1:37" s="2" customFormat="1" ht="12.75" customHeight="1" x14ac:dyDescent="0.25">
      <c r="A45" s="4" t="s">
        <v>282</v>
      </c>
      <c r="B45" s="161" t="s">
        <v>46</v>
      </c>
      <c r="C45" s="161" t="s">
        <v>174</v>
      </c>
      <c r="D45" s="8" t="s">
        <v>326</v>
      </c>
      <c r="E4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0.88721602043346459</v>
      </c>
      <c r="F4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0.88721602043346459</v>
      </c>
      <c r="G4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4.598862615344828E-2</v>
      </c>
      <c r="H4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6.6795353413087122E-2</v>
      </c>
      <c r="I4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3.8456718861228943E-2</v>
      </c>
      <c r="J4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3.2233897048825422E-3</v>
      </c>
      <c r="K4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5.76690813206033E-3</v>
      </c>
      <c r="L4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1.1832426393936082E-2</v>
      </c>
      <c r="M4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7.5159103209792282E-3</v>
      </c>
      <c r="N4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465929</v>
      </c>
      <c r="O45" s="170">
        <f>IFERROR(VLOOKUP(Vertailu[[#This Row],[Y-tunnus]],'1.2 Ohjaus-laskentataulu'!A:AQ,COLUMN('1.2 Ohjaus-laskentataulu'!AE:AE),FALSE),0)</f>
        <v>375071</v>
      </c>
      <c r="P45" s="170">
        <f>IFERROR(Vertailu[[#This Row],[Rahoitus pl. hark. kor. 2025 ilman alv, €]]-Vertailu[[#This Row],[Rahoitus pl. hark. kor. 2024 ilman alv, €]],0)</f>
        <v>-90858</v>
      </c>
      <c r="Q45" s="172">
        <f>IFERROR(Vertailu[[#This Row],[Muutos, € 1]]/Vertailu[[#This Row],[Rahoitus pl. hark. kor. 2024 ilman alv, €]],0)</f>
        <v>-0.19500395983078966</v>
      </c>
      <c r="R45" s="175">
        <f>IFERROR(VLOOKUP(Vertailu[[#This Row],[Y-tunnus]],'Suoritepäät. 2024 oikaistu'!$AB:$AL,COLUMN('Suoritepäät. 2024 oikaistu'!J:J),FALSE),0)</f>
        <v>465929</v>
      </c>
      <c r="S45" s="176">
        <f>IFERROR(VLOOKUP(Vertailu[[#This Row],[Y-tunnus]],'1.2 Ohjaus-laskentataulu'!A:AQ,COLUMN('1.2 Ohjaus-laskentataulu'!AO:AO),FALSE),0)</f>
        <v>375071</v>
      </c>
      <c r="T45" s="170">
        <f>IFERROR(Vertailu[[#This Row],[Rahoitus ml. hark. kor. 
2025 ilman alv, €]]-Vertailu[[#This Row],[Rahoitus ml. hark. kor. 
2024 ilman alv, €]],0)</f>
        <v>-90858</v>
      </c>
      <c r="U45" s="174">
        <f>IFERROR(Vertailu[[#This Row],[Muutos, € 2]]/Vertailu[[#This Row],[Rahoitus ml. hark. kor. 
2024 ilman alv, €]],0)</f>
        <v>-0.19500395983078966</v>
      </c>
      <c r="V4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465929</v>
      </c>
      <c r="W45" s="175">
        <f>IFERROR(VLOOKUP(Vertailu[[#This Row],[Y-tunnus]],'1.2 Ohjaus-laskentataulu'!A:AQ,COLUMN('1.2 Ohjaus-laskentataulu'!AQ:AQ),FALSE),0)</f>
        <v>375071</v>
      </c>
      <c r="X45" s="177">
        <f>IFERROR(Vertailu[[#This Row],[Rahoitus ml. hark. kor. + alv 2025, €]]-Vertailu[[#This Row],[Rahoitus ml. hark. kor. + alv 2024, €]],0)</f>
        <v>-90858</v>
      </c>
      <c r="Y45" s="172">
        <f>IFERROR(Vertailu[[#This Row],[Muutos, € 3]]/Vertailu[[#This Row],[Rahoitus ml. hark. kor. + alv 2024, €]],0)</f>
        <v>-0.19500395983078966</v>
      </c>
      <c r="Z45" s="170">
        <f>IFERROR(VLOOKUP(Vertailu[[#This Row],[Y-tunnus]],'Suoritepäät. 2024 oikaistu'!$B:$N,COLUMN('Suoritepäät. 2024 oikaistu'!H:H),FALSE),0)</f>
        <v>397860</v>
      </c>
      <c r="AA45" s="170">
        <f>IFERROR(VLOOKUP(Vertailu[[#This Row],[Y-tunnus]],'1.2 Ohjaus-laskentataulu'!A:AQ,COLUMN('1.2 Ohjaus-laskentataulu'!AL:AL),FALSE),0)</f>
        <v>332769</v>
      </c>
      <c r="AB45" s="170">
        <f>Vertailu[[#This Row],[Perusrahoitus 2025, €]]-Vertailu[[#This Row],[Perusrahoitus 2024, €]]</f>
        <v>-65091</v>
      </c>
      <c r="AC45" s="172">
        <f>IFERROR(Vertailu[[#This Row],[Perusrahoituksen muutos, €]]/Vertailu[[#This Row],[Perusrahoitus 2024, €]],0)</f>
        <v>-0.16360277484542302</v>
      </c>
      <c r="AD45" s="170">
        <f>IFERROR(VLOOKUP(Vertailu[[#This Row],[Y-tunnus]],'Suoritepäät. 2024 oikaistu'!$O:$Y,COLUMN('Suoritepäät. 2024 oikaistu'!D:D),FALSE),0)</f>
        <v>34239</v>
      </c>
      <c r="AE45" s="170">
        <f>IFERROR(VLOOKUP(Vertailu[[#This Row],[Y-tunnus]],'1.2 Ohjaus-laskentataulu'!A:AQ,COLUMN('1.2 Ohjaus-laskentataulu'!N:N),FALSE),0)</f>
        <v>17249</v>
      </c>
      <c r="AF45" s="170">
        <f>Vertailu[[#This Row],[Suoritusrahoitus 2025, €]]-Vertailu[[#This Row],[Suoritusrahoitus 2024, €]]</f>
        <v>-16990</v>
      </c>
      <c r="AG45" s="172">
        <f>IFERROR(Vertailu[[#This Row],[Suoritusrahoituksen muutos, €]]/Vertailu[[#This Row],[Suoritusrahoitus 2024, €]],0)</f>
        <v>-0.49621776336925727</v>
      </c>
      <c r="AH45" s="170">
        <f>IFERROR(VLOOKUP(Vertailu[[#This Row],[Y-tunnus]],'Suoritepäät. 2024 oikaistu'!$AB:$AL,COLUMN('Suoritepäät. 2024 oikaistu'!I:I),FALSE),0)</f>
        <v>33830</v>
      </c>
      <c r="AI4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25053</v>
      </c>
      <c r="AJ45" s="170">
        <f>Vertailu[[#This Row],[Vaikuttavuusrahoitus 2025, €]]-Vertailu[[#This Row],[Vaikuttavuusrahoitus 2024, €]]</f>
        <v>-8777</v>
      </c>
      <c r="AK45" s="172">
        <f>IFERROR(Vertailu[[#This Row],[Vaikuttavuusrahoituksen muutos, €]]/Vertailu[[#This Row],[Vaikuttavuusrahoitus 2024, €]],0)</f>
        <v>-0.25944428022465266</v>
      </c>
    </row>
    <row r="46" spans="1:37" s="2" customFormat="1" ht="12.75" customHeight="1" x14ac:dyDescent="0.25">
      <c r="A46" s="4" t="s">
        <v>281</v>
      </c>
      <c r="B46" s="161" t="s">
        <v>495</v>
      </c>
      <c r="C46" s="161" t="s">
        <v>176</v>
      </c>
      <c r="D46" s="8" t="s">
        <v>326</v>
      </c>
      <c r="E4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0.77482176335882813</v>
      </c>
      <c r="F4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0.77482176335882813</v>
      </c>
      <c r="G4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0.12118145430719629</v>
      </c>
      <c r="H4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0.10399678233397557</v>
      </c>
      <c r="I4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5.2202738908458696E-2</v>
      </c>
      <c r="J4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9.9643851079150685E-3</v>
      </c>
      <c r="K4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1.5906687685291503E-2</v>
      </c>
      <c r="L4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2.2147402837514353E-2</v>
      </c>
      <c r="M4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3.775567794795944E-3</v>
      </c>
      <c r="N4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159109</v>
      </c>
      <c r="O46" s="170">
        <f>IFERROR(VLOOKUP(Vertailu[[#This Row],[Y-tunnus]],'1.2 Ohjaus-laskentataulu'!A:AQ,COLUMN('1.2 Ohjaus-laskentataulu'!AE:AE),FALSE),0)</f>
        <v>154149</v>
      </c>
      <c r="P46" s="170">
        <f>IFERROR(Vertailu[[#This Row],[Rahoitus pl. hark. kor. 2025 ilman alv, €]]-Vertailu[[#This Row],[Rahoitus pl. hark. kor. 2024 ilman alv, €]],0)</f>
        <v>-4960</v>
      </c>
      <c r="Q46" s="172">
        <f>IFERROR(Vertailu[[#This Row],[Muutos, € 1]]/Vertailu[[#This Row],[Rahoitus pl. hark. kor. 2024 ilman alv, €]],0)</f>
        <v>-3.1173597973716133E-2</v>
      </c>
      <c r="R46" s="175">
        <f>IFERROR(VLOOKUP(Vertailu[[#This Row],[Y-tunnus]],'Suoritepäät. 2024 oikaistu'!$AB:$AL,COLUMN('Suoritepäät. 2024 oikaistu'!J:J),FALSE),0)</f>
        <v>159109</v>
      </c>
      <c r="S46" s="176">
        <f>IFERROR(VLOOKUP(Vertailu[[#This Row],[Y-tunnus]],'1.2 Ohjaus-laskentataulu'!A:AQ,COLUMN('1.2 Ohjaus-laskentataulu'!AO:AO),FALSE),0)</f>
        <v>154149</v>
      </c>
      <c r="T46" s="170">
        <f>IFERROR(Vertailu[[#This Row],[Rahoitus ml. hark. kor. 
2025 ilman alv, €]]-Vertailu[[#This Row],[Rahoitus ml. hark. kor. 
2024 ilman alv, €]],0)</f>
        <v>-4960</v>
      </c>
      <c r="U46" s="174">
        <f>IFERROR(Vertailu[[#This Row],[Muutos, € 2]]/Vertailu[[#This Row],[Rahoitus ml. hark. kor. 
2024 ilman alv, €]],0)</f>
        <v>-3.1173597973716133E-2</v>
      </c>
      <c r="V4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167919</v>
      </c>
      <c r="W46" s="175">
        <f>IFERROR(VLOOKUP(Vertailu[[#This Row],[Y-tunnus]],'1.2 Ohjaus-laskentataulu'!A:AQ,COLUMN('1.2 Ohjaus-laskentataulu'!AQ:AQ),FALSE),0)</f>
        <v>163570</v>
      </c>
      <c r="X46" s="177">
        <f>IFERROR(Vertailu[[#This Row],[Rahoitus ml. hark. kor. + alv 2025, €]]-Vertailu[[#This Row],[Rahoitus ml. hark. kor. + alv 2024, €]],0)</f>
        <v>-4349</v>
      </c>
      <c r="Y46" s="172">
        <f>IFERROR(Vertailu[[#This Row],[Muutos, € 3]]/Vertailu[[#This Row],[Rahoitus ml. hark. kor. + alv 2024, €]],0)</f>
        <v>-2.5899391968746837E-2</v>
      </c>
      <c r="Z46" s="170">
        <f>IFERROR(VLOOKUP(Vertailu[[#This Row],[Y-tunnus]],'Suoritepäät. 2024 oikaistu'!$B:$N,COLUMN('Suoritepäät. 2024 oikaistu'!H:H),FALSE),0)</f>
        <v>120109</v>
      </c>
      <c r="AA46" s="170">
        <f>IFERROR(VLOOKUP(Vertailu[[#This Row],[Y-tunnus]],'1.2 Ohjaus-laskentataulu'!A:AQ,COLUMN('1.2 Ohjaus-laskentataulu'!AL:AL),FALSE),0)</f>
        <v>119438</v>
      </c>
      <c r="AB46" s="170">
        <f>Vertailu[[#This Row],[Perusrahoitus 2025, €]]-Vertailu[[#This Row],[Perusrahoitus 2024, €]]</f>
        <v>-671</v>
      </c>
      <c r="AC46" s="172">
        <f>IFERROR(Vertailu[[#This Row],[Perusrahoituksen muutos, €]]/Vertailu[[#This Row],[Perusrahoitus 2024, €]],0)</f>
        <v>-5.5865921787709499E-3</v>
      </c>
      <c r="AD46" s="170">
        <f>IFERROR(VLOOKUP(Vertailu[[#This Row],[Y-tunnus]],'Suoritepäät. 2024 oikaistu'!$O:$Y,COLUMN('Suoritepäät. 2024 oikaistu'!D:D),FALSE),0)</f>
        <v>17835</v>
      </c>
      <c r="AE46" s="170">
        <f>IFERROR(VLOOKUP(Vertailu[[#This Row],[Y-tunnus]],'1.2 Ohjaus-laskentataulu'!A:AQ,COLUMN('1.2 Ohjaus-laskentataulu'!N:N),FALSE),0)</f>
        <v>18680</v>
      </c>
      <c r="AF46" s="170">
        <f>Vertailu[[#This Row],[Suoritusrahoitus 2025, €]]-Vertailu[[#This Row],[Suoritusrahoitus 2024, €]]</f>
        <v>845</v>
      </c>
      <c r="AG46" s="172">
        <f>IFERROR(Vertailu[[#This Row],[Suoritusrahoituksen muutos, €]]/Vertailu[[#This Row],[Suoritusrahoitus 2024, €]],0)</f>
        <v>4.7378749649565462E-2</v>
      </c>
      <c r="AH46" s="170">
        <f>IFERROR(VLOOKUP(Vertailu[[#This Row],[Y-tunnus]],'Suoritepäät. 2024 oikaistu'!$AB:$AL,COLUMN('Suoritepäät. 2024 oikaistu'!I:I),FALSE),0)</f>
        <v>21165</v>
      </c>
      <c r="AI4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16031</v>
      </c>
      <c r="AJ46" s="170">
        <f>Vertailu[[#This Row],[Vaikuttavuusrahoitus 2025, €]]-Vertailu[[#This Row],[Vaikuttavuusrahoitus 2024, €]]</f>
        <v>-5134</v>
      </c>
      <c r="AK46" s="172">
        <f>IFERROR(Vertailu[[#This Row],[Vaikuttavuusrahoituksen muutos, €]]/Vertailu[[#This Row],[Vaikuttavuusrahoitus 2024, €]],0)</f>
        <v>-0.24257028112449799</v>
      </c>
    </row>
    <row r="47" spans="1:37" s="2" customFormat="1" ht="12.75" customHeight="1" x14ac:dyDescent="0.25">
      <c r="A47" s="4" t="s">
        <v>279</v>
      </c>
      <c r="B47" s="161" t="s">
        <v>48</v>
      </c>
      <c r="C47" s="161" t="s">
        <v>174</v>
      </c>
      <c r="D47" s="8" t="s">
        <v>326</v>
      </c>
      <c r="E4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0.74770193748254232</v>
      </c>
      <c r="F4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0.74897158528224272</v>
      </c>
      <c r="G4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0.17639978669916964</v>
      </c>
      <c r="H4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7.4628628018587648E-2</v>
      </c>
      <c r="I4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4.5919351971763035E-2</v>
      </c>
      <c r="J4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3.1715802036515069E-3</v>
      </c>
      <c r="K4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1.2234326197912699E-2</v>
      </c>
      <c r="L4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8.6729641197531796E-3</v>
      </c>
      <c r="M4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4.6304055255072243E-3</v>
      </c>
      <c r="N4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830751</v>
      </c>
      <c r="O47" s="170">
        <f>IFERROR(VLOOKUP(Vertailu[[#This Row],[Y-tunnus]],'1.2 Ohjaus-laskentataulu'!A:AQ,COLUMN('1.2 Ohjaus-laskentataulu'!AE:AE),FALSE),0)</f>
        <v>786620</v>
      </c>
      <c r="P47" s="170">
        <f>IFERROR(Vertailu[[#This Row],[Rahoitus pl. hark. kor. 2025 ilman alv, €]]-Vertailu[[#This Row],[Rahoitus pl. hark. kor. 2024 ilman alv, €]],0)</f>
        <v>-44131</v>
      </c>
      <c r="Q47" s="172">
        <f>IFERROR(Vertailu[[#This Row],[Muutos, € 1]]/Vertailu[[#This Row],[Rahoitus pl. hark. kor. 2024 ilman alv, €]],0)</f>
        <v>-5.3121813876841555E-2</v>
      </c>
      <c r="R47" s="175">
        <f>IFERROR(VLOOKUP(Vertailu[[#This Row],[Y-tunnus]],'Suoritepäät. 2024 oikaistu'!$AB:$AL,COLUMN('Suoritepäät. 2024 oikaistu'!J:J),FALSE),0)</f>
        <v>830751</v>
      </c>
      <c r="S47" s="176">
        <f>IFERROR(VLOOKUP(Vertailu[[#This Row],[Y-tunnus]],'1.2 Ohjaus-laskentataulu'!A:AQ,COLUMN('1.2 Ohjaus-laskentataulu'!AO:AO),FALSE),0)</f>
        <v>787620</v>
      </c>
      <c r="T47" s="170">
        <f>IFERROR(Vertailu[[#This Row],[Rahoitus ml. hark. kor. 
2025 ilman alv, €]]-Vertailu[[#This Row],[Rahoitus ml. hark. kor. 
2024 ilman alv, €]],0)</f>
        <v>-43131</v>
      </c>
      <c r="U47" s="174">
        <f>IFERROR(Vertailu[[#This Row],[Muutos, € 2]]/Vertailu[[#This Row],[Rahoitus ml. hark. kor. 
2024 ilman alv, €]],0)</f>
        <v>-5.1918083757949131E-2</v>
      </c>
      <c r="V4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870099</v>
      </c>
      <c r="W47" s="175">
        <f>IFERROR(VLOOKUP(Vertailu[[#This Row],[Y-tunnus]],'1.2 Ohjaus-laskentataulu'!A:AQ,COLUMN('1.2 Ohjaus-laskentataulu'!AQ:AQ),FALSE),0)</f>
        <v>837771</v>
      </c>
      <c r="X47" s="177">
        <f>IFERROR(Vertailu[[#This Row],[Rahoitus ml. hark. kor. + alv 2025, €]]-Vertailu[[#This Row],[Rahoitus ml. hark. kor. + alv 2024, €]],0)</f>
        <v>-32328</v>
      </c>
      <c r="Y47" s="172">
        <f>IFERROR(Vertailu[[#This Row],[Muutos, € 3]]/Vertailu[[#This Row],[Rahoitus ml. hark. kor. + alv 2024, €]],0)</f>
        <v>-3.7154392775994458E-2</v>
      </c>
      <c r="Z47" s="170">
        <f>IFERROR(VLOOKUP(Vertailu[[#This Row],[Y-tunnus]],'Suoritepäät. 2024 oikaistu'!$B:$N,COLUMN('Suoritepäät. 2024 oikaistu'!H:H),FALSE),0)</f>
        <v>628523</v>
      </c>
      <c r="AA47" s="170">
        <f>IFERROR(VLOOKUP(Vertailu[[#This Row],[Y-tunnus]],'1.2 Ohjaus-laskentataulu'!A:AQ,COLUMN('1.2 Ohjaus-laskentataulu'!AL:AL),FALSE),0)</f>
        <v>589905</v>
      </c>
      <c r="AB47" s="170">
        <f>Vertailu[[#This Row],[Perusrahoitus 2025, €]]-Vertailu[[#This Row],[Perusrahoitus 2024, €]]</f>
        <v>-38618</v>
      </c>
      <c r="AC47" s="172">
        <f>IFERROR(Vertailu[[#This Row],[Perusrahoituksen muutos, €]]/Vertailu[[#This Row],[Perusrahoitus 2024, €]],0)</f>
        <v>-6.1442461135073817E-2</v>
      </c>
      <c r="AD47" s="170">
        <f>IFERROR(VLOOKUP(Vertailu[[#This Row],[Y-tunnus]],'Suoritepäät. 2024 oikaistu'!$O:$Y,COLUMN('Suoritepäät. 2024 oikaistu'!D:D),FALSE),0)</f>
        <v>125390</v>
      </c>
      <c r="AE47" s="170">
        <f>IFERROR(VLOOKUP(Vertailu[[#This Row],[Y-tunnus]],'1.2 Ohjaus-laskentataulu'!A:AQ,COLUMN('1.2 Ohjaus-laskentataulu'!N:N),FALSE),0)</f>
        <v>138936</v>
      </c>
      <c r="AF47" s="170">
        <f>Vertailu[[#This Row],[Suoritusrahoitus 2025, €]]-Vertailu[[#This Row],[Suoritusrahoitus 2024, €]]</f>
        <v>13546</v>
      </c>
      <c r="AG47" s="172">
        <f>IFERROR(Vertailu[[#This Row],[Suoritusrahoituksen muutos, €]]/Vertailu[[#This Row],[Suoritusrahoitus 2024, €]],0)</f>
        <v>0.10803094345641598</v>
      </c>
      <c r="AH47" s="170">
        <f>IFERROR(VLOOKUP(Vertailu[[#This Row],[Y-tunnus]],'Suoritepäät. 2024 oikaistu'!$AB:$AL,COLUMN('Suoritepäät. 2024 oikaistu'!I:I),FALSE),0)</f>
        <v>76838</v>
      </c>
      <c r="AI4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58779</v>
      </c>
      <c r="AJ47" s="170">
        <f>Vertailu[[#This Row],[Vaikuttavuusrahoitus 2025, €]]-Vertailu[[#This Row],[Vaikuttavuusrahoitus 2024, €]]</f>
        <v>-18059</v>
      </c>
      <c r="AK47" s="172">
        <f>IFERROR(Vertailu[[#This Row],[Vaikuttavuusrahoituksen muutos, €]]/Vertailu[[#This Row],[Vaikuttavuusrahoitus 2024, €]],0)</f>
        <v>-0.23502693979541373</v>
      </c>
    </row>
    <row r="48" spans="1:37" s="2" customFormat="1" ht="12.75" customHeight="1" x14ac:dyDescent="0.25">
      <c r="A48" s="4" t="s">
        <v>278</v>
      </c>
      <c r="B48" s="161" t="s">
        <v>49</v>
      </c>
      <c r="C48" s="161" t="s">
        <v>223</v>
      </c>
      <c r="D48" s="8" t="s">
        <v>325</v>
      </c>
      <c r="E4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0.70852202978744949</v>
      </c>
      <c r="F4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0.70935032697972911</v>
      </c>
      <c r="G4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0.18710345036607912</v>
      </c>
      <c r="H4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0.10354622265419176</v>
      </c>
      <c r="I4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7.4153983836533294E-2</v>
      </c>
      <c r="J4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4.0549665546771212E-3</v>
      </c>
      <c r="K4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1.1453166476628937E-2</v>
      </c>
      <c r="L4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9.7900963140210191E-3</v>
      </c>
      <c r="M4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4.094009472331391E-3</v>
      </c>
      <c r="N4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27529424</v>
      </c>
      <c r="O48" s="170">
        <f>IFERROR(VLOOKUP(Vertailu[[#This Row],[Y-tunnus]],'1.2 Ohjaus-laskentataulu'!A:AQ,COLUMN('1.2 Ohjaus-laskentataulu'!AE:AE),FALSE),0)</f>
        <v>26538515</v>
      </c>
      <c r="P48" s="170">
        <f>IFERROR(Vertailu[[#This Row],[Rahoitus pl. hark. kor. 2025 ilman alv, €]]-Vertailu[[#This Row],[Rahoitus pl. hark. kor. 2024 ilman alv, €]],0)</f>
        <v>-990909</v>
      </c>
      <c r="Q48" s="172">
        <f>IFERROR(Vertailu[[#This Row],[Muutos, € 1]]/Vertailu[[#This Row],[Rahoitus pl. hark. kor. 2024 ilman alv, €]],0)</f>
        <v>-3.5994541694733609E-2</v>
      </c>
      <c r="R48" s="175">
        <f>IFERROR(VLOOKUP(Vertailu[[#This Row],[Y-tunnus]],'Suoritepäät. 2024 oikaistu'!$AB:$AL,COLUMN('Suoritepäät. 2024 oikaistu'!J:J),FALSE),0)</f>
        <v>27635070</v>
      </c>
      <c r="S48" s="176">
        <f>IFERROR(VLOOKUP(Vertailu[[#This Row],[Y-tunnus]],'1.2 Ohjaus-laskentataulu'!A:AQ,COLUMN('1.2 Ohjaus-laskentataulu'!AO:AO),FALSE),0)</f>
        <v>26560515</v>
      </c>
      <c r="T48" s="170">
        <f>IFERROR(Vertailu[[#This Row],[Rahoitus ml. hark. kor. 
2025 ilman alv, €]]-Vertailu[[#This Row],[Rahoitus ml. hark. kor. 
2024 ilman alv, €]],0)</f>
        <v>-1074555</v>
      </c>
      <c r="U48" s="174">
        <f>IFERROR(Vertailu[[#This Row],[Muutos, € 2]]/Vertailu[[#This Row],[Rahoitus ml. hark. kor. 
2024 ilman alv, €]],0)</f>
        <v>-3.8883744459485718E-2</v>
      </c>
      <c r="V4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27635070</v>
      </c>
      <c r="W48" s="175">
        <f>IFERROR(VLOOKUP(Vertailu[[#This Row],[Y-tunnus]],'1.2 Ohjaus-laskentataulu'!A:AQ,COLUMN('1.2 Ohjaus-laskentataulu'!AQ:AQ),FALSE),0)</f>
        <v>26560515</v>
      </c>
      <c r="X48" s="177">
        <f>IFERROR(Vertailu[[#This Row],[Rahoitus ml. hark. kor. + alv 2025, €]]-Vertailu[[#This Row],[Rahoitus ml. hark. kor. + alv 2024, €]],0)</f>
        <v>-1074555</v>
      </c>
      <c r="Y48" s="172">
        <f>IFERROR(Vertailu[[#This Row],[Muutos, € 3]]/Vertailu[[#This Row],[Rahoitus ml. hark. kor. + alv 2024, €]],0)</f>
        <v>-3.8883744459485718E-2</v>
      </c>
      <c r="Z48" s="170">
        <f>IFERROR(VLOOKUP(Vertailu[[#This Row],[Y-tunnus]],'Suoritepäät. 2024 oikaistu'!$B:$N,COLUMN('Suoritepäät. 2024 oikaistu'!H:H),FALSE),0)</f>
        <v>19901057</v>
      </c>
      <c r="AA48" s="170">
        <f>IFERROR(VLOOKUP(Vertailu[[#This Row],[Y-tunnus]],'1.2 Ohjaus-laskentataulu'!A:AQ,COLUMN('1.2 Ohjaus-laskentataulu'!AL:AL),FALSE),0)</f>
        <v>18840710</v>
      </c>
      <c r="AB48" s="170">
        <f>Vertailu[[#This Row],[Perusrahoitus 2025, €]]-Vertailu[[#This Row],[Perusrahoitus 2024, €]]</f>
        <v>-1060347</v>
      </c>
      <c r="AC48" s="172">
        <f>IFERROR(Vertailu[[#This Row],[Perusrahoituksen muutos, €]]/Vertailu[[#This Row],[Perusrahoitus 2024, €]],0)</f>
        <v>-5.3280938796366445E-2</v>
      </c>
      <c r="AD48" s="170">
        <f>IFERROR(VLOOKUP(Vertailu[[#This Row],[Y-tunnus]],'Suoritepäät. 2024 oikaistu'!$O:$Y,COLUMN('Suoritepäät. 2024 oikaistu'!D:D),FALSE),0)</f>
        <v>4854089</v>
      </c>
      <c r="AE48" s="170">
        <f>IFERROR(VLOOKUP(Vertailu[[#This Row],[Y-tunnus]],'1.2 Ohjaus-laskentataulu'!A:AQ,COLUMN('1.2 Ohjaus-laskentataulu'!N:N),FALSE),0)</f>
        <v>4969564</v>
      </c>
      <c r="AF48" s="170">
        <f>Vertailu[[#This Row],[Suoritusrahoitus 2025, €]]-Vertailu[[#This Row],[Suoritusrahoitus 2024, €]]</f>
        <v>115475</v>
      </c>
      <c r="AG48" s="172">
        <f>IFERROR(Vertailu[[#This Row],[Suoritusrahoituksen muutos, €]]/Vertailu[[#This Row],[Suoritusrahoitus 2024, €]],0)</f>
        <v>2.3789221829266006E-2</v>
      </c>
      <c r="AH48" s="170">
        <f>IFERROR(VLOOKUP(Vertailu[[#This Row],[Y-tunnus]],'Suoritepäät. 2024 oikaistu'!$AB:$AL,COLUMN('Suoritepäät. 2024 oikaistu'!I:I),FALSE),0)</f>
        <v>2879924</v>
      </c>
      <c r="AI4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2750241</v>
      </c>
      <c r="AJ48" s="170">
        <f>Vertailu[[#This Row],[Vaikuttavuusrahoitus 2025, €]]-Vertailu[[#This Row],[Vaikuttavuusrahoitus 2024, €]]</f>
        <v>-129683</v>
      </c>
      <c r="AK48" s="172">
        <f>IFERROR(Vertailu[[#This Row],[Vaikuttavuusrahoituksen muutos, €]]/Vertailu[[#This Row],[Vaikuttavuusrahoitus 2024, €]],0)</f>
        <v>-4.5030007736315263E-2</v>
      </c>
    </row>
    <row r="49" spans="1:37" s="2" customFormat="1" ht="12.75" customHeight="1" x14ac:dyDescent="0.25">
      <c r="A49" s="4" t="s">
        <v>268</v>
      </c>
      <c r="B49" s="161" t="s">
        <v>434</v>
      </c>
      <c r="C49" s="161" t="s">
        <v>266</v>
      </c>
      <c r="D49" s="8" t="s">
        <v>326</v>
      </c>
      <c r="E4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0.71768235714780038</v>
      </c>
      <c r="F4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0.71768235714780038</v>
      </c>
      <c r="G4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0.21227133267203396</v>
      </c>
      <c r="H4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7.0046310180165633E-2</v>
      </c>
      <c r="I4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5.8933020369558699E-2</v>
      </c>
      <c r="J4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3.1834644397794641E-3</v>
      </c>
      <c r="K4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7.9298253708274709E-3</v>
      </c>
      <c r="L4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4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4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677522</v>
      </c>
      <c r="O49" s="170">
        <f>IFERROR(VLOOKUP(Vertailu[[#This Row],[Y-tunnus]],'1.2 Ohjaus-laskentataulu'!A:AQ,COLUMN('1.2 Ohjaus-laskentataulu'!AE:AE),FALSE),0)</f>
        <v>693584</v>
      </c>
      <c r="P49" s="170">
        <f>IFERROR(Vertailu[[#This Row],[Rahoitus pl. hark. kor. 2025 ilman alv, €]]-Vertailu[[#This Row],[Rahoitus pl. hark. kor. 2024 ilman alv, €]],0)</f>
        <v>16062</v>
      </c>
      <c r="Q49" s="172">
        <f>IFERROR(Vertailu[[#This Row],[Muutos, € 1]]/Vertailu[[#This Row],[Rahoitus pl. hark. kor. 2024 ilman alv, €]],0)</f>
        <v>2.3706979256762142E-2</v>
      </c>
      <c r="R49" s="175">
        <f>IFERROR(VLOOKUP(Vertailu[[#This Row],[Y-tunnus]],'Suoritepäät. 2024 oikaistu'!$AB:$AL,COLUMN('Suoritepäät. 2024 oikaistu'!J:J),FALSE),0)</f>
        <v>677522</v>
      </c>
      <c r="S49" s="176">
        <f>IFERROR(VLOOKUP(Vertailu[[#This Row],[Y-tunnus]],'1.2 Ohjaus-laskentataulu'!A:AQ,COLUMN('1.2 Ohjaus-laskentataulu'!AO:AO),FALSE),0)</f>
        <v>693584</v>
      </c>
      <c r="T49" s="170">
        <f>IFERROR(Vertailu[[#This Row],[Rahoitus ml. hark. kor. 
2025 ilman alv, €]]-Vertailu[[#This Row],[Rahoitus ml. hark. kor. 
2024 ilman alv, €]],0)</f>
        <v>16062</v>
      </c>
      <c r="U49" s="174">
        <f>IFERROR(Vertailu[[#This Row],[Muutos, € 2]]/Vertailu[[#This Row],[Rahoitus ml. hark. kor. 
2024 ilman alv, €]],0)</f>
        <v>2.3706979256762142E-2</v>
      </c>
      <c r="V4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693696</v>
      </c>
      <c r="W49" s="175">
        <f>IFERROR(VLOOKUP(Vertailu[[#This Row],[Y-tunnus]],'1.2 Ohjaus-laskentataulu'!A:AQ,COLUMN('1.2 Ohjaus-laskentataulu'!AQ:AQ),FALSE),0)</f>
        <v>703188</v>
      </c>
      <c r="X49" s="177">
        <f>IFERROR(Vertailu[[#This Row],[Rahoitus ml. hark. kor. + alv 2025, €]]-Vertailu[[#This Row],[Rahoitus ml. hark. kor. + alv 2024, €]],0)</f>
        <v>9492</v>
      </c>
      <c r="Y49" s="172">
        <f>IFERROR(Vertailu[[#This Row],[Muutos, € 3]]/Vertailu[[#This Row],[Rahoitus ml. hark. kor. + alv 2024, €]],0)</f>
        <v>1.3683227234984777E-2</v>
      </c>
      <c r="Z49" s="170">
        <f>IFERROR(VLOOKUP(Vertailu[[#This Row],[Y-tunnus]],'Suoritepäät. 2024 oikaistu'!$B:$N,COLUMN('Suoritepäät. 2024 oikaistu'!H:H),FALSE),0)</f>
        <v>496813</v>
      </c>
      <c r="AA49" s="170">
        <f>IFERROR(VLOOKUP(Vertailu[[#This Row],[Y-tunnus]],'1.2 Ohjaus-laskentataulu'!A:AQ,COLUMN('1.2 Ohjaus-laskentataulu'!AL:AL),FALSE),0)</f>
        <v>497773</v>
      </c>
      <c r="AB49" s="170">
        <f>Vertailu[[#This Row],[Perusrahoitus 2025, €]]-Vertailu[[#This Row],[Perusrahoitus 2024, €]]</f>
        <v>960</v>
      </c>
      <c r="AC49" s="172">
        <f>IFERROR(Vertailu[[#This Row],[Perusrahoituksen muutos, €]]/Vertailu[[#This Row],[Perusrahoitus 2024, €]],0)</f>
        <v>1.9323165859186455E-3</v>
      </c>
      <c r="AD49" s="170">
        <f>IFERROR(VLOOKUP(Vertailu[[#This Row],[Y-tunnus]],'Suoritepäät. 2024 oikaistu'!$O:$Y,COLUMN('Suoritepäät. 2024 oikaistu'!D:D),FALSE),0)</f>
        <v>126643</v>
      </c>
      <c r="AE49" s="170">
        <f>IFERROR(VLOOKUP(Vertailu[[#This Row],[Y-tunnus]],'1.2 Ohjaus-laskentataulu'!A:AQ,COLUMN('1.2 Ohjaus-laskentataulu'!N:N),FALSE),0)</f>
        <v>147228</v>
      </c>
      <c r="AF49" s="170">
        <f>Vertailu[[#This Row],[Suoritusrahoitus 2025, €]]-Vertailu[[#This Row],[Suoritusrahoitus 2024, €]]</f>
        <v>20585</v>
      </c>
      <c r="AG49" s="172">
        <f>IFERROR(Vertailu[[#This Row],[Suoritusrahoituksen muutos, €]]/Vertailu[[#This Row],[Suoritusrahoitus 2024, €]],0)</f>
        <v>0.1625435278696809</v>
      </c>
      <c r="AH49" s="170">
        <f>IFERROR(VLOOKUP(Vertailu[[#This Row],[Y-tunnus]],'Suoritepäät. 2024 oikaistu'!$AB:$AL,COLUMN('Suoritepäät. 2024 oikaistu'!I:I),FALSE),0)</f>
        <v>54066</v>
      </c>
      <c r="AI4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48583</v>
      </c>
      <c r="AJ49" s="170">
        <f>Vertailu[[#This Row],[Vaikuttavuusrahoitus 2025, €]]-Vertailu[[#This Row],[Vaikuttavuusrahoitus 2024, €]]</f>
        <v>-5483</v>
      </c>
      <c r="AK49" s="172">
        <f>IFERROR(Vertailu[[#This Row],[Vaikuttavuusrahoituksen muutos, €]]/Vertailu[[#This Row],[Vaikuttavuusrahoitus 2024, €]],0)</f>
        <v>-0.10141308770761662</v>
      </c>
    </row>
    <row r="50" spans="1:37" s="2" customFormat="1" ht="12.75" customHeight="1" x14ac:dyDescent="0.25">
      <c r="A50" s="4" t="s">
        <v>267</v>
      </c>
      <c r="B50" s="161" t="s">
        <v>51</v>
      </c>
      <c r="C50" s="161" t="s">
        <v>266</v>
      </c>
      <c r="D50" s="8" t="s">
        <v>325</v>
      </c>
      <c r="E5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0.66415627059114202</v>
      </c>
      <c r="F5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0.66535734646433764</v>
      </c>
      <c r="G5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0.22487721448759213</v>
      </c>
      <c r="H5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0.10976543904807025</v>
      </c>
      <c r="I5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7.5280306613177486E-2</v>
      </c>
      <c r="J5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3.9134844819890928E-3</v>
      </c>
      <c r="K5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1.0903524813168697E-2</v>
      </c>
      <c r="L5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1.2250815870295943E-2</v>
      </c>
      <c r="M5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7.4173072694390255E-3</v>
      </c>
      <c r="N5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32945773</v>
      </c>
      <c r="O50" s="170">
        <f>IFERROR(VLOOKUP(Vertailu[[#This Row],[Y-tunnus]],'1.2 Ohjaus-laskentataulu'!A:AQ,COLUMN('1.2 Ohjaus-laskentataulu'!AE:AE),FALSE),0)</f>
        <v>31600301</v>
      </c>
      <c r="P50" s="170">
        <f>IFERROR(Vertailu[[#This Row],[Rahoitus pl. hark. kor. 2025 ilman alv, €]]-Vertailu[[#This Row],[Rahoitus pl. hark. kor. 2024 ilman alv, €]],0)</f>
        <v>-1345472</v>
      </c>
      <c r="Q50" s="172">
        <f>IFERROR(Vertailu[[#This Row],[Muutos, € 1]]/Vertailu[[#This Row],[Rahoitus pl. hark. kor. 2024 ilman alv, €]],0)</f>
        <v>-4.0838987144117093E-2</v>
      </c>
      <c r="R50" s="175">
        <f>IFERROR(VLOOKUP(Vertailu[[#This Row],[Y-tunnus]],'Suoritepäät. 2024 oikaistu'!$AB:$AL,COLUMN('Suoritepäät. 2024 oikaistu'!J:J),FALSE),0)</f>
        <v>33090840</v>
      </c>
      <c r="S50" s="176">
        <f>IFERROR(VLOOKUP(Vertailu[[#This Row],[Y-tunnus]],'1.2 Ohjaus-laskentataulu'!A:AQ,COLUMN('1.2 Ohjaus-laskentataulu'!AO:AO),FALSE),0)</f>
        <v>31638301</v>
      </c>
      <c r="T50" s="170">
        <f>IFERROR(Vertailu[[#This Row],[Rahoitus ml. hark. kor. 
2025 ilman alv, €]]-Vertailu[[#This Row],[Rahoitus ml. hark. kor. 
2024 ilman alv, €]],0)</f>
        <v>-1452539</v>
      </c>
      <c r="U50" s="174">
        <f>IFERROR(Vertailu[[#This Row],[Muutos, € 2]]/Vertailu[[#This Row],[Rahoitus ml. hark. kor. 
2024 ilman alv, €]],0)</f>
        <v>-4.3895500990606462E-2</v>
      </c>
      <c r="V5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33090840</v>
      </c>
      <c r="W50" s="175">
        <f>IFERROR(VLOOKUP(Vertailu[[#This Row],[Y-tunnus]],'1.2 Ohjaus-laskentataulu'!A:AQ,COLUMN('1.2 Ohjaus-laskentataulu'!AQ:AQ),FALSE),0)</f>
        <v>31638301</v>
      </c>
      <c r="X50" s="177">
        <f>IFERROR(Vertailu[[#This Row],[Rahoitus ml. hark. kor. + alv 2025, €]]-Vertailu[[#This Row],[Rahoitus ml. hark. kor. + alv 2024, €]],0)</f>
        <v>-1452539</v>
      </c>
      <c r="Y50" s="172">
        <f>IFERROR(Vertailu[[#This Row],[Muutos, € 3]]/Vertailu[[#This Row],[Rahoitus ml. hark. kor. + alv 2024, €]],0)</f>
        <v>-4.3895500990606462E-2</v>
      </c>
      <c r="Z50" s="170">
        <f>IFERROR(VLOOKUP(Vertailu[[#This Row],[Y-tunnus]],'Suoritepäät. 2024 oikaistu'!$B:$N,COLUMN('Suoritepäät. 2024 oikaistu'!H:H),FALSE),0)</f>
        <v>21855392</v>
      </c>
      <c r="AA50" s="170">
        <f>IFERROR(VLOOKUP(Vertailu[[#This Row],[Y-tunnus]],'1.2 Ohjaus-laskentataulu'!A:AQ,COLUMN('1.2 Ohjaus-laskentataulu'!AL:AL),FALSE),0)</f>
        <v>21050776</v>
      </c>
      <c r="AB50" s="170">
        <f>Vertailu[[#This Row],[Perusrahoitus 2025, €]]-Vertailu[[#This Row],[Perusrahoitus 2024, €]]</f>
        <v>-804616</v>
      </c>
      <c r="AC50" s="172">
        <f>IFERROR(Vertailu[[#This Row],[Perusrahoituksen muutos, €]]/Vertailu[[#This Row],[Perusrahoitus 2024, €]],0)</f>
        <v>-3.6815445817672821E-2</v>
      </c>
      <c r="AD50" s="170">
        <f>IFERROR(VLOOKUP(Vertailu[[#This Row],[Y-tunnus]],'Suoritepäät. 2024 oikaistu'!$O:$Y,COLUMN('Suoritepäät. 2024 oikaistu'!D:D),FALSE),0)</f>
        <v>7164600</v>
      </c>
      <c r="AE50" s="170">
        <f>IFERROR(VLOOKUP(Vertailu[[#This Row],[Y-tunnus]],'1.2 Ohjaus-laskentataulu'!A:AQ,COLUMN('1.2 Ohjaus-laskentataulu'!N:N),FALSE),0)</f>
        <v>7114733</v>
      </c>
      <c r="AF50" s="170">
        <f>Vertailu[[#This Row],[Suoritusrahoitus 2025, €]]-Vertailu[[#This Row],[Suoritusrahoitus 2024, €]]</f>
        <v>-49867</v>
      </c>
      <c r="AG50" s="172">
        <f>IFERROR(Vertailu[[#This Row],[Suoritusrahoituksen muutos, €]]/Vertailu[[#This Row],[Suoritusrahoitus 2024, €]],0)</f>
        <v>-6.9601931719844795E-3</v>
      </c>
      <c r="AH50" s="170">
        <f>IFERROR(VLOOKUP(Vertailu[[#This Row],[Y-tunnus]],'Suoritepäät. 2024 oikaistu'!$AB:$AL,COLUMN('Suoritepäät. 2024 oikaistu'!I:I),FALSE),0)</f>
        <v>4070848</v>
      </c>
      <c r="AI5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3472792</v>
      </c>
      <c r="AJ50" s="170">
        <f>Vertailu[[#This Row],[Vaikuttavuusrahoitus 2025, €]]-Vertailu[[#This Row],[Vaikuttavuusrahoitus 2024, €]]</f>
        <v>-598056</v>
      </c>
      <c r="AK50" s="172">
        <f>IFERROR(Vertailu[[#This Row],[Vaikuttavuusrahoituksen muutos, €]]/Vertailu[[#This Row],[Vaikuttavuusrahoitus 2024, €]],0)</f>
        <v>-0.14691189648938011</v>
      </c>
    </row>
    <row r="51" spans="1:37" s="2" customFormat="1" ht="12.75" customHeight="1" x14ac:dyDescent="0.25">
      <c r="A51" s="4" t="s">
        <v>261</v>
      </c>
      <c r="B51" s="161" t="s">
        <v>52</v>
      </c>
      <c r="C51" s="161" t="s">
        <v>174</v>
      </c>
      <c r="D51" s="8" t="s">
        <v>325</v>
      </c>
      <c r="E5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0.67611156629695002</v>
      </c>
      <c r="F5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0.67731260110854374</v>
      </c>
      <c r="G5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0.22089131996127864</v>
      </c>
      <c r="H5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0.10179607893017767</v>
      </c>
      <c r="I5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7.0796183706166943E-2</v>
      </c>
      <c r="J5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4.9871111807075832E-3</v>
      </c>
      <c r="K5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1.2373017734937566E-2</v>
      </c>
      <c r="L5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1.0895759214710823E-2</v>
      </c>
      <c r="M5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2.7440070936547499E-3</v>
      </c>
      <c r="N5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71156371</v>
      </c>
      <c r="O51" s="170">
        <f>IFERROR(VLOOKUP(Vertailu[[#This Row],[Y-tunnus]],'1.2 Ohjaus-laskentataulu'!A:AQ,COLUMN('1.2 Ohjaus-laskentataulu'!AE:AE),FALSE),0)</f>
        <v>69855688</v>
      </c>
      <c r="P51" s="170">
        <f>IFERROR(Vertailu[[#This Row],[Rahoitus pl. hark. kor. 2025 ilman alv, €]]-Vertailu[[#This Row],[Rahoitus pl. hark. kor. 2024 ilman alv, €]],0)</f>
        <v>-1300683</v>
      </c>
      <c r="Q51" s="172">
        <f>IFERROR(Vertailu[[#This Row],[Muutos, € 1]]/Vertailu[[#This Row],[Rahoitus pl. hark. kor. 2024 ilman alv, €]],0)</f>
        <v>-1.8279220563398323E-2</v>
      </c>
      <c r="R51" s="175">
        <f>IFERROR(VLOOKUP(Vertailu[[#This Row],[Y-tunnus]],'Suoritepäät. 2024 oikaistu'!$AB:$AL,COLUMN('Suoritepäät. 2024 oikaistu'!J:J),FALSE),0)</f>
        <v>71450835</v>
      </c>
      <c r="S51" s="176">
        <f>IFERROR(VLOOKUP(Vertailu[[#This Row],[Y-tunnus]],'1.2 Ohjaus-laskentataulu'!A:AQ,COLUMN('1.2 Ohjaus-laskentataulu'!AO:AO),FALSE),0)</f>
        <v>69939688</v>
      </c>
      <c r="T51" s="170">
        <f>IFERROR(Vertailu[[#This Row],[Rahoitus ml. hark. kor. 
2025 ilman alv, €]]-Vertailu[[#This Row],[Rahoitus ml. hark. kor. 
2024 ilman alv, €]],0)</f>
        <v>-1511147</v>
      </c>
      <c r="U51" s="174">
        <f>IFERROR(Vertailu[[#This Row],[Muutos, € 2]]/Vertailu[[#This Row],[Rahoitus ml. hark. kor. 
2024 ilman alv, €]],0)</f>
        <v>-2.114946592296647E-2</v>
      </c>
      <c r="V5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71450835</v>
      </c>
      <c r="W51" s="175">
        <f>IFERROR(VLOOKUP(Vertailu[[#This Row],[Y-tunnus]],'1.2 Ohjaus-laskentataulu'!A:AQ,COLUMN('1.2 Ohjaus-laskentataulu'!AQ:AQ),FALSE),0)</f>
        <v>69939688</v>
      </c>
      <c r="X51" s="177">
        <f>IFERROR(Vertailu[[#This Row],[Rahoitus ml. hark. kor. + alv 2025, €]]-Vertailu[[#This Row],[Rahoitus ml. hark. kor. + alv 2024, €]],0)</f>
        <v>-1511147</v>
      </c>
      <c r="Y51" s="172">
        <f>IFERROR(Vertailu[[#This Row],[Muutos, € 3]]/Vertailu[[#This Row],[Rahoitus ml. hark. kor. + alv 2024, €]],0)</f>
        <v>-2.114946592296647E-2</v>
      </c>
      <c r="Z51" s="170">
        <f>IFERROR(VLOOKUP(Vertailu[[#This Row],[Y-tunnus]],'Suoritepäät. 2024 oikaistu'!$B:$N,COLUMN('Suoritepäät. 2024 oikaistu'!H:H),FALSE),0)</f>
        <v>49490567</v>
      </c>
      <c r="AA51" s="170">
        <f>IFERROR(VLOOKUP(Vertailu[[#This Row],[Y-tunnus]],'1.2 Ohjaus-laskentataulu'!A:AQ,COLUMN('1.2 Ohjaus-laskentataulu'!AL:AL),FALSE),0)</f>
        <v>47371032</v>
      </c>
      <c r="AB51" s="170">
        <f>Vertailu[[#This Row],[Perusrahoitus 2025, €]]-Vertailu[[#This Row],[Perusrahoitus 2024, €]]</f>
        <v>-2119535</v>
      </c>
      <c r="AC51" s="172">
        <f>IFERROR(Vertailu[[#This Row],[Perusrahoituksen muutos, €]]/Vertailu[[#This Row],[Perusrahoitus 2024, €]],0)</f>
        <v>-4.2827050253839281E-2</v>
      </c>
      <c r="AD51" s="170">
        <f>IFERROR(VLOOKUP(Vertailu[[#This Row],[Y-tunnus]],'Suoritepäät. 2024 oikaistu'!$O:$Y,COLUMN('Suoritepäät. 2024 oikaistu'!D:D),FALSE),0)</f>
        <v>14673866</v>
      </c>
      <c r="AE51" s="170">
        <f>IFERROR(VLOOKUP(Vertailu[[#This Row],[Y-tunnus]],'1.2 Ohjaus-laskentataulu'!A:AQ,COLUMN('1.2 Ohjaus-laskentataulu'!N:N),FALSE),0)</f>
        <v>15449070</v>
      </c>
      <c r="AF51" s="170">
        <f>Vertailu[[#This Row],[Suoritusrahoitus 2025, €]]-Vertailu[[#This Row],[Suoritusrahoitus 2024, €]]</f>
        <v>775204</v>
      </c>
      <c r="AG51" s="172">
        <f>IFERROR(Vertailu[[#This Row],[Suoritusrahoituksen muutos, €]]/Vertailu[[#This Row],[Suoritusrahoitus 2024, €]],0)</f>
        <v>5.2828886402533595E-2</v>
      </c>
      <c r="AH51" s="170">
        <f>IFERROR(VLOOKUP(Vertailu[[#This Row],[Y-tunnus]],'Suoritepäät. 2024 oikaistu'!$AB:$AL,COLUMN('Suoritepäät. 2024 oikaistu'!I:I),FALSE),0)</f>
        <v>7286402</v>
      </c>
      <c r="AI5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7119586</v>
      </c>
      <c r="AJ51" s="170">
        <f>Vertailu[[#This Row],[Vaikuttavuusrahoitus 2025, €]]-Vertailu[[#This Row],[Vaikuttavuusrahoitus 2024, €]]</f>
        <v>-166816</v>
      </c>
      <c r="AK51" s="172">
        <f>IFERROR(Vertailu[[#This Row],[Vaikuttavuusrahoituksen muutos, €]]/Vertailu[[#This Row],[Vaikuttavuusrahoitus 2024, €]],0)</f>
        <v>-2.2894152697037578E-2</v>
      </c>
    </row>
    <row r="52" spans="1:37" s="2" customFormat="1" ht="12.75" customHeight="1" x14ac:dyDescent="0.25">
      <c r="A52" s="4" t="s">
        <v>277</v>
      </c>
      <c r="B52" s="161" t="s">
        <v>53</v>
      </c>
      <c r="C52" s="161" t="s">
        <v>174</v>
      </c>
      <c r="D52" s="8" t="s">
        <v>326</v>
      </c>
      <c r="E5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0.704590007829346</v>
      </c>
      <c r="F5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0.70544943110476288</v>
      </c>
      <c r="G5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0.18831253099295187</v>
      </c>
      <c r="H5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0.1062380379022853</v>
      </c>
      <c r="I5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7.0055458583962643E-2</v>
      </c>
      <c r="J5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4.5442005687663239E-3</v>
      </c>
      <c r="K5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2.7739175348990307E-2</v>
      </c>
      <c r="L5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3.1111122570088119E-3</v>
      </c>
      <c r="M5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7.8809114355720452E-4</v>
      </c>
      <c r="N5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2630911</v>
      </c>
      <c r="O52" s="170">
        <f>IFERROR(VLOOKUP(Vertailu[[#This Row],[Y-tunnus]],'1.2 Ohjaus-laskentataulu'!A:AQ,COLUMN('1.2 Ohjaus-laskentataulu'!AE:AE),FALSE),0)</f>
        <v>2325142</v>
      </c>
      <c r="P52" s="170">
        <f>IFERROR(Vertailu[[#This Row],[Rahoitus pl. hark. kor. 2025 ilman alv, €]]-Vertailu[[#This Row],[Rahoitus pl. hark. kor. 2024 ilman alv, €]],0)</f>
        <v>-305769</v>
      </c>
      <c r="Q52" s="172">
        <f>IFERROR(Vertailu[[#This Row],[Muutos, € 1]]/Vertailu[[#This Row],[Rahoitus pl. hark. kor. 2024 ilman alv, €]],0)</f>
        <v>-0.1162217193968173</v>
      </c>
      <c r="R52" s="175">
        <f>IFERROR(VLOOKUP(Vertailu[[#This Row],[Y-tunnus]],'Suoritepäät. 2024 oikaistu'!$AB:$AL,COLUMN('Suoritepäät. 2024 oikaistu'!J:J),FALSE),0)</f>
        <v>2630911</v>
      </c>
      <c r="S52" s="176">
        <f>IFERROR(VLOOKUP(Vertailu[[#This Row],[Y-tunnus]],'1.2 Ohjaus-laskentataulu'!A:AQ,COLUMN('1.2 Ohjaus-laskentataulu'!AO:AO),FALSE),0)</f>
        <v>2327142</v>
      </c>
      <c r="T52" s="170">
        <f>IFERROR(Vertailu[[#This Row],[Rahoitus ml. hark. kor. 
2025 ilman alv, €]]-Vertailu[[#This Row],[Rahoitus ml. hark. kor. 
2024 ilman alv, €]],0)</f>
        <v>-303769</v>
      </c>
      <c r="U52" s="174">
        <f>IFERROR(Vertailu[[#This Row],[Muutos, € 2]]/Vertailu[[#This Row],[Rahoitus ml. hark. kor. 
2024 ilman alv, €]],0)</f>
        <v>-0.11546152644464218</v>
      </c>
      <c r="V5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3072725</v>
      </c>
      <c r="W52" s="175">
        <f>IFERROR(VLOOKUP(Vertailu[[#This Row],[Y-tunnus]],'1.2 Ohjaus-laskentataulu'!A:AQ,COLUMN('1.2 Ohjaus-laskentataulu'!AQ:AQ),FALSE),0)</f>
        <v>2796487</v>
      </c>
      <c r="X52" s="177">
        <f>IFERROR(Vertailu[[#This Row],[Rahoitus ml. hark. kor. + alv 2025, €]]-Vertailu[[#This Row],[Rahoitus ml. hark. kor. + alv 2024, €]],0)</f>
        <v>-276238</v>
      </c>
      <c r="Y52" s="172">
        <f>IFERROR(Vertailu[[#This Row],[Muutos, € 3]]/Vertailu[[#This Row],[Rahoitus ml. hark. kor. + alv 2024, €]],0)</f>
        <v>-8.9900007322490622E-2</v>
      </c>
      <c r="Z52" s="170">
        <f>IFERROR(VLOOKUP(Vertailu[[#This Row],[Y-tunnus]],'Suoritepäät. 2024 oikaistu'!$B:$N,COLUMN('Suoritepäät. 2024 oikaistu'!H:H),FALSE),0)</f>
        <v>1957225</v>
      </c>
      <c r="AA52" s="170">
        <f>IFERROR(VLOOKUP(Vertailu[[#This Row],[Y-tunnus]],'1.2 Ohjaus-laskentataulu'!A:AQ,COLUMN('1.2 Ohjaus-laskentataulu'!AL:AL),FALSE),0)</f>
        <v>1641681</v>
      </c>
      <c r="AB52" s="170">
        <f>Vertailu[[#This Row],[Perusrahoitus 2025, €]]-Vertailu[[#This Row],[Perusrahoitus 2024, €]]</f>
        <v>-315544</v>
      </c>
      <c r="AC52" s="172">
        <f>IFERROR(Vertailu[[#This Row],[Perusrahoituksen muutos, €]]/Vertailu[[#This Row],[Perusrahoitus 2024, €]],0)</f>
        <v>-0.16122009477704402</v>
      </c>
      <c r="AD52" s="170">
        <f>IFERROR(VLOOKUP(Vertailu[[#This Row],[Y-tunnus]],'Suoritepäät. 2024 oikaistu'!$O:$Y,COLUMN('Suoritepäät. 2024 oikaistu'!D:D),FALSE),0)</f>
        <v>432657</v>
      </c>
      <c r="AE52" s="170">
        <f>IFERROR(VLOOKUP(Vertailu[[#This Row],[Y-tunnus]],'1.2 Ohjaus-laskentataulu'!A:AQ,COLUMN('1.2 Ohjaus-laskentataulu'!N:N),FALSE),0)</f>
        <v>438230</v>
      </c>
      <c r="AF52" s="170">
        <f>Vertailu[[#This Row],[Suoritusrahoitus 2025, €]]-Vertailu[[#This Row],[Suoritusrahoitus 2024, €]]</f>
        <v>5573</v>
      </c>
      <c r="AG52" s="172">
        <f>IFERROR(Vertailu[[#This Row],[Suoritusrahoituksen muutos, €]]/Vertailu[[#This Row],[Suoritusrahoitus 2024, €]],0)</f>
        <v>1.2880873301483624E-2</v>
      </c>
      <c r="AH52" s="170">
        <f>IFERROR(VLOOKUP(Vertailu[[#This Row],[Y-tunnus]],'Suoritepäät. 2024 oikaistu'!$AB:$AL,COLUMN('Suoritepäät. 2024 oikaistu'!I:I),FALSE),0)</f>
        <v>241029</v>
      </c>
      <c r="AI5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247231</v>
      </c>
      <c r="AJ52" s="170">
        <f>Vertailu[[#This Row],[Vaikuttavuusrahoitus 2025, €]]-Vertailu[[#This Row],[Vaikuttavuusrahoitus 2024, €]]</f>
        <v>6202</v>
      </c>
      <c r="AK52" s="172">
        <f>IFERROR(Vertailu[[#This Row],[Vaikuttavuusrahoituksen muutos, €]]/Vertailu[[#This Row],[Vaikuttavuusrahoitus 2024, €]],0)</f>
        <v>2.5731343531276318E-2</v>
      </c>
    </row>
    <row r="53" spans="1:37" s="2" customFormat="1" ht="12.75" customHeight="1" x14ac:dyDescent="0.25">
      <c r="A53" s="4" t="s">
        <v>276</v>
      </c>
      <c r="B53" s="161" t="s">
        <v>54</v>
      </c>
      <c r="C53" s="161" t="s">
        <v>256</v>
      </c>
      <c r="D53" s="8" t="s">
        <v>326</v>
      </c>
      <c r="E5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0.85269631405214408</v>
      </c>
      <c r="F5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0.8529628162770676</v>
      </c>
      <c r="G5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0.13207755510858854</v>
      </c>
      <c r="H5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1.4959628614343891E-2</v>
      </c>
      <c r="I5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1.0386272766507778E-2</v>
      </c>
      <c r="J5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5.6160902198865441E-4</v>
      </c>
      <c r="K5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1.4399115212613254E-3</v>
      </c>
      <c r="L5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2.1289678294800318E-3</v>
      </c>
      <c r="M5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4.4286747510610122E-4</v>
      </c>
      <c r="N5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33416986</v>
      </c>
      <c r="O53" s="170">
        <f>IFERROR(VLOOKUP(Vertailu[[#This Row],[Y-tunnus]],'1.2 Ohjaus-laskentataulu'!A:AQ,COLUMN('1.2 Ohjaus-laskentataulu'!AE:AE),FALSE),0)</f>
        <v>33761825</v>
      </c>
      <c r="P53" s="170">
        <f>IFERROR(Vertailu[[#This Row],[Rahoitus pl. hark. kor. 2025 ilman alv, €]]-Vertailu[[#This Row],[Rahoitus pl. hark. kor. 2024 ilman alv, €]],0)</f>
        <v>344839</v>
      </c>
      <c r="Q53" s="172">
        <f>IFERROR(Vertailu[[#This Row],[Muutos, € 1]]/Vertailu[[#This Row],[Rahoitus pl. hark. kor. 2024 ilman alv, €]],0)</f>
        <v>1.0319272958967634E-2</v>
      </c>
      <c r="R53" s="175">
        <f>IFERROR(VLOOKUP(Vertailu[[#This Row],[Y-tunnus]],'Suoritepäät. 2024 oikaistu'!$AB:$AL,COLUMN('Suoritepäät. 2024 oikaistu'!J:J),FALSE),0)</f>
        <v>33416986</v>
      </c>
      <c r="S53" s="176">
        <f>IFERROR(VLOOKUP(Vertailu[[#This Row],[Y-tunnus]],'1.2 Ohjaus-laskentataulu'!A:AQ,COLUMN('1.2 Ohjaus-laskentataulu'!AO:AO),FALSE),0)</f>
        <v>33770825</v>
      </c>
      <c r="T53" s="170">
        <f>IFERROR(Vertailu[[#This Row],[Rahoitus ml. hark. kor. 
2025 ilman alv, €]]-Vertailu[[#This Row],[Rahoitus ml. hark. kor. 
2024 ilman alv, €]],0)</f>
        <v>353839</v>
      </c>
      <c r="U53" s="174">
        <f>IFERROR(Vertailu[[#This Row],[Muutos, € 2]]/Vertailu[[#This Row],[Rahoitus ml. hark. kor. 
2024 ilman alv, €]],0)</f>
        <v>1.0588597068568661E-2</v>
      </c>
      <c r="V5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35094834</v>
      </c>
      <c r="W53" s="175">
        <f>IFERROR(VLOOKUP(Vertailu[[#This Row],[Y-tunnus]],'1.2 Ohjaus-laskentataulu'!A:AQ,COLUMN('1.2 Ohjaus-laskentataulu'!AQ:AQ),FALSE),0)</f>
        <v>35818752</v>
      </c>
      <c r="X53" s="177">
        <f>IFERROR(Vertailu[[#This Row],[Rahoitus ml. hark. kor. + alv 2025, €]]-Vertailu[[#This Row],[Rahoitus ml. hark. kor. + alv 2024, €]],0)</f>
        <v>723918</v>
      </c>
      <c r="Y53" s="172">
        <f>IFERROR(Vertailu[[#This Row],[Muutos, € 3]]/Vertailu[[#This Row],[Rahoitus ml. hark. kor. + alv 2024, €]],0)</f>
        <v>2.0627480386429524E-2</v>
      </c>
      <c r="Z53" s="170">
        <f>IFERROR(VLOOKUP(Vertailu[[#This Row],[Y-tunnus]],'Suoritepäät. 2024 oikaistu'!$B:$N,COLUMN('Suoritepäät. 2024 oikaistu'!H:H),FALSE),0)</f>
        <v>28230315</v>
      </c>
      <c r="AA53" s="170">
        <f>IFERROR(VLOOKUP(Vertailu[[#This Row],[Y-tunnus]],'1.2 Ohjaus-laskentataulu'!A:AQ,COLUMN('1.2 Ohjaus-laskentataulu'!AL:AL),FALSE),0)</f>
        <v>28805258</v>
      </c>
      <c r="AB53" s="170">
        <f>Vertailu[[#This Row],[Perusrahoitus 2025, €]]-Vertailu[[#This Row],[Perusrahoitus 2024, €]]</f>
        <v>574943</v>
      </c>
      <c r="AC53" s="172">
        <f>IFERROR(Vertailu[[#This Row],[Perusrahoituksen muutos, €]]/Vertailu[[#This Row],[Perusrahoitus 2024, €]],0)</f>
        <v>2.0366156027660336E-2</v>
      </c>
      <c r="AD53" s="170">
        <f>IFERROR(VLOOKUP(Vertailu[[#This Row],[Y-tunnus]],'Suoritepäät. 2024 oikaistu'!$O:$Y,COLUMN('Suoritepäät. 2024 oikaistu'!D:D),FALSE),0)</f>
        <v>4651297</v>
      </c>
      <c r="AE53" s="170">
        <f>IFERROR(VLOOKUP(Vertailu[[#This Row],[Y-tunnus]],'1.2 Ohjaus-laskentataulu'!A:AQ,COLUMN('1.2 Ohjaus-laskentataulu'!N:N),FALSE),0)</f>
        <v>4460368</v>
      </c>
      <c r="AF53" s="170">
        <f>Vertailu[[#This Row],[Suoritusrahoitus 2025, €]]-Vertailu[[#This Row],[Suoritusrahoitus 2024, €]]</f>
        <v>-190929</v>
      </c>
      <c r="AG53" s="172">
        <f>IFERROR(Vertailu[[#This Row],[Suoritusrahoituksen muutos, €]]/Vertailu[[#This Row],[Suoritusrahoitus 2024, €]],0)</f>
        <v>-4.1048550544074053E-2</v>
      </c>
      <c r="AH53" s="170">
        <f>IFERROR(VLOOKUP(Vertailu[[#This Row],[Y-tunnus]],'Suoritepäät. 2024 oikaistu'!$AB:$AL,COLUMN('Suoritepäät. 2024 oikaistu'!I:I),FALSE),0)</f>
        <v>535374</v>
      </c>
      <c r="AI5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505199</v>
      </c>
      <c r="AJ53" s="170">
        <f>Vertailu[[#This Row],[Vaikuttavuusrahoitus 2025, €]]-Vertailu[[#This Row],[Vaikuttavuusrahoitus 2024, €]]</f>
        <v>-30175</v>
      </c>
      <c r="AK53" s="172">
        <f>IFERROR(Vertailu[[#This Row],[Vaikuttavuusrahoituksen muutos, €]]/Vertailu[[#This Row],[Vaikuttavuusrahoitus 2024, €]],0)</f>
        <v>-5.6362468106407854E-2</v>
      </c>
    </row>
    <row r="54" spans="1:37" s="2" customFormat="1" ht="12.75" customHeight="1" x14ac:dyDescent="0.25">
      <c r="A54" s="4" t="s">
        <v>275</v>
      </c>
      <c r="B54" s="161" t="s">
        <v>55</v>
      </c>
      <c r="C54" s="161" t="s">
        <v>174</v>
      </c>
      <c r="D54" s="8" t="s">
        <v>326</v>
      </c>
      <c r="E5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0.66210022576130145</v>
      </c>
      <c r="F5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0.66412474543033084</v>
      </c>
      <c r="G5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0.22113396082499723</v>
      </c>
      <c r="H5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0.11474129374467196</v>
      </c>
      <c r="I5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7.3948645049173936E-2</v>
      </c>
      <c r="J5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4.3652474236619294E-3</v>
      </c>
      <c r="K5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1.3190073944212993E-2</v>
      </c>
      <c r="L5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1.8094226617071406E-2</v>
      </c>
      <c r="M5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5.1431007105516872E-3</v>
      </c>
      <c r="N5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18635448</v>
      </c>
      <c r="O54" s="170">
        <f>IFERROR(VLOOKUP(Vertailu[[#This Row],[Y-tunnus]],'1.2 Ohjaus-laskentataulu'!A:AQ,COLUMN('1.2 Ohjaus-laskentataulu'!AE:AE),FALSE),0)</f>
        <v>18238940</v>
      </c>
      <c r="P54" s="170">
        <f>IFERROR(Vertailu[[#This Row],[Rahoitus pl. hark. kor. 2025 ilman alv, €]]-Vertailu[[#This Row],[Rahoitus pl. hark. kor. 2024 ilman alv, €]],0)</f>
        <v>-396508</v>
      </c>
      <c r="Q54" s="172">
        <f>IFERROR(Vertailu[[#This Row],[Muutos, € 1]]/Vertailu[[#This Row],[Rahoitus pl. hark. kor. 2024 ilman alv, €]],0)</f>
        <v>-2.1277084403873735E-2</v>
      </c>
      <c r="R54" s="175">
        <f>IFERROR(VLOOKUP(Vertailu[[#This Row],[Y-tunnus]],'Suoritepäät. 2024 oikaistu'!$AB:$AL,COLUMN('Suoritepäät. 2024 oikaistu'!J:J),FALSE),0)</f>
        <v>18706070</v>
      </c>
      <c r="S54" s="176">
        <f>IFERROR(VLOOKUP(Vertailu[[#This Row],[Y-tunnus]],'1.2 Ohjaus-laskentataulu'!A:AQ,COLUMN('1.2 Ohjaus-laskentataulu'!AO:AO),FALSE),0)</f>
        <v>18275940</v>
      </c>
      <c r="T54" s="170">
        <f>IFERROR(Vertailu[[#This Row],[Rahoitus ml. hark. kor. 
2025 ilman alv, €]]-Vertailu[[#This Row],[Rahoitus ml. hark. kor. 
2024 ilman alv, €]],0)</f>
        <v>-430130</v>
      </c>
      <c r="U54" s="174">
        <f>IFERROR(Vertailu[[#This Row],[Muutos, € 2]]/Vertailu[[#This Row],[Rahoitus ml. hark. kor. 
2024 ilman alv, €]],0)</f>
        <v>-2.2994140404692168E-2</v>
      </c>
      <c r="V5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20749853</v>
      </c>
      <c r="W54" s="175">
        <f>IFERROR(VLOOKUP(Vertailu[[#This Row],[Y-tunnus]],'1.2 Ohjaus-laskentataulu'!A:AQ,COLUMN('1.2 Ohjaus-laskentataulu'!AQ:AQ),FALSE),0)</f>
        <v>19999409</v>
      </c>
      <c r="X54" s="177">
        <f>IFERROR(Vertailu[[#This Row],[Rahoitus ml. hark. kor. + alv 2025, €]]-Vertailu[[#This Row],[Rahoitus ml. hark. kor. + alv 2024, €]],0)</f>
        <v>-750444</v>
      </c>
      <c r="Y54" s="172">
        <f>IFERROR(Vertailu[[#This Row],[Muutos, € 3]]/Vertailu[[#This Row],[Rahoitus ml. hark. kor. + alv 2024, €]],0)</f>
        <v>-3.6166232117403434E-2</v>
      </c>
      <c r="Z54" s="170">
        <f>IFERROR(VLOOKUP(Vertailu[[#This Row],[Y-tunnus]],'Suoritepäät. 2024 oikaistu'!$B:$N,COLUMN('Suoritepäät. 2024 oikaistu'!H:H),FALSE),0)</f>
        <v>12287585</v>
      </c>
      <c r="AA54" s="170">
        <f>IFERROR(VLOOKUP(Vertailu[[#This Row],[Y-tunnus]],'1.2 Ohjaus-laskentataulu'!A:AQ,COLUMN('1.2 Ohjaus-laskentataulu'!AL:AL),FALSE),0)</f>
        <v>12137504</v>
      </c>
      <c r="AB54" s="170">
        <f>Vertailu[[#This Row],[Perusrahoitus 2025, €]]-Vertailu[[#This Row],[Perusrahoitus 2024, €]]</f>
        <v>-150081</v>
      </c>
      <c r="AC54" s="172">
        <f>IFERROR(Vertailu[[#This Row],[Perusrahoituksen muutos, €]]/Vertailu[[#This Row],[Perusrahoitus 2024, €]],0)</f>
        <v>-1.2214035548889387E-2</v>
      </c>
      <c r="AD54" s="170">
        <f>IFERROR(VLOOKUP(Vertailu[[#This Row],[Y-tunnus]],'Suoritepäät. 2024 oikaistu'!$O:$Y,COLUMN('Suoritepäät. 2024 oikaistu'!D:D),FALSE),0)</f>
        <v>4129881</v>
      </c>
      <c r="AE54" s="170">
        <f>IFERROR(VLOOKUP(Vertailu[[#This Row],[Y-tunnus]],'1.2 Ohjaus-laskentataulu'!A:AQ,COLUMN('1.2 Ohjaus-laskentataulu'!N:N),FALSE),0)</f>
        <v>4041431</v>
      </c>
      <c r="AF54" s="170">
        <f>Vertailu[[#This Row],[Suoritusrahoitus 2025, €]]-Vertailu[[#This Row],[Suoritusrahoitus 2024, €]]</f>
        <v>-88450</v>
      </c>
      <c r="AG54" s="172">
        <f>IFERROR(Vertailu[[#This Row],[Suoritusrahoituksen muutos, €]]/Vertailu[[#This Row],[Suoritusrahoitus 2024, €]],0)</f>
        <v>-2.1417081993403683E-2</v>
      </c>
      <c r="AH54" s="170">
        <f>IFERROR(VLOOKUP(Vertailu[[#This Row],[Y-tunnus]],'Suoritepäät. 2024 oikaistu'!$AB:$AL,COLUMN('Suoritepäät. 2024 oikaistu'!I:I),FALSE),0)</f>
        <v>2288604</v>
      </c>
      <c r="AI5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2097005</v>
      </c>
      <c r="AJ54" s="170">
        <f>Vertailu[[#This Row],[Vaikuttavuusrahoitus 2025, €]]-Vertailu[[#This Row],[Vaikuttavuusrahoitus 2024, €]]</f>
        <v>-191599</v>
      </c>
      <c r="AK54" s="172">
        <f>IFERROR(Vertailu[[#This Row],[Vaikuttavuusrahoituksen muutos, €]]/Vertailu[[#This Row],[Vaikuttavuusrahoitus 2024, €]],0)</f>
        <v>-8.3718721106840671E-2</v>
      </c>
    </row>
    <row r="55" spans="1:37" s="2" customFormat="1" ht="12.75" customHeight="1" x14ac:dyDescent="0.25">
      <c r="A55" s="4" t="s">
        <v>274</v>
      </c>
      <c r="B55" s="161" t="s">
        <v>56</v>
      </c>
      <c r="C55" s="161" t="s">
        <v>242</v>
      </c>
      <c r="D55" s="8" t="s">
        <v>326</v>
      </c>
      <c r="E5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0.59748936593724711</v>
      </c>
      <c r="F5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0.60181655322224004</v>
      </c>
      <c r="G5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0.22640709312539756</v>
      </c>
      <c r="H5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0.17177635365236243</v>
      </c>
      <c r="I5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8.0563572871997474E-2</v>
      </c>
      <c r="J5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8.6327386335607985E-3</v>
      </c>
      <c r="K5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5.4600449162040182E-2</v>
      </c>
      <c r="L5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1.7918882547155523E-2</v>
      </c>
      <c r="M5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1.006071043760845E-2</v>
      </c>
      <c r="N5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214128</v>
      </c>
      <c r="O55" s="170">
        <f>IFERROR(VLOOKUP(Vertailu[[#This Row],[Y-tunnus]],'1.2 Ohjaus-laskentataulu'!A:AQ,COLUMN('1.2 Ohjaus-laskentataulu'!AE:AE),FALSE),0)</f>
        <v>230097</v>
      </c>
      <c r="P55" s="170">
        <f>IFERROR(Vertailu[[#This Row],[Rahoitus pl. hark. kor. 2025 ilman alv, €]]-Vertailu[[#This Row],[Rahoitus pl. hark. kor. 2024 ilman alv, €]],0)</f>
        <v>15969</v>
      </c>
      <c r="Q55" s="172">
        <f>IFERROR(Vertailu[[#This Row],[Muutos, € 1]]/Vertailu[[#This Row],[Rahoitus pl. hark. kor. 2024 ilman alv, €]],0)</f>
        <v>7.4576888590002235E-2</v>
      </c>
      <c r="R55" s="175">
        <f>IFERROR(VLOOKUP(Vertailu[[#This Row],[Y-tunnus]],'Suoritepäät. 2024 oikaistu'!$AB:$AL,COLUMN('Suoritepäät. 2024 oikaistu'!J:J),FALSE),0)</f>
        <v>214128</v>
      </c>
      <c r="S55" s="176">
        <f>IFERROR(VLOOKUP(Vertailu[[#This Row],[Y-tunnus]],'1.2 Ohjaus-laskentataulu'!A:AQ,COLUMN('1.2 Ohjaus-laskentataulu'!AO:AO),FALSE),0)</f>
        <v>231097</v>
      </c>
      <c r="T55" s="170">
        <f>IFERROR(Vertailu[[#This Row],[Rahoitus ml. hark. kor. 
2025 ilman alv, €]]-Vertailu[[#This Row],[Rahoitus ml. hark. kor. 
2024 ilman alv, €]],0)</f>
        <v>16969</v>
      </c>
      <c r="U55" s="174">
        <f>IFERROR(Vertailu[[#This Row],[Muutos, € 2]]/Vertailu[[#This Row],[Rahoitus ml. hark. kor. 
2024 ilman alv, €]],0)</f>
        <v>7.9246992453112161E-2</v>
      </c>
      <c r="V5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236292</v>
      </c>
      <c r="W55" s="175">
        <f>IFERROR(VLOOKUP(Vertailu[[#This Row],[Y-tunnus]],'1.2 Ohjaus-laskentataulu'!A:AQ,COLUMN('1.2 Ohjaus-laskentataulu'!AQ:AQ),FALSE),0)</f>
        <v>258135</v>
      </c>
      <c r="X55" s="177">
        <f>IFERROR(Vertailu[[#This Row],[Rahoitus ml. hark. kor. + alv 2025, €]]-Vertailu[[#This Row],[Rahoitus ml. hark. kor. + alv 2024, €]],0)</f>
        <v>21843</v>
      </c>
      <c r="Y55" s="172">
        <f>IFERROR(Vertailu[[#This Row],[Muutos, € 3]]/Vertailu[[#This Row],[Rahoitus ml. hark. kor. + alv 2024, €]],0)</f>
        <v>9.2440708953328926E-2</v>
      </c>
      <c r="Z55" s="170">
        <f>IFERROR(VLOOKUP(Vertailu[[#This Row],[Y-tunnus]],'Suoritepäät. 2024 oikaistu'!$B:$N,COLUMN('Suoritepäät. 2024 oikaistu'!H:H),FALSE),0)</f>
        <v>133757</v>
      </c>
      <c r="AA55" s="170">
        <f>IFERROR(VLOOKUP(Vertailu[[#This Row],[Y-tunnus]],'1.2 Ohjaus-laskentataulu'!A:AQ,COLUMN('1.2 Ohjaus-laskentataulu'!AL:AL),FALSE),0)</f>
        <v>139078</v>
      </c>
      <c r="AB55" s="170">
        <f>Vertailu[[#This Row],[Perusrahoitus 2025, €]]-Vertailu[[#This Row],[Perusrahoitus 2024, €]]</f>
        <v>5321</v>
      </c>
      <c r="AC55" s="172">
        <f>IFERROR(Vertailu[[#This Row],[Perusrahoituksen muutos, €]]/Vertailu[[#This Row],[Perusrahoitus 2024, €]],0)</f>
        <v>3.9781095568830041E-2</v>
      </c>
      <c r="AD55" s="170">
        <f>IFERROR(VLOOKUP(Vertailu[[#This Row],[Y-tunnus]],'Suoritepäät. 2024 oikaistu'!$O:$Y,COLUMN('Suoritepäät. 2024 oikaistu'!D:D),FALSE),0)</f>
        <v>43639</v>
      </c>
      <c r="AE55" s="170">
        <f>IFERROR(VLOOKUP(Vertailu[[#This Row],[Y-tunnus]],'1.2 Ohjaus-laskentataulu'!A:AQ,COLUMN('1.2 Ohjaus-laskentataulu'!N:N),FALSE),0)</f>
        <v>52322</v>
      </c>
      <c r="AF55" s="170">
        <f>Vertailu[[#This Row],[Suoritusrahoitus 2025, €]]-Vertailu[[#This Row],[Suoritusrahoitus 2024, €]]</f>
        <v>8683</v>
      </c>
      <c r="AG55" s="172">
        <f>IFERROR(Vertailu[[#This Row],[Suoritusrahoituksen muutos, €]]/Vertailu[[#This Row],[Suoritusrahoitus 2024, €]],0)</f>
        <v>0.19897339535736383</v>
      </c>
      <c r="AH55" s="170">
        <f>IFERROR(VLOOKUP(Vertailu[[#This Row],[Y-tunnus]],'Suoritepäät. 2024 oikaistu'!$AB:$AL,COLUMN('Suoritepäät. 2024 oikaistu'!I:I),FALSE),0)</f>
        <v>36732</v>
      </c>
      <c r="AI5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39697</v>
      </c>
      <c r="AJ55" s="170">
        <f>Vertailu[[#This Row],[Vaikuttavuusrahoitus 2025, €]]-Vertailu[[#This Row],[Vaikuttavuusrahoitus 2024, €]]</f>
        <v>2965</v>
      </c>
      <c r="AK55" s="172">
        <f>IFERROR(Vertailu[[#This Row],[Vaikuttavuusrahoituksen muutos, €]]/Vertailu[[#This Row],[Vaikuttavuusrahoitus 2024, €]],0)</f>
        <v>8.0719808341500596E-2</v>
      </c>
    </row>
    <row r="56" spans="1:37" s="2" customFormat="1" ht="12.75" customHeight="1" x14ac:dyDescent="0.25">
      <c r="A56" s="4" t="s">
        <v>489</v>
      </c>
      <c r="B56" s="161" t="s">
        <v>491</v>
      </c>
      <c r="C56" s="161" t="s">
        <v>174</v>
      </c>
      <c r="D56" s="8" t="s">
        <v>326</v>
      </c>
      <c r="E5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0.71240422596065489</v>
      </c>
      <c r="F5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0.71863379353522172</v>
      </c>
      <c r="G5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0.19506822933886045</v>
      </c>
      <c r="H5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8.6297977125917802E-2</v>
      </c>
      <c r="I5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6.7752776940988635E-2</v>
      </c>
      <c r="J5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1.7436114672100037E-3</v>
      </c>
      <c r="K5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6.0589219199349278E-3</v>
      </c>
      <c r="L5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1.0345531864905598E-2</v>
      </c>
      <c r="M5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3.9713493287863425E-4</v>
      </c>
      <c r="N5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4543554</v>
      </c>
      <c r="O56" s="170">
        <f>IFERROR(VLOOKUP(Vertailu[[#This Row],[Y-tunnus]],'1.2 Ohjaus-laskentataulu'!A:AQ,COLUMN('1.2 Ohjaus-laskentataulu'!AE:AE),FALSE),0)</f>
        <v>4466694</v>
      </c>
      <c r="P56" s="170">
        <f>IFERROR(Vertailu[[#This Row],[Rahoitus pl. hark. kor. 2025 ilman alv, €]]-Vertailu[[#This Row],[Rahoitus pl. hark. kor. 2024 ilman alv, €]],0)</f>
        <v>-76860</v>
      </c>
      <c r="Q56" s="172">
        <f>IFERROR(Vertailu[[#This Row],[Muutos, € 1]]/Vertailu[[#This Row],[Rahoitus pl. hark. kor. 2024 ilman alv, €]],0)</f>
        <v>-1.6916273032080174E-2</v>
      </c>
      <c r="R56" s="175">
        <f>IFERROR(VLOOKUP(Vertailu[[#This Row],[Y-tunnus]],'Suoritepäät. 2024 oikaistu'!$AB:$AL,COLUMN('Suoritepäät. 2024 oikaistu'!J:J),FALSE),0)</f>
        <v>4578431</v>
      </c>
      <c r="S56" s="176">
        <f>IFERROR(VLOOKUP(Vertailu[[#This Row],[Y-tunnus]],'1.2 Ohjaus-laskentataulu'!A:AQ,COLUMN('1.2 Ohjaus-laskentataulu'!AO:AO),FALSE),0)</f>
        <v>4494694</v>
      </c>
      <c r="T56" s="170">
        <f>IFERROR(Vertailu[[#This Row],[Rahoitus ml. hark. kor. 
2025 ilman alv, €]]-Vertailu[[#This Row],[Rahoitus ml. hark. kor. 
2024 ilman alv, €]],0)</f>
        <v>-83737</v>
      </c>
      <c r="U56" s="174">
        <f>IFERROR(Vertailu[[#This Row],[Muutos, € 2]]/Vertailu[[#This Row],[Rahoitus ml. hark. kor. 
2024 ilman alv, €]],0)</f>
        <v>-1.828945330834952E-2</v>
      </c>
      <c r="V5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4804727</v>
      </c>
      <c r="W56" s="175">
        <f>IFERROR(VLOOKUP(Vertailu[[#This Row],[Y-tunnus]],'1.2 Ohjaus-laskentataulu'!A:AQ,COLUMN('1.2 Ohjaus-laskentataulu'!AQ:AQ),FALSE),0)</f>
        <v>4911974</v>
      </c>
      <c r="X56" s="177">
        <f>IFERROR(Vertailu[[#This Row],[Rahoitus ml. hark. kor. + alv 2025, €]]-Vertailu[[#This Row],[Rahoitus ml. hark. kor. + alv 2024, €]],0)</f>
        <v>107247</v>
      </c>
      <c r="Y56" s="172">
        <f>IFERROR(Vertailu[[#This Row],[Muutos, € 3]]/Vertailu[[#This Row],[Rahoitus ml. hark. kor. + alv 2024, €]],0)</f>
        <v>2.2321143324063989E-2</v>
      </c>
      <c r="Z56" s="170">
        <f>IFERROR(VLOOKUP(Vertailu[[#This Row],[Y-tunnus]],'Suoritepäät. 2024 oikaistu'!$B:$N,COLUMN('Suoritepäät. 2024 oikaistu'!H:H),FALSE),0)</f>
        <v>3267575</v>
      </c>
      <c r="AA56" s="170">
        <f>IFERROR(VLOOKUP(Vertailu[[#This Row],[Y-tunnus]],'1.2 Ohjaus-laskentataulu'!A:AQ,COLUMN('1.2 Ohjaus-laskentataulu'!AL:AL),FALSE),0)</f>
        <v>3230039</v>
      </c>
      <c r="AB56" s="170">
        <f>Vertailu[[#This Row],[Perusrahoitus 2025, €]]-Vertailu[[#This Row],[Perusrahoitus 2024, €]]</f>
        <v>-37536</v>
      </c>
      <c r="AC56" s="172">
        <f>IFERROR(Vertailu[[#This Row],[Perusrahoituksen muutos, €]]/Vertailu[[#This Row],[Perusrahoitus 2024, €]],0)</f>
        <v>-1.1487418039371705E-2</v>
      </c>
      <c r="AD56" s="170">
        <f>IFERROR(VLOOKUP(Vertailu[[#This Row],[Y-tunnus]],'Suoritepäät. 2024 oikaistu'!$O:$Y,COLUMN('Suoritepäät. 2024 oikaistu'!D:D),FALSE),0)</f>
        <v>913209</v>
      </c>
      <c r="AE56" s="170">
        <f>IFERROR(VLOOKUP(Vertailu[[#This Row],[Y-tunnus]],'1.2 Ohjaus-laskentataulu'!A:AQ,COLUMN('1.2 Ohjaus-laskentataulu'!N:N),FALSE),0)</f>
        <v>876772</v>
      </c>
      <c r="AF56" s="170">
        <f>Vertailu[[#This Row],[Suoritusrahoitus 2025, €]]-Vertailu[[#This Row],[Suoritusrahoitus 2024, €]]</f>
        <v>-36437</v>
      </c>
      <c r="AG56" s="172">
        <f>IFERROR(Vertailu[[#This Row],[Suoritusrahoituksen muutos, €]]/Vertailu[[#This Row],[Suoritusrahoitus 2024, €]],0)</f>
        <v>-3.9899957183952416E-2</v>
      </c>
      <c r="AH56" s="170">
        <f>IFERROR(VLOOKUP(Vertailu[[#This Row],[Y-tunnus]],'Suoritepäät. 2024 oikaistu'!$AB:$AL,COLUMN('Suoritepäät. 2024 oikaistu'!I:I),FALSE),0)</f>
        <v>397647</v>
      </c>
      <c r="AI5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387883</v>
      </c>
      <c r="AJ56" s="170">
        <f>Vertailu[[#This Row],[Vaikuttavuusrahoitus 2025, €]]-Vertailu[[#This Row],[Vaikuttavuusrahoitus 2024, €]]</f>
        <v>-9764</v>
      </c>
      <c r="AK56" s="172">
        <f>IFERROR(Vertailu[[#This Row],[Vaikuttavuusrahoituksen muutos, €]]/Vertailu[[#This Row],[Vaikuttavuusrahoitus 2024, €]],0)</f>
        <v>-2.4554441502136318E-2</v>
      </c>
    </row>
    <row r="57" spans="1:37" s="2" customFormat="1" ht="12.75" customHeight="1" x14ac:dyDescent="0.25">
      <c r="A57" s="4" t="s">
        <v>273</v>
      </c>
      <c r="B57" s="161" t="s">
        <v>129</v>
      </c>
      <c r="C57" s="161" t="s">
        <v>174</v>
      </c>
      <c r="D57" s="8" t="s">
        <v>326</v>
      </c>
      <c r="E5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0.61638110243112543</v>
      </c>
      <c r="F5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0.62075756581106811</v>
      </c>
      <c r="G5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0.1953828311341605</v>
      </c>
      <c r="H5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0.18385960305477145</v>
      </c>
      <c r="I5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0.10058863432460229</v>
      </c>
      <c r="J5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8.46408017680912E-3</v>
      </c>
      <c r="K5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2.2424998358826234E-2</v>
      </c>
      <c r="L5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2.7803671852775772E-2</v>
      </c>
      <c r="M5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2.4578218341758027E-2</v>
      </c>
      <c r="N5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232337</v>
      </c>
      <c r="O57" s="170">
        <f>IFERROR(VLOOKUP(Vertailu[[#This Row],[Y-tunnus]],'1.2 Ohjaus-laskentataulu'!A:AQ,COLUMN('1.2 Ohjaus-laskentataulu'!AE:AE),FALSE),0)</f>
        <v>227495</v>
      </c>
      <c r="P57" s="170">
        <f>IFERROR(Vertailu[[#This Row],[Rahoitus pl. hark. kor. 2025 ilman alv, €]]-Vertailu[[#This Row],[Rahoitus pl. hark. kor. 2024 ilman alv, €]],0)</f>
        <v>-4842</v>
      </c>
      <c r="Q57" s="172">
        <f>IFERROR(Vertailu[[#This Row],[Muutos, € 1]]/Vertailu[[#This Row],[Rahoitus pl. hark. kor. 2024 ilman alv, €]],0)</f>
        <v>-2.0840417152670473E-2</v>
      </c>
      <c r="R57" s="175">
        <f>IFERROR(VLOOKUP(Vertailu[[#This Row],[Y-tunnus]],'Suoritepäät. 2024 oikaistu'!$AB:$AL,COLUMN('Suoritepäät. 2024 oikaistu'!J:J),FALSE),0)</f>
        <v>232337</v>
      </c>
      <c r="S57" s="176">
        <f>IFERROR(VLOOKUP(Vertailu[[#This Row],[Y-tunnus]],'1.2 Ohjaus-laskentataulu'!A:AQ,COLUMN('1.2 Ohjaus-laskentataulu'!AO:AO),FALSE),0)</f>
        <v>228495</v>
      </c>
      <c r="T57" s="170">
        <f>IFERROR(Vertailu[[#This Row],[Rahoitus ml. hark. kor. 
2025 ilman alv, €]]-Vertailu[[#This Row],[Rahoitus ml. hark. kor. 
2024 ilman alv, €]],0)</f>
        <v>-3842</v>
      </c>
      <c r="U57" s="174">
        <f>IFERROR(Vertailu[[#This Row],[Muutos, € 2]]/Vertailu[[#This Row],[Rahoitus ml. hark. kor. 
2024 ilman alv, €]],0)</f>
        <v>-1.653632439086327E-2</v>
      </c>
      <c r="V5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251566</v>
      </c>
      <c r="W57" s="175">
        <f>IFERROR(VLOOKUP(Vertailu[[#This Row],[Y-tunnus]],'1.2 Ohjaus-laskentataulu'!A:AQ,COLUMN('1.2 Ohjaus-laskentataulu'!AQ:AQ),FALSE),0)</f>
        <v>248862</v>
      </c>
      <c r="X57" s="177">
        <f>IFERROR(Vertailu[[#This Row],[Rahoitus ml. hark. kor. + alv 2025, €]]-Vertailu[[#This Row],[Rahoitus ml. hark. kor. + alv 2024, €]],0)</f>
        <v>-2704</v>
      </c>
      <c r="Y57" s="172">
        <f>IFERROR(Vertailu[[#This Row],[Muutos, € 3]]/Vertailu[[#This Row],[Rahoitus ml. hark. kor. + alv 2024, €]],0)</f>
        <v>-1.0748670329058775E-2</v>
      </c>
      <c r="Z57" s="170">
        <f>IFERROR(VLOOKUP(Vertailu[[#This Row],[Y-tunnus]],'Suoritepäät. 2024 oikaistu'!$B:$N,COLUMN('Suoritepäät. 2024 oikaistu'!H:H),FALSE),0)</f>
        <v>163102</v>
      </c>
      <c r="AA57" s="170">
        <f>IFERROR(VLOOKUP(Vertailu[[#This Row],[Y-tunnus]],'1.2 Ohjaus-laskentataulu'!A:AQ,COLUMN('1.2 Ohjaus-laskentataulu'!AL:AL),FALSE),0)</f>
        <v>141840</v>
      </c>
      <c r="AB57" s="170">
        <f>Vertailu[[#This Row],[Perusrahoitus 2025, €]]-Vertailu[[#This Row],[Perusrahoitus 2024, €]]</f>
        <v>-21262</v>
      </c>
      <c r="AC57" s="172">
        <f>IFERROR(Vertailu[[#This Row],[Perusrahoituksen muutos, €]]/Vertailu[[#This Row],[Perusrahoitus 2024, €]],0)</f>
        <v>-0.13036014273276844</v>
      </c>
      <c r="AD57" s="170">
        <f>IFERROR(VLOOKUP(Vertailu[[#This Row],[Y-tunnus]],'Suoritepäät. 2024 oikaistu'!$O:$Y,COLUMN('Suoritepäät. 2024 oikaistu'!D:D),FALSE),0)</f>
        <v>25257</v>
      </c>
      <c r="AE57" s="170">
        <f>IFERROR(VLOOKUP(Vertailu[[#This Row],[Y-tunnus]],'1.2 Ohjaus-laskentataulu'!A:AQ,COLUMN('1.2 Ohjaus-laskentataulu'!N:N),FALSE),0)</f>
        <v>44644</v>
      </c>
      <c r="AF57" s="170">
        <f>Vertailu[[#This Row],[Suoritusrahoitus 2025, €]]-Vertailu[[#This Row],[Suoritusrahoitus 2024, €]]</f>
        <v>19387</v>
      </c>
      <c r="AG57" s="172">
        <f>IFERROR(Vertailu[[#This Row],[Suoritusrahoituksen muutos, €]]/Vertailu[[#This Row],[Suoritusrahoitus 2024, €]],0)</f>
        <v>0.76758918319673752</v>
      </c>
      <c r="AH57" s="170">
        <f>IFERROR(VLOOKUP(Vertailu[[#This Row],[Y-tunnus]],'Suoritepäät. 2024 oikaistu'!$AB:$AL,COLUMN('Suoritepäät. 2024 oikaistu'!I:I),FALSE),0)</f>
        <v>43978</v>
      </c>
      <c r="AI5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42011</v>
      </c>
      <c r="AJ57" s="170">
        <f>Vertailu[[#This Row],[Vaikuttavuusrahoitus 2025, €]]-Vertailu[[#This Row],[Vaikuttavuusrahoitus 2024, €]]</f>
        <v>-1967</v>
      </c>
      <c r="AK57" s="172">
        <f>IFERROR(Vertailu[[#This Row],[Vaikuttavuusrahoituksen muutos, €]]/Vertailu[[#This Row],[Vaikuttavuusrahoitus 2024, €]],0)</f>
        <v>-4.4726908908999954E-2</v>
      </c>
    </row>
    <row r="58" spans="1:37" s="2" customFormat="1" ht="12.75" customHeight="1" x14ac:dyDescent="0.25">
      <c r="A58" s="4" t="s">
        <v>272</v>
      </c>
      <c r="B58" s="161" t="s">
        <v>57</v>
      </c>
      <c r="C58" s="161" t="s">
        <v>200</v>
      </c>
      <c r="D58" s="8" t="s">
        <v>326</v>
      </c>
      <c r="E5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0.61940005194554448</v>
      </c>
      <c r="F5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0.62016621041929554</v>
      </c>
      <c r="G5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0.23627024861076315</v>
      </c>
      <c r="H5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0.14356354096994131</v>
      </c>
      <c r="I5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9.7097561853888986E-2</v>
      </c>
      <c r="J5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3.4661009352496487E-3</v>
      </c>
      <c r="K5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1.4973035052516332E-2</v>
      </c>
      <c r="L5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2.2744946610246758E-2</v>
      </c>
      <c r="M5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5.2818965180395847E-3</v>
      </c>
      <c r="N5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1282327</v>
      </c>
      <c r="O58" s="170">
        <f>IFERROR(VLOOKUP(Vertailu[[#This Row],[Y-tunnus]],'1.2 Ohjaus-laskentataulu'!A:AQ,COLUMN('1.2 Ohjaus-laskentataulu'!AE:AE),FALSE),0)</f>
        <v>1304213</v>
      </c>
      <c r="P58" s="170">
        <f>IFERROR(Vertailu[[#This Row],[Rahoitus pl. hark. kor. 2025 ilman alv, €]]-Vertailu[[#This Row],[Rahoitus pl. hark. kor. 2024 ilman alv, €]],0)</f>
        <v>21886</v>
      </c>
      <c r="Q58" s="172">
        <f>IFERROR(Vertailu[[#This Row],[Muutos, € 1]]/Vertailu[[#This Row],[Rahoitus pl. hark. kor. 2024 ilman alv, €]],0)</f>
        <v>1.7067409482916605E-2</v>
      </c>
      <c r="R58" s="175">
        <f>IFERROR(VLOOKUP(Vertailu[[#This Row],[Y-tunnus]],'Suoritepäät. 2024 oikaistu'!$AB:$AL,COLUMN('Suoritepäät. 2024 oikaistu'!J:J),FALSE),0)</f>
        <v>1282327</v>
      </c>
      <c r="S58" s="176">
        <f>IFERROR(VLOOKUP(Vertailu[[#This Row],[Y-tunnus]],'1.2 Ohjaus-laskentataulu'!A:AQ,COLUMN('1.2 Ohjaus-laskentataulu'!AO:AO),FALSE),0)</f>
        <v>1305213</v>
      </c>
      <c r="T58" s="170">
        <f>IFERROR(Vertailu[[#This Row],[Rahoitus ml. hark. kor. 
2025 ilman alv, €]]-Vertailu[[#This Row],[Rahoitus ml. hark. kor. 
2024 ilman alv, €]],0)</f>
        <v>22886</v>
      </c>
      <c r="U58" s="174">
        <f>IFERROR(Vertailu[[#This Row],[Muutos, € 2]]/Vertailu[[#This Row],[Rahoitus ml. hark. kor. 
2024 ilman alv, €]],0)</f>
        <v>1.7847241772184472E-2</v>
      </c>
      <c r="V5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1326374</v>
      </c>
      <c r="W58" s="175">
        <f>IFERROR(VLOOKUP(Vertailu[[#This Row],[Y-tunnus]],'1.2 Ohjaus-laskentataulu'!A:AQ,COLUMN('1.2 Ohjaus-laskentataulu'!AQ:AQ),FALSE),0)</f>
        <v>1363755</v>
      </c>
      <c r="X58" s="177">
        <f>IFERROR(Vertailu[[#This Row],[Rahoitus ml. hark. kor. + alv 2025, €]]-Vertailu[[#This Row],[Rahoitus ml. hark. kor. + alv 2024, €]],0)</f>
        <v>37381</v>
      </c>
      <c r="Y58" s="172">
        <f>IFERROR(Vertailu[[#This Row],[Muutos, € 3]]/Vertailu[[#This Row],[Rahoitus ml. hark. kor. + alv 2024, €]],0)</f>
        <v>2.8182850387598067E-2</v>
      </c>
      <c r="Z58" s="170">
        <f>IFERROR(VLOOKUP(Vertailu[[#This Row],[Y-tunnus]],'Suoritepäät. 2024 oikaistu'!$B:$N,COLUMN('Suoritepäät. 2024 oikaistu'!H:H),FALSE),0)</f>
        <v>816875</v>
      </c>
      <c r="AA58" s="170">
        <f>IFERROR(VLOOKUP(Vertailu[[#This Row],[Y-tunnus]],'1.2 Ohjaus-laskentataulu'!A:AQ,COLUMN('1.2 Ohjaus-laskentataulu'!AL:AL),FALSE),0)</f>
        <v>809449</v>
      </c>
      <c r="AB58" s="170">
        <f>Vertailu[[#This Row],[Perusrahoitus 2025, €]]-Vertailu[[#This Row],[Perusrahoitus 2024, €]]</f>
        <v>-7426</v>
      </c>
      <c r="AC58" s="172">
        <f>IFERROR(Vertailu[[#This Row],[Perusrahoituksen muutos, €]]/Vertailu[[#This Row],[Perusrahoitus 2024, €]],0)</f>
        <v>-9.0907421576128539E-3</v>
      </c>
      <c r="AD58" s="170">
        <f>IFERROR(VLOOKUP(Vertailu[[#This Row],[Y-tunnus]],'Suoritepäät. 2024 oikaistu'!$O:$Y,COLUMN('Suoritepäät. 2024 oikaistu'!D:D),FALSE),0)</f>
        <v>273042</v>
      </c>
      <c r="AE58" s="170">
        <f>IFERROR(VLOOKUP(Vertailu[[#This Row],[Y-tunnus]],'1.2 Ohjaus-laskentataulu'!A:AQ,COLUMN('1.2 Ohjaus-laskentataulu'!N:N),FALSE),0)</f>
        <v>308383</v>
      </c>
      <c r="AF58" s="170">
        <f>Vertailu[[#This Row],[Suoritusrahoitus 2025, €]]-Vertailu[[#This Row],[Suoritusrahoitus 2024, €]]</f>
        <v>35341</v>
      </c>
      <c r="AG58" s="172">
        <f>IFERROR(Vertailu[[#This Row],[Suoritusrahoituksen muutos, €]]/Vertailu[[#This Row],[Suoritusrahoitus 2024, €]],0)</f>
        <v>0.12943429948506091</v>
      </c>
      <c r="AH58" s="170">
        <f>IFERROR(VLOOKUP(Vertailu[[#This Row],[Y-tunnus]],'Suoritepäät. 2024 oikaistu'!$AB:$AL,COLUMN('Suoritepäät. 2024 oikaistu'!I:I),FALSE),0)</f>
        <v>192410</v>
      </c>
      <c r="AI5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187381</v>
      </c>
      <c r="AJ58" s="170">
        <f>Vertailu[[#This Row],[Vaikuttavuusrahoitus 2025, €]]-Vertailu[[#This Row],[Vaikuttavuusrahoitus 2024, €]]</f>
        <v>-5029</v>
      </c>
      <c r="AK58" s="172">
        <f>IFERROR(Vertailu[[#This Row],[Vaikuttavuusrahoituksen muutos, €]]/Vertailu[[#This Row],[Vaikuttavuusrahoitus 2024, €]],0)</f>
        <v>-2.613689517176862E-2</v>
      </c>
    </row>
    <row r="59" spans="1:37" s="2" customFormat="1" ht="12.75" customHeight="1" x14ac:dyDescent="0.25">
      <c r="A59" s="4" t="s">
        <v>271</v>
      </c>
      <c r="B59" s="161" t="s">
        <v>58</v>
      </c>
      <c r="C59" s="161" t="s">
        <v>188</v>
      </c>
      <c r="D59" s="8" t="s">
        <v>325</v>
      </c>
      <c r="E5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0.67301677518205483</v>
      </c>
      <c r="F5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0.67457821665057904</v>
      </c>
      <c r="G5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0.21101529567517283</v>
      </c>
      <c r="H5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0.11440648767424813</v>
      </c>
      <c r="I5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7.7460728000717599E-2</v>
      </c>
      <c r="J5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3.6177777014406395E-3</v>
      </c>
      <c r="K5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1.3900321767887041E-2</v>
      </c>
      <c r="L5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1.383527540355352E-2</v>
      </c>
      <c r="M5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5.5923848006493295E-3</v>
      </c>
      <c r="N5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26243033</v>
      </c>
      <c r="O59" s="170">
        <f>IFERROR(VLOOKUP(Vertailu[[#This Row],[Y-tunnus]],'1.2 Ohjaus-laskentataulu'!A:AQ,COLUMN('1.2 Ohjaus-laskentataulu'!AE:AE),FALSE),0)</f>
        <v>24298487</v>
      </c>
      <c r="P59" s="170">
        <f>IFERROR(Vertailu[[#This Row],[Rahoitus pl. hark. kor. 2025 ilman alv, €]]-Vertailu[[#This Row],[Rahoitus pl. hark. kor. 2024 ilman alv, €]],0)</f>
        <v>-1944546</v>
      </c>
      <c r="Q59" s="172">
        <f>IFERROR(Vertailu[[#This Row],[Muutos, € 1]]/Vertailu[[#This Row],[Rahoitus pl. hark. kor. 2024 ilman alv, €]],0)</f>
        <v>-7.4097609068281098E-2</v>
      </c>
      <c r="R59" s="175">
        <f>IFERROR(VLOOKUP(Vertailu[[#This Row],[Y-tunnus]],'Suoritepäät. 2024 oikaistu'!$AB:$AL,COLUMN('Suoritepäät. 2024 oikaistu'!J:J),FALSE),0)</f>
        <v>26339444</v>
      </c>
      <c r="S59" s="176">
        <f>IFERROR(VLOOKUP(Vertailu[[#This Row],[Y-tunnus]],'1.2 Ohjaus-laskentataulu'!A:AQ,COLUMN('1.2 Ohjaus-laskentataulu'!AO:AO),FALSE),0)</f>
        <v>24336487</v>
      </c>
      <c r="T59" s="170">
        <f>IFERROR(Vertailu[[#This Row],[Rahoitus ml. hark. kor. 
2025 ilman alv, €]]-Vertailu[[#This Row],[Rahoitus ml. hark. kor. 
2024 ilman alv, €]],0)</f>
        <v>-2002957</v>
      </c>
      <c r="U59" s="174">
        <f>IFERROR(Vertailu[[#This Row],[Muutos, € 2]]/Vertailu[[#This Row],[Rahoitus ml. hark. kor. 
2024 ilman alv, €]],0)</f>
        <v>-7.6044012166695693E-2</v>
      </c>
      <c r="V5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26339444</v>
      </c>
      <c r="W59" s="175">
        <f>IFERROR(VLOOKUP(Vertailu[[#This Row],[Y-tunnus]],'1.2 Ohjaus-laskentataulu'!A:AQ,COLUMN('1.2 Ohjaus-laskentataulu'!AQ:AQ),FALSE),0)</f>
        <v>24336487</v>
      </c>
      <c r="X59" s="177">
        <f>IFERROR(Vertailu[[#This Row],[Rahoitus ml. hark. kor. + alv 2025, €]]-Vertailu[[#This Row],[Rahoitus ml. hark. kor. + alv 2024, €]],0)</f>
        <v>-2002957</v>
      </c>
      <c r="Y59" s="172">
        <f>IFERROR(Vertailu[[#This Row],[Muutos, € 3]]/Vertailu[[#This Row],[Rahoitus ml. hark. kor. + alv 2024, €]],0)</f>
        <v>-7.6044012166695693E-2</v>
      </c>
      <c r="Z59" s="170">
        <f>IFERROR(VLOOKUP(Vertailu[[#This Row],[Y-tunnus]],'Suoritepäät. 2024 oikaistu'!$B:$N,COLUMN('Suoritepäät. 2024 oikaistu'!H:H),FALSE),0)</f>
        <v>18855884</v>
      </c>
      <c r="AA59" s="170">
        <f>IFERROR(VLOOKUP(Vertailu[[#This Row],[Y-tunnus]],'1.2 Ohjaus-laskentataulu'!A:AQ,COLUMN('1.2 Ohjaus-laskentataulu'!AL:AL),FALSE),0)</f>
        <v>16416864</v>
      </c>
      <c r="AB59" s="170">
        <f>Vertailu[[#This Row],[Perusrahoitus 2025, €]]-Vertailu[[#This Row],[Perusrahoitus 2024, €]]</f>
        <v>-2439020</v>
      </c>
      <c r="AC59" s="172">
        <f>IFERROR(Vertailu[[#This Row],[Perusrahoituksen muutos, €]]/Vertailu[[#This Row],[Perusrahoitus 2024, €]],0)</f>
        <v>-0.1293506048297709</v>
      </c>
      <c r="AD59" s="170">
        <f>IFERROR(VLOOKUP(Vertailu[[#This Row],[Y-tunnus]],'Suoritepäät. 2024 oikaistu'!$O:$Y,COLUMN('Suoritepäät. 2024 oikaistu'!D:D),FALSE),0)</f>
        <v>4924855</v>
      </c>
      <c r="AE59" s="170">
        <f>IFERROR(VLOOKUP(Vertailu[[#This Row],[Y-tunnus]],'1.2 Ohjaus-laskentataulu'!A:AQ,COLUMN('1.2 Ohjaus-laskentataulu'!N:N),FALSE),0)</f>
        <v>5135371</v>
      </c>
      <c r="AF59" s="170">
        <f>Vertailu[[#This Row],[Suoritusrahoitus 2025, €]]-Vertailu[[#This Row],[Suoritusrahoitus 2024, €]]</f>
        <v>210516</v>
      </c>
      <c r="AG59" s="172">
        <f>IFERROR(Vertailu[[#This Row],[Suoritusrahoituksen muutos, €]]/Vertailu[[#This Row],[Suoritusrahoitus 2024, €]],0)</f>
        <v>4.2745623982838071E-2</v>
      </c>
      <c r="AH59" s="170">
        <f>IFERROR(VLOOKUP(Vertailu[[#This Row],[Y-tunnus]],'Suoritepäät. 2024 oikaistu'!$AB:$AL,COLUMN('Suoritepäät. 2024 oikaistu'!I:I),FALSE),0)</f>
        <v>2558705</v>
      </c>
      <c r="AI5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2784252</v>
      </c>
      <c r="AJ59" s="170">
        <f>Vertailu[[#This Row],[Vaikuttavuusrahoitus 2025, €]]-Vertailu[[#This Row],[Vaikuttavuusrahoitus 2024, €]]</f>
        <v>225547</v>
      </c>
      <c r="AK59" s="172">
        <f>IFERROR(Vertailu[[#This Row],[Vaikuttavuusrahoituksen muutos, €]]/Vertailu[[#This Row],[Vaikuttavuusrahoitus 2024, €]],0)</f>
        <v>8.8148887816297691E-2</v>
      </c>
    </row>
    <row r="60" spans="1:37" s="2" customFormat="1" ht="12.75" customHeight="1" x14ac:dyDescent="0.25">
      <c r="A60" s="4" t="s">
        <v>270</v>
      </c>
      <c r="B60" s="161" t="s">
        <v>59</v>
      </c>
      <c r="C60" s="161" t="s">
        <v>186</v>
      </c>
      <c r="D60" s="8" t="s">
        <v>325</v>
      </c>
      <c r="E6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0.67984960840025677</v>
      </c>
      <c r="F6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0.68213348702029064</v>
      </c>
      <c r="G6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0.19529595600020755</v>
      </c>
      <c r="H6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0.12257055697950184</v>
      </c>
      <c r="I6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7.677190615039968E-2</v>
      </c>
      <c r="J6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4.5766955851706155E-3</v>
      </c>
      <c r="K6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1.3066053154432357E-2</v>
      </c>
      <c r="L6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1.8679498186846836E-2</v>
      </c>
      <c r="M6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9.4764039026523517E-3</v>
      </c>
      <c r="N6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64287536</v>
      </c>
      <c r="O60" s="170">
        <f>IFERROR(VLOOKUP(Vertailu[[#This Row],[Y-tunnus]],'1.2 Ohjaus-laskentataulu'!A:AQ,COLUMN('1.2 Ohjaus-laskentataulu'!AE:AE),FALSE),0)</f>
        <v>60722378</v>
      </c>
      <c r="P60" s="170">
        <f>IFERROR(Vertailu[[#This Row],[Rahoitus pl. hark. kor. 2025 ilman alv, €]]-Vertailu[[#This Row],[Rahoitus pl. hark. kor. 2024 ilman alv, €]],0)</f>
        <v>-3565158</v>
      </c>
      <c r="Q60" s="172">
        <f>IFERROR(Vertailu[[#This Row],[Muutos, € 1]]/Vertailu[[#This Row],[Rahoitus pl. hark. kor. 2024 ilman alv, €]],0)</f>
        <v>-5.5456441821008666E-2</v>
      </c>
      <c r="R60" s="175">
        <f>IFERROR(VLOOKUP(Vertailu[[#This Row],[Y-tunnus]],'Suoritepäät. 2024 oikaistu'!$AB:$AL,COLUMN('Suoritepäät. 2024 oikaistu'!J:J),FALSE),0)</f>
        <v>64651653</v>
      </c>
      <c r="S60" s="176">
        <f>IFERROR(VLOOKUP(Vertailu[[#This Row],[Y-tunnus]],'1.2 Ohjaus-laskentataulu'!A:AQ,COLUMN('1.2 Ohjaus-laskentataulu'!AO:AO),FALSE),0)</f>
        <v>60861378</v>
      </c>
      <c r="T60" s="170">
        <f>IFERROR(Vertailu[[#This Row],[Rahoitus ml. hark. kor. 
2025 ilman alv, €]]-Vertailu[[#This Row],[Rahoitus ml. hark. kor. 
2024 ilman alv, €]],0)</f>
        <v>-3790275</v>
      </c>
      <c r="U60" s="174">
        <f>IFERROR(Vertailu[[#This Row],[Muutos, € 2]]/Vertailu[[#This Row],[Rahoitus ml. hark. kor. 
2024 ilman alv, €]],0)</f>
        <v>-5.8626111230288262E-2</v>
      </c>
      <c r="V6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64651653</v>
      </c>
      <c r="W60" s="175">
        <f>IFERROR(VLOOKUP(Vertailu[[#This Row],[Y-tunnus]],'1.2 Ohjaus-laskentataulu'!A:AQ,COLUMN('1.2 Ohjaus-laskentataulu'!AQ:AQ),FALSE),0)</f>
        <v>60861378</v>
      </c>
      <c r="X60" s="177">
        <f>IFERROR(Vertailu[[#This Row],[Rahoitus ml. hark. kor. + alv 2025, €]]-Vertailu[[#This Row],[Rahoitus ml. hark. kor. + alv 2024, €]],0)</f>
        <v>-3790275</v>
      </c>
      <c r="Y60" s="172">
        <f>IFERROR(Vertailu[[#This Row],[Muutos, € 3]]/Vertailu[[#This Row],[Rahoitus ml. hark. kor. + alv 2024, €]],0)</f>
        <v>-5.8626111230288262E-2</v>
      </c>
      <c r="Z60" s="170">
        <f>IFERROR(VLOOKUP(Vertailu[[#This Row],[Y-tunnus]],'Suoritepäät. 2024 oikaistu'!$B:$N,COLUMN('Suoritepäät. 2024 oikaistu'!H:H),FALSE),0)</f>
        <v>43713794</v>
      </c>
      <c r="AA60" s="170">
        <f>IFERROR(VLOOKUP(Vertailu[[#This Row],[Y-tunnus]],'1.2 Ohjaus-laskentataulu'!A:AQ,COLUMN('1.2 Ohjaus-laskentataulu'!AL:AL),FALSE),0)</f>
        <v>41515584</v>
      </c>
      <c r="AB60" s="170">
        <f>Vertailu[[#This Row],[Perusrahoitus 2025, €]]-Vertailu[[#This Row],[Perusrahoitus 2024, €]]</f>
        <v>-2198210</v>
      </c>
      <c r="AC60" s="172">
        <f>IFERROR(Vertailu[[#This Row],[Perusrahoituksen muutos, €]]/Vertailu[[#This Row],[Perusrahoitus 2024, €]],0)</f>
        <v>-5.0286415313207544E-2</v>
      </c>
      <c r="AD60" s="170">
        <f>IFERROR(VLOOKUP(Vertailu[[#This Row],[Y-tunnus]],'Suoritepäät. 2024 oikaistu'!$O:$Y,COLUMN('Suoritepäät. 2024 oikaistu'!D:D),FALSE),0)</f>
        <v>13054954</v>
      </c>
      <c r="AE60" s="170">
        <f>IFERROR(VLOOKUP(Vertailu[[#This Row],[Y-tunnus]],'1.2 Ohjaus-laskentataulu'!A:AQ,COLUMN('1.2 Ohjaus-laskentataulu'!N:N),FALSE),0)</f>
        <v>11885981</v>
      </c>
      <c r="AF60" s="170">
        <f>Vertailu[[#This Row],[Suoritusrahoitus 2025, €]]-Vertailu[[#This Row],[Suoritusrahoitus 2024, €]]</f>
        <v>-1168973</v>
      </c>
      <c r="AG60" s="172">
        <f>IFERROR(Vertailu[[#This Row],[Suoritusrahoituksen muutos, €]]/Vertailu[[#This Row],[Suoritusrahoitus 2024, €]],0)</f>
        <v>-8.9542483259611644E-2</v>
      </c>
      <c r="AH60" s="170">
        <f>IFERROR(VLOOKUP(Vertailu[[#This Row],[Y-tunnus]],'Suoritepäät. 2024 oikaistu'!$AB:$AL,COLUMN('Suoritepäät. 2024 oikaistu'!I:I),FALSE),0)</f>
        <v>7882905</v>
      </c>
      <c r="AI6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7459813</v>
      </c>
      <c r="AJ60" s="170">
        <f>Vertailu[[#This Row],[Vaikuttavuusrahoitus 2025, €]]-Vertailu[[#This Row],[Vaikuttavuusrahoitus 2024, €]]</f>
        <v>-423092</v>
      </c>
      <c r="AK60" s="172">
        <f>IFERROR(Vertailu[[#This Row],[Vaikuttavuusrahoituksen muutos, €]]/Vertailu[[#This Row],[Vaikuttavuusrahoitus 2024, €]],0)</f>
        <v>-5.367209169715987E-2</v>
      </c>
    </row>
    <row r="61" spans="1:37" s="2" customFormat="1" ht="12.75" customHeight="1" x14ac:dyDescent="0.25">
      <c r="A61" s="4" t="s">
        <v>230</v>
      </c>
      <c r="B61" s="161" t="s">
        <v>469</v>
      </c>
      <c r="C61" s="161" t="s">
        <v>181</v>
      </c>
      <c r="D61" s="8" t="s">
        <v>325</v>
      </c>
      <c r="E6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0.72425428109173984</v>
      </c>
      <c r="F6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0.72483254187330881</v>
      </c>
      <c r="G6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0.18757804971638373</v>
      </c>
      <c r="H6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8.7589408410307421E-2</v>
      </c>
      <c r="I6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6.5817476940818728E-2</v>
      </c>
      <c r="J6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3.9978472177189016E-3</v>
      </c>
      <c r="K6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8.8845638653924554E-3</v>
      </c>
      <c r="L6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6.7214554989089457E-3</v>
      </c>
      <c r="M6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2.1680648874683869E-3</v>
      </c>
      <c r="N6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12452056</v>
      </c>
      <c r="O61" s="170">
        <f>IFERROR(VLOOKUP(Vertailu[[#This Row],[Y-tunnus]],'1.2 Ohjaus-laskentataulu'!A:AQ,COLUMN('1.2 Ohjaus-laskentataulu'!AE:AE),FALSE),0)</f>
        <v>12098265</v>
      </c>
      <c r="P61" s="170">
        <f>IFERROR(Vertailu[[#This Row],[Rahoitus pl. hark. kor. 2025 ilman alv, €]]-Vertailu[[#This Row],[Rahoitus pl. hark. kor. 2024 ilman alv, €]],0)</f>
        <v>-353791</v>
      </c>
      <c r="Q61" s="172">
        <f>IFERROR(Vertailu[[#This Row],[Muutos, € 1]]/Vertailu[[#This Row],[Rahoitus pl. hark. kor. 2024 ilman alv, €]],0)</f>
        <v>-2.8412255775271168E-2</v>
      </c>
      <c r="R61" s="175">
        <f>IFERROR(VLOOKUP(Vertailu[[#This Row],[Y-tunnus]],'Suoritepäät. 2024 oikaistu'!$AB:$AL,COLUMN('Suoritepäät. 2024 oikaistu'!J:J),FALSE),0)</f>
        <v>12512143</v>
      </c>
      <c r="S61" s="176">
        <f>IFERROR(VLOOKUP(Vertailu[[#This Row],[Y-tunnus]],'1.2 Ohjaus-laskentataulu'!A:AQ,COLUMN('1.2 Ohjaus-laskentataulu'!AO:AO),FALSE),0)</f>
        <v>12105265</v>
      </c>
      <c r="T61" s="170">
        <f>IFERROR(Vertailu[[#This Row],[Rahoitus ml. hark. kor. 
2025 ilman alv, €]]-Vertailu[[#This Row],[Rahoitus ml. hark. kor. 
2024 ilman alv, €]],0)</f>
        <v>-406878</v>
      </c>
      <c r="U61" s="174">
        <f>IFERROR(Vertailu[[#This Row],[Muutos, € 2]]/Vertailu[[#This Row],[Rahoitus ml. hark. kor. 
2024 ilman alv, €]],0)</f>
        <v>-3.2518650082563792E-2</v>
      </c>
      <c r="V6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12512143</v>
      </c>
      <c r="W61" s="175">
        <f>IFERROR(VLOOKUP(Vertailu[[#This Row],[Y-tunnus]],'1.2 Ohjaus-laskentataulu'!A:AQ,COLUMN('1.2 Ohjaus-laskentataulu'!AQ:AQ),FALSE),0)</f>
        <v>12105265</v>
      </c>
      <c r="X61" s="177">
        <f>IFERROR(Vertailu[[#This Row],[Rahoitus ml. hark. kor. + alv 2025, €]]-Vertailu[[#This Row],[Rahoitus ml. hark. kor. + alv 2024, €]],0)</f>
        <v>-406878</v>
      </c>
      <c r="Y61" s="172">
        <f>IFERROR(Vertailu[[#This Row],[Muutos, € 3]]/Vertailu[[#This Row],[Rahoitus ml. hark. kor. + alv 2024, €]],0)</f>
        <v>-3.2518650082563792E-2</v>
      </c>
      <c r="Z61" s="170">
        <f>IFERROR(VLOOKUP(Vertailu[[#This Row],[Y-tunnus]],'Suoritepäät. 2024 oikaistu'!$B:$N,COLUMN('Suoritepäät. 2024 oikaistu'!H:H),FALSE),0)</f>
        <v>8939257</v>
      </c>
      <c r="AA61" s="170">
        <f>IFERROR(VLOOKUP(Vertailu[[#This Row],[Y-tunnus]],'1.2 Ohjaus-laskentataulu'!A:AQ,COLUMN('1.2 Ohjaus-laskentataulu'!AL:AL),FALSE),0)</f>
        <v>8774290</v>
      </c>
      <c r="AB61" s="170">
        <f>Vertailu[[#This Row],[Perusrahoitus 2025, €]]-Vertailu[[#This Row],[Perusrahoitus 2024, €]]</f>
        <v>-164967</v>
      </c>
      <c r="AC61" s="172">
        <f>IFERROR(Vertailu[[#This Row],[Perusrahoituksen muutos, €]]/Vertailu[[#This Row],[Perusrahoitus 2024, €]],0)</f>
        <v>-1.8454218286821825E-2</v>
      </c>
      <c r="AD61" s="170">
        <f>IFERROR(VLOOKUP(Vertailu[[#This Row],[Y-tunnus]],'Suoritepäät. 2024 oikaistu'!$O:$Y,COLUMN('Suoritepäät. 2024 oikaistu'!D:D),FALSE),0)</f>
        <v>2380998</v>
      </c>
      <c r="AE61" s="170">
        <f>IFERROR(VLOOKUP(Vertailu[[#This Row],[Y-tunnus]],'1.2 Ohjaus-laskentataulu'!A:AQ,COLUMN('1.2 Ohjaus-laskentataulu'!N:N),FALSE),0)</f>
        <v>2270682</v>
      </c>
      <c r="AF61" s="170">
        <f>Vertailu[[#This Row],[Suoritusrahoitus 2025, €]]-Vertailu[[#This Row],[Suoritusrahoitus 2024, €]]</f>
        <v>-110316</v>
      </c>
      <c r="AG61" s="172">
        <f>IFERROR(Vertailu[[#This Row],[Suoritusrahoituksen muutos, €]]/Vertailu[[#This Row],[Suoritusrahoitus 2024, €]],0)</f>
        <v>-4.6331832282093477E-2</v>
      </c>
      <c r="AH61" s="170">
        <f>IFERROR(VLOOKUP(Vertailu[[#This Row],[Y-tunnus]],'Suoritepäät. 2024 oikaistu'!$AB:$AL,COLUMN('Suoritepäät. 2024 oikaistu'!I:I),FALSE),0)</f>
        <v>1191888</v>
      </c>
      <c r="AI6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1060293</v>
      </c>
      <c r="AJ61" s="170">
        <f>Vertailu[[#This Row],[Vaikuttavuusrahoitus 2025, €]]-Vertailu[[#This Row],[Vaikuttavuusrahoitus 2024, €]]</f>
        <v>-131595</v>
      </c>
      <c r="AK61" s="172">
        <f>IFERROR(Vertailu[[#This Row],[Vaikuttavuusrahoituksen muutos, €]]/Vertailu[[#This Row],[Vaikuttavuusrahoitus 2024, €]],0)</f>
        <v>-0.11040886392009988</v>
      </c>
    </row>
    <row r="62" spans="1:37" s="2" customFormat="1" ht="12.75" customHeight="1" x14ac:dyDescent="0.25">
      <c r="A62" s="4" t="s">
        <v>244</v>
      </c>
      <c r="B62" s="161" t="s">
        <v>438</v>
      </c>
      <c r="C62" s="161" t="s">
        <v>181</v>
      </c>
      <c r="D62" s="8" t="s">
        <v>325</v>
      </c>
      <c r="E6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0.67581248927967674</v>
      </c>
      <c r="F6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0.67756605976025319</v>
      </c>
      <c r="G6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0.21544231834487368</v>
      </c>
      <c r="H6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0.10699162189487318</v>
      </c>
      <c r="I6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7.5734864559736575E-2</v>
      </c>
      <c r="J6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2.4997082253561485E-3</v>
      </c>
      <c r="K6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1.1139835750197261E-2</v>
      </c>
      <c r="L6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1.2368400218300041E-2</v>
      </c>
      <c r="M6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5.2488131412831603E-3</v>
      </c>
      <c r="N6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79812395</v>
      </c>
      <c r="O62" s="170">
        <f>IFERROR(VLOOKUP(Vertailu[[#This Row],[Y-tunnus]],'1.2 Ohjaus-laskentataulu'!A:AQ,COLUMN('1.2 Ohjaus-laskentataulu'!AE:AE),FALSE),0)</f>
        <v>76850785</v>
      </c>
      <c r="P62" s="170">
        <f>IFERROR(Vertailu[[#This Row],[Rahoitus pl. hark. kor. 2025 ilman alv, €]]-Vertailu[[#This Row],[Rahoitus pl. hark. kor. 2024 ilman alv, €]],0)</f>
        <v>-2961610</v>
      </c>
      <c r="Q62" s="172">
        <f>IFERROR(Vertailu[[#This Row],[Muutos, € 1]]/Vertailu[[#This Row],[Rahoitus pl. hark. kor. 2024 ilman alv, €]],0)</f>
        <v>-3.7107143570870166E-2</v>
      </c>
      <c r="R62" s="175">
        <f>IFERROR(VLOOKUP(Vertailu[[#This Row],[Y-tunnus]],'Suoritepäät. 2024 oikaistu'!$AB:$AL,COLUMN('Suoritepäät. 2024 oikaistu'!J:J),FALSE),0)</f>
        <v>80346541</v>
      </c>
      <c r="S62" s="176">
        <f>IFERROR(VLOOKUP(Vertailu[[#This Row],[Y-tunnus]],'1.2 Ohjaus-laskentataulu'!A:AQ,COLUMN('1.2 Ohjaus-laskentataulu'!AO:AO),FALSE),0)</f>
        <v>76985785</v>
      </c>
      <c r="T62" s="170">
        <f>IFERROR(Vertailu[[#This Row],[Rahoitus ml. hark. kor. 
2025 ilman alv, €]]-Vertailu[[#This Row],[Rahoitus ml. hark. kor. 
2024 ilman alv, €]],0)</f>
        <v>-3360756</v>
      </c>
      <c r="U62" s="174">
        <f>IFERROR(Vertailu[[#This Row],[Muutos, € 2]]/Vertailu[[#This Row],[Rahoitus ml. hark. kor. 
2024 ilman alv, €]],0)</f>
        <v>-4.1828259912271765E-2</v>
      </c>
      <c r="V6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80346541</v>
      </c>
      <c r="W62" s="175">
        <f>IFERROR(VLOOKUP(Vertailu[[#This Row],[Y-tunnus]],'1.2 Ohjaus-laskentataulu'!A:AQ,COLUMN('1.2 Ohjaus-laskentataulu'!AQ:AQ),FALSE),0)</f>
        <v>76985785</v>
      </c>
      <c r="X62" s="177">
        <f>IFERROR(Vertailu[[#This Row],[Rahoitus ml. hark. kor. + alv 2025, €]]-Vertailu[[#This Row],[Rahoitus ml. hark. kor. + alv 2024, €]],0)</f>
        <v>-3360756</v>
      </c>
      <c r="Y62" s="172">
        <f>IFERROR(Vertailu[[#This Row],[Muutos, € 3]]/Vertailu[[#This Row],[Rahoitus ml. hark. kor. + alv 2024, €]],0)</f>
        <v>-4.1828259912271765E-2</v>
      </c>
      <c r="Z62" s="170">
        <f>IFERROR(VLOOKUP(Vertailu[[#This Row],[Y-tunnus]],'Suoritepäät. 2024 oikaistu'!$B:$N,COLUMN('Suoritepäät. 2024 oikaistu'!H:H),FALSE),0)</f>
        <v>53837829</v>
      </c>
      <c r="AA62" s="170">
        <f>IFERROR(VLOOKUP(Vertailu[[#This Row],[Y-tunnus]],'1.2 Ohjaus-laskentataulu'!A:AQ,COLUMN('1.2 Ohjaus-laskentataulu'!AL:AL),FALSE),0)</f>
        <v>52162955</v>
      </c>
      <c r="AB62" s="170">
        <f>Vertailu[[#This Row],[Perusrahoitus 2025, €]]-Vertailu[[#This Row],[Perusrahoitus 2024, €]]</f>
        <v>-1674874</v>
      </c>
      <c r="AC62" s="172">
        <f>IFERROR(Vertailu[[#This Row],[Perusrahoituksen muutos, €]]/Vertailu[[#This Row],[Perusrahoitus 2024, €]],0)</f>
        <v>-3.110961253656792E-2</v>
      </c>
      <c r="AD62" s="170">
        <f>IFERROR(VLOOKUP(Vertailu[[#This Row],[Y-tunnus]],'Suoritepäät. 2024 oikaistu'!$O:$Y,COLUMN('Suoritepäät. 2024 oikaistu'!D:D),FALSE),0)</f>
        <v>17632117</v>
      </c>
      <c r="AE62" s="170">
        <f>IFERROR(VLOOKUP(Vertailu[[#This Row],[Y-tunnus]],'1.2 Ohjaus-laskentataulu'!A:AQ,COLUMN('1.2 Ohjaus-laskentataulu'!N:N),FALSE),0)</f>
        <v>16585996</v>
      </c>
      <c r="AF62" s="170">
        <f>Vertailu[[#This Row],[Suoritusrahoitus 2025, €]]-Vertailu[[#This Row],[Suoritusrahoitus 2024, €]]</f>
        <v>-1046121</v>
      </c>
      <c r="AG62" s="172">
        <f>IFERROR(Vertailu[[#This Row],[Suoritusrahoituksen muutos, €]]/Vertailu[[#This Row],[Suoritusrahoitus 2024, €]],0)</f>
        <v>-5.9330425268843211E-2</v>
      </c>
      <c r="AH62" s="170">
        <f>IFERROR(VLOOKUP(Vertailu[[#This Row],[Y-tunnus]],'Suoritepäät. 2024 oikaistu'!$AB:$AL,COLUMN('Suoritepäät. 2024 oikaistu'!I:I),FALSE),0)</f>
        <v>8876595</v>
      </c>
      <c r="AI6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8236834</v>
      </c>
      <c r="AJ62" s="170">
        <f>Vertailu[[#This Row],[Vaikuttavuusrahoitus 2025, €]]-Vertailu[[#This Row],[Vaikuttavuusrahoitus 2024, €]]</f>
        <v>-639761</v>
      </c>
      <c r="AK62" s="172">
        <f>IFERROR(Vertailu[[#This Row],[Vaikuttavuusrahoituksen muutos, €]]/Vertailu[[#This Row],[Vaikuttavuusrahoitus 2024, €]],0)</f>
        <v>-7.207279367820657E-2</v>
      </c>
    </row>
    <row r="63" spans="1:37" s="2" customFormat="1" ht="12.75" customHeight="1" x14ac:dyDescent="0.25">
      <c r="A63" s="4" t="s">
        <v>269</v>
      </c>
      <c r="B63" s="161" t="s">
        <v>60</v>
      </c>
      <c r="C63" s="161" t="s">
        <v>256</v>
      </c>
      <c r="D63" s="8" t="s">
        <v>325</v>
      </c>
      <c r="E6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0.6873203922149117</v>
      </c>
      <c r="F6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0.68854373840167626</v>
      </c>
      <c r="G6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0.20202068948381666</v>
      </c>
      <c r="H6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0.10943557211450707</v>
      </c>
      <c r="I6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7.5844805965272238E-2</v>
      </c>
      <c r="J6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3.7971400106633604E-3</v>
      </c>
      <c r="K6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1.1613351904009677E-2</v>
      </c>
      <c r="L6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1.3790022245073953E-2</v>
      </c>
      <c r="M6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4.390251989487828E-3</v>
      </c>
      <c r="N6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24784008</v>
      </c>
      <c r="O63" s="170">
        <f>IFERROR(VLOOKUP(Vertailu[[#This Row],[Y-tunnus]],'1.2 Ohjaus-laskentataulu'!A:AQ,COLUMN('1.2 Ohjaus-laskentataulu'!AE:AE),FALSE),0)</f>
        <v>23676473</v>
      </c>
      <c r="P63" s="170">
        <f>IFERROR(Vertailu[[#This Row],[Rahoitus pl. hark. kor. 2025 ilman alv, €]]-Vertailu[[#This Row],[Rahoitus pl. hark. kor. 2024 ilman alv, €]],0)</f>
        <v>-1107535</v>
      </c>
      <c r="Q63" s="172">
        <f>IFERROR(Vertailu[[#This Row],[Muutos, € 1]]/Vertailu[[#This Row],[Rahoitus pl. hark. kor. 2024 ilman alv, €]],0)</f>
        <v>-4.4687485575375864E-2</v>
      </c>
      <c r="R63" s="175">
        <f>IFERROR(VLOOKUP(Vertailu[[#This Row],[Y-tunnus]],'Suoritepäät. 2024 oikaistu'!$AB:$AL,COLUMN('Suoritepäät. 2024 oikaistu'!J:J),FALSE),0)</f>
        <v>24924918</v>
      </c>
      <c r="S63" s="176">
        <f>IFERROR(VLOOKUP(Vertailu[[#This Row],[Y-tunnus]],'1.2 Ohjaus-laskentataulu'!A:AQ,COLUMN('1.2 Ohjaus-laskentataulu'!AO:AO),FALSE),0)</f>
        <v>23705473</v>
      </c>
      <c r="T63" s="170">
        <f>IFERROR(Vertailu[[#This Row],[Rahoitus ml. hark. kor. 
2025 ilman alv, €]]-Vertailu[[#This Row],[Rahoitus ml. hark. kor. 
2024 ilman alv, €]],0)</f>
        <v>-1219445</v>
      </c>
      <c r="U63" s="174">
        <f>IFERROR(Vertailu[[#This Row],[Muutos, € 2]]/Vertailu[[#This Row],[Rahoitus ml. hark. kor. 
2024 ilman alv, €]],0)</f>
        <v>-4.8924734677161227E-2</v>
      </c>
      <c r="V6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24924918</v>
      </c>
      <c r="W63" s="175">
        <f>IFERROR(VLOOKUP(Vertailu[[#This Row],[Y-tunnus]],'1.2 Ohjaus-laskentataulu'!A:AQ,COLUMN('1.2 Ohjaus-laskentataulu'!AQ:AQ),FALSE),0)</f>
        <v>23705473</v>
      </c>
      <c r="X63" s="177">
        <f>IFERROR(Vertailu[[#This Row],[Rahoitus ml. hark. kor. + alv 2025, €]]-Vertailu[[#This Row],[Rahoitus ml. hark. kor. + alv 2024, €]],0)</f>
        <v>-1219445</v>
      </c>
      <c r="Y63" s="172">
        <f>IFERROR(Vertailu[[#This Row],[Muutos, € 3]]/Vertailu[[#This Row],[Rahoitus ml. hark. kor. + alv 2024, €]],0)</f>
        <v>-4.8924734677161227E-2</v>
      </c>
      <c r="Z63" s="170">
        <f>IFERROR(VLOOKUP(Vertailu[[#This Row],[Y-tunnus]],'Suoritepäät. 2024 oikaistu'!$B:$N,COLUMN('Suoritepäät. 2024 oikaistu'!H:H),FALSE),0)</f>
        <v>17332829</v>
      </c>
      <c r="AA63" s="170">
        <f>IFERROR(VLOOKUP(Vertailu[[#This Row],[Y-tunnus]],'1.2 Ohjaus-laskentataulu'!A:AQ,COLUMN('1.2 Ohjaus-laskentataulu'!AL:AL),FALSE),0)</f>
        <v>16322255</v>
      </c>
      <c r="AB63" s="170">
        <f>Vertailu[[#This Row],[Perusrahoitus 2025, €]]-Vertailu[[#This Row],[Perusrahoitus 2024, €]]</f>
        <v>-1010574</v>
      </c>
      <c r="AC63" s="172">
        <f>IFERROR(Vertailu[[#This Row],[Perusrahoituksen muutos, €]]/Vertailu[[#This Row],[Perusrahoitus 2024, €]],0)</f>
        <v>-5.8304042577238833E-2</v>
      </c>
      <c r="AD63" s="170">
        <f>IFERROR(VLOOKUP(Vertailu[[#This Row],[Y-tunnus]],'Suoritepäät. 2024 oikaistu'!$O:$Y,COLUMN('Suoritepäät. 2024 oikaistu'!D:D),FALSE),0)</f>
        <v>4972922</v>
      </c>
      <c r="AE63" s="170">
        <f>IFERROR(VLOOKUP(Vertailu[[#This Row],[Y-tunnus]],'1.2 Ohjaus-laskentataulu'!A:AQ,COLUMN('1.2 Ohjaus-laskentataulu'!N:N),FALSE),0)</f>
        <v>4788996</v>
      </c>
      <c r="AF63" s="170">
        <f>Vertailu[[#This Row],[Suoritusrahoitus 2025, €]]-Vertailu[[#This Row],[Suoritusrahoitus 2024, €]]</f>
        <v>-183926</v>
      </c>
      <c r="AG63" s="172">
        <f>IFERROR(Vertailu[[#This Row],[Suoritusrahoituksen muutos, €]]/Vertailu[[#This Row],[Suoritusrahoitus 2024, €]],0)</f>
        <v>-3.6985498666578721E-2</v>
      </c>
      <c r="AH63" s="170">
        <f>IFERROR(VLOOKUP(Vertailu[[#This Row],[Y-tunnus]],'Suoritepäät. 2024 oikaistu'!$AB:$AL,COLUMN('Suoritepäät. 2024 oikaistu'!I:I),FALSE),0)</f>
        <v>2619167</v>
      </c>
      <c r="AI6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2594222</v>
      </c>
      <c r="AJ63" s="170">
        <f>Vertailu[[#This Row],[Vaikuttavuusrahoitus 2025, €]]-Vertailu[[#This Row],[Vaikuttavuusrahoitus 2024, €]]</f>
        <v>-24945</v>
      </c>
      <c r="AK63" s="172">
        <f>IFERROR(Vertailu[[#This Row],[Vaikuttavuusrahoituksen muutos, €]]/Vertailu[[#This Row],[Vaikuttavuusrahoitus 2024, €]],0)</f>
        <v>-9.5240204232872518E-3</v>
      </c>
    </row>
    <row r="64" spans="1:37" s="2" customFormat="1" ht="12.75" customHeight="1" x14ac:dyDescent="0.25">
      <c r="A64" s="4" t="s">
        <v>472</v>
      </c>
      <c r="B64" s="161" t="s">
        <v>473</v>
      </c>
      <c r="C64" s="161" t="s">
        <v>188</v>
      </c>
      <c r="D64" s="8" t="s">
        <v>326</v>
      </c>
      <c r="E6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0.67606204982480878</v>
      </c>
      <c r="F6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0.67823716189443717</v>
      </c>
      <c r="G6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0.20382910756722697</v>
      </c>
      <c r="H6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0.11793373053833581</v>
      </c>
      <c r="I6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7.764956745278305E-2</v>
      </c>
      <c r="J6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3.6466156645851514E-3</v>
      </c>
      <c r="K6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9.9405441171737698E-3</v>
      </c>
      <c r="L6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1.7879783731023707E-2</v>
      </c>
      <c r="M6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8.8172195727701259E-3</v>
      </c>
      <c r="N6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25956263</v>
      </c>
      <c r="O64" s="170">
        <f>IFERROR(VLOOKUP(Vertailu[[#This Row],[Y-tunnus]],'1.2 Ohjaus-laskentataulu'!A:AQ,COLUMN('1.2 Ohjaus-laskentataulu'!AE:AE),FALSE),0)</f>
        <v>24772307</v>
      </c>
      <c r="P64" s="170">
        <f>IFERROR(Vertailu[[#This Row],[Rahoitus pl. hark. kor. 2025 ilman alv, €]]-Vertailu[[#This Row],[Rahoitus pl. hark. kor. 2024 ilman alv, €]],0)</f>
        <v>-1183956</v>
      </c>
      <c r="Q64" s="172">
        <f>IFERROR(Vertailu[[#This Row],[Muutos, € 1]]/Vertailu[[#This Row],[Rahoitus pl. hark. kor. 2024 ilman alv, €]],0)</f>
        <v>-4.5613499909443821E-2</v>
      </c>
      <c r="R64" s="175">
        <f>IFERROR(VLOOKUP(Vertailu[[#This Row],[Y-tunnus]],'Suoritepäät. 2024 oikaistu'!$AB:$AL,COLUMN('Suoritepäät. 2024 oikaistu'!J:J),FALSE),0)</f>
        <v>26137469</v>
      </c>
      <c r="S64" s="176">
        <f>IFERROR(VLOOKUP(Vertailu[[#This Row],[Y-tunnus]],'1.2 Ohjaus-laskentataulu'!A:AQ,COLUMN('1.2 Ohjaus-laskentataulu'!AO:AO),FALSE),0)</f>
        <v>24826307</v>
      </c>
      <c r="T64" s="170">
        <f>IFERROR(Vertailu[[#This Row],[Rahoitus ml. hark. kor. 
2025 ilman alv, €]]-Vertailu[[#This Row],[Rahoitus ml. hark. kor. 
2024 ilman alv, €]],0)</f>
        <v>-1311162</v>
      </c>
      <c r="U64" s="174">
        <f>IFERROR(Vertailu[[#This Row],[Muutos, € 2]]/Vertailu[[#This Row],[Rahoitus ml. hark. kor. 
2024 ilman alv, €]],0)</f>
        <v>-5.0164076713013032E-2</v>
      </c>
      <c r="V6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28678686</v>
      </c>
      <c r="W64" s="175">
        <f>IFERROR(VLOOKUP(Vertailu[[#This Row],[Y-tunnus]],'1.2 Ohjaus-laskentataulu'!A:AQ,COLUMN('1.2 Ohjaus-laskentataulu'!AQ:AQ),FALSE),0)</f>
        <v>27173013</v>
      </c>
      <c r="X64" s="177">
        <f>IFERROR(Vertailu[[#This Row],[Rahoitus ml. hark. kor. + alv 2025, €]]-Vertailu[[#This Row],[Rahoitus ml. hark. kor. + alv 2024, €]],0)</f>
        <v>-1505673</v>
      </c>
      <c r="Y64" s="172">
        <f>IFERROR(Vertailu[[#This Row],[Muutos, € 3]]/Vertailu[[#This Row],[Rahoitus ml. hark. kor. + alv 2024, €]],0)</f>
        <v>-5.2501463979207415E-2</v>
      </c>
      <c r="Z64" s="170">
        <f>IFERROR(VLOOKUP(Vertailu[[#This Row],[Y-tunnus]],'Suoritepäät. 2024 oikaistu'!$B:$N,COLUMN('Suoritepäät. 2024 oikaistu'!H:H),FALSE),0)</f>
        <v>17814661</v>
      </c>
      <c r="AA64" s="170">
        <f>IFERROR(VLOOKUP(Vertailu[[#This Row],[Y-tunnus]],'1.2 Ohjaus-laskentataulu'!A:AQ,COLUMN('1.2 Ohjaus-laskentataulu'!AL:AL),FALSE),0)</f>
        <v>16838124</v>
      </c>
      <c r="AB64" s="170">
        <f>Vertailu[[#This Row],[Perusrahoitus 2025, €]]-Vertailu[[#This Row],[Perusrahoitus 2024, €]]</f>
        <v>-976537</v>
      </c>
      <c r="AC64" s="172">
        <f>IFERROR(Vertailu[[#This Row],[Perusrahoituksen muutos, €]]/Vertailu[[#This Row],[Perusrahoitus 2024, €]],0)</f>
        <v>-5.4816479527732803E-2</v>
      </c>
      <c r="AD64" s="170">
        <f>IFERROR(VLOOKUP(Vertailu[[#This Row],[Y-tunnus]],'Suoritepäät. 2024 oikaistu'!$O:$Y,COLUMN('Suoritepäät. 2024 oikaistu'!D:D),FALSE),0)</f>
        <v>5189631</v>
      </c>
      <c r="AE64" s="170">
        <f>IFERROR(VLOOKUP(Vertailu[[#This Row],[Y-tunnus]],'1.2 Ohjaus-laskentataulu'!A:AQ,COLUMN('1.2 Ohjaus-laskentataulu'!N:N),FALSE),0)</f>
        <v>5060324</v>
      </c>
      <c r="AF64" s="170">
        <f>Vertailu[[#This Row],[Suoritusrahoitus 2025, €]]-Vertailu[[#This Row],[Suoritusrahoitus 2024, €]]</f>
        <v>-129307</v>
      </c>
      <c r="AG64" s="172">
        <f>IFERROR(Vertailu[[#This Row],[Suoritusrahoituksen muutos, €]]/Vertailu[[#This Row],[Suoritusrahoitus 2024, €]],0)</f>
        <v>-2.4916415059182434E-2</v>
      </c>
      <c r="AH64" s="170">
        <f>IFERROR(VLOOKUP(Vertailu[[#This Row],[Y-tunnus]],'Suoritepäät. 2024 oikaistu'!$AB:$AL,COLUMN('Suoritepäät. 2024 oikaistu'!I:I),FALSE),0)</f>
        <v>3133177</v>
      </c>
      <c r="AI6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2927859</v>
      </c>
      <c r="AJ64" s="170">
        <f>Vertailu[[#This Row],[Vaikuttavuusrahoitus 2025, €]]-Vertailu[[#This Row],[Vaikuttavuusrahoitus 2024, €]]</f>
        <v>-205318</v>
      </c>
      <c r="AK64" s="172">
        <f>IFERROR(Vertailu[[#This Row],[Vaikuttavuusrahoituksen muutos, €]]/Vertailu[[#This Row],[Vaikuttavuusrahoitus 2024, €]],0)</f>
        <v>-6.5530290819829196E-2</v>
      </c>
    </row>
    <row r="65" spans="1:37" s="2" customFormat="1" ht="12.75" customHeight="1" x14ac:dyDescent="0.25">
      <c r="A65" s="4" t="s">
        <v>265</v>
      </c>
      <c r="B65" s="161" t="s">
        <v>61</v>
      </c>
      <c r="C65" s="161" t="s">
        <v>181</v>
      </c>
      <c r="D65" s="8" t="s">
        <v>326</v>
      </c>
      <c r="E6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0.69198578332891925</v>
      </c>
      <c r="F6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0.69491222859049229</v>
      </c>
      <c r="G6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0.16421601263053776</v>
      </c>
      <c r="H6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0.14087175877896999</v>
      </c>
      <c r="I6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8.4985433618710526E-2</v>
      </c>
      <c r="J6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1.3910857550887225E-2</v>
      </c>
      <c r="K6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2.3547641797247092E-2</v>
      </c>
      <c r="L6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1.498193651662294E-2</v>
      </c>
      <c r="M6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3.4458892955022001E-3</v>
      </c>
      <c r="N6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817094</v>
      </c>
      <c r="O65" s="170">
        <f>IFERROR(VLOOKUP(Vertailu[[#This Row],[Y-tunnus]],'1.2 Ohjaus-laskentataulu'!A:AQ,COLUMN('1.2 Ohjaus-laskentataulu'!AE:AE),FALSE),0)</f>
        <v>681423</v>
      </c>
      <c r="P65" s="170">
        <f>IFERROR(Vertailu[[#This Row],[Rahoitus pl. hark. kor. 2025 ilman alv, €]]-Vertailu[[#This Row],[Rahoitus pl. hark. kor. 2024 ilman alv, €]],0)</f>
        <v>-135671</v>
      </c>
      <c r="Q65" s="172">
        <f>IFERROR(Vertailu[[#This Row],[Muutos, € 1]]/Vertailu[[#This Row],[Rahoitus pl. hark. kor. 2024 ilman alv, €]],0)</f>
        <v>-0.16604087167449522</v>
      </c>
      <c r="R65" s="175">
        <f>IFERROR(VLOOKUP(Vertailu[[#This Row],[Y-tunnus]],'Suoritepäät. 2024 oikaistu'!$AB:$AL,COLUMN('Suoritepäät. 2024 oikaistu'!J:J),FALSE),0)</f>
        <v>817094</v>
      </c>
      <c r="S65" s="176">
        <f>IFERROR(VLOOKUP(Vertailu[[#This Row],[Y-tunnus]],'1.2 Ohjaus-laskentataulu'!A:AQ,COLUMN('1.2 Ohjaus-laskentataulu'!AO:AO),FALSE),0)</f>
        <v>683423</v>
      </c>
      <c r="T65" s="170">
        <f>IFERROR(Vertailu[[#This Row],[Rahoitus ml. hark. kor. 
2025 ilman alv, €]]-Vertailu[[#This Row],[Rahoitus ml. hark. kor. 
2024 ilman alv, €]],0)</f>
        <v>-133671</v>
      </c>
      <c r="U65" s="174">
        <f>IFERROR(Vertailu[[#This Row],[Muutos, € 2]]/Vertailu[[#This Row],[Rahoitus ml. hark. kor. 
2024 ilman alv, €]],0)</f>
        <v>-0.16359317287851827</v>
      </c>
      <c r="V6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853529</v>
      </c>
      <c r="W65" s="175">
        <f>IFERROR(VLOOKUP(Vertailu[[#This Row],[Y-tunnus]],'1.2 Ohjaus-laskentataulu'!A:AQ,COLUMN('1.2 Ohjaus-laskentataulu'!AQ:AQ),FALSE),0)</f>
        <v>734120</v>
      </c>
      <c r="X65" s="177">
        <f>IFERROR(Vertailu[[#This Row],[Rahoitus ml. hark. kor. + alv 2025, €]]-Vertailu[[#This Row],[Rahoitus ml. hark. kor. + alv 2024, €]],0)</f>
        <v>-119409</v>
      </c>
      <c r="Y65" s="172">
        <f>IFERROR(Vertailu[[#This Row],[Muutos, € 3]]/Vertailu[[#This Row],[Rahoitus ml. hark. kor. + alv 2024, €]],0)</f>
        <v>-0.1399003431635012</v>
      </c>
      <c r="Z65" s="170">
        <f>IFERROR(VLOOKUP(Vertailu[[#This Row],[Y-tunnus]],'Suoritepäät. 2024 oikaistu'!$B:$N,COLUMN('Suoritepäät. 2024 oikaistu'!H:H),FALSE),0)</f>
        <v>505685</v>
      </c>
      <c r="AA65" s="170">
        <f>IFERROR(VLOOKUP(Vertailu[[#This Row],[Y-tunnus]],'1.2 Ohjaus-laskentataulu'!A:AQ,COLUMN('1.2 Ohjaus-laskentataulu'!AL:AL),FALSE),0)</f>
        <v>474919</v>
      </c>
      <c r="AB65" s="170">
        <f>Vertailu[[#This Row],[Perusrahoitus 2025, €]]-Vertailu[[#This Row],[Perusrahoitus 2024, €]]</f>
        <v>-30766</v>
      </c>
      <c r="AC65" s="172">
        <f>IFERROR(Vertailu[[#This Row],[Perusrahoituksen muutos, €]]/Vertailu[[#This Row],[Perusrahoitus 2024, €]],0)</f>
        <v>-6.0840246398449628E-2</v>
      </c>
      <c r="AD65" s="170">
        <f>IFERROR(VLOOKUP(Vertailu[[#This Row],[Y-tunnus]],'Suoritepäät. 2024 oikaistu'!$O:$Y,COLUMN('Suoritepäät. 2024 oikaistu'!D:D),FALSE),0)</f>
        <v>179935</v>
      </c>
      <c r="AE65" s="170">
        <f>IFERROR(VLOOKUP(Vertailu[[#This Row],[Y-tunnus]],'1.2 Ohjaus-laskentataulu'!A:AQ,COLUMN('1.2 Ohjaus-laskentataulu'!N:N),FALSE),0)</f>
        <v>112229</v>
      </c>
      <c r="AF65" s="170">
        <f>Vertailu[[#This Row],[Suoritusrahoitus 2025, €]]-Vertailu[[#This Row],[Suoritusrahoitus 2024, €]]</f>
        <v>-67706</v>
      </c>
      <c r="AG65" s="172">
        <f>IFERROR(Vertailu[[#This Row],[Suoritusrahoituksen muutos, €]]/Vertailu[[#This Row],[Suoritusrahoitus 2024, €]],0)</f>
        <v>-0.37628032345013479</v>
      </c>
      <c r="AH65" s="170">
        <f>IFERROR(VLOOKUP(Vertailu[[#This Row],[Y-tunnus]],'Suoritepäät. 2024 oikaistu'!$AB:$AL,COLUMN('Suoritepäät. 2024 oikaistu'!I:I),FALSE),0)</f>
        <v>131474</v>
      </c>
      <c r="AI6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96275</v>
      </c>
      <c r="AJ65" s="170">
        <f>Vertailu[[#This Row],[Vaikuttavuusrahoitus 2025, €]]-Vertailu[[#This Row],[Vaikuttavuusrahoitus 2024, €]]</f>
        <v>-35199</v>
      </c>
      <c r="AK65" s="172">
        <f>IFERROR(Vertailu[[#This Row],[Vaikuttavuusrahoituksen muutos, €]]/Vertailu[[#This Row],[Vaikuttavuusrahoitus 2024, €]],0)</f>
        <v>-0.26772593820831497</v>
      </c>
    </row>
    <row r="66" spans="1:37" s="2" customFormat="1" ht="12.75" customHeight="1" x14ac:dyDescent="0.25">
      <c r="A66" s="4" t="s">
        <v>264</v>
      </c>
      <c r="B66" s="161" t="s">
        <v>496</v>
      </c>
      <c r="C66" s="161" t="s">
        <v>178</v>
      </c>
      <c r="D66" s="8" t="s">
        <v>326</v>
      </c>
      <c r="E6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0.67097065306051618</v>
      </c>
      <c r="F6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0.6724168850476967</v>
      </c>
      <c r="G6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0.23436333975460336</v>
      </c>
      <c r="H6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9.3219775197699917E-2</v>
      </c>
      <c r="I6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8.2760625466409818E-2</v>
      </c>
      <c r="J6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2.7507332396175008E-3</v>
      </c>
      <c r="K6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7.4437560380185468E-3</v>
      </c>
      <c r="L6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2.0681117416682576E-4</v>
      </c>
      <c r="M6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5.7849279487223988E-5</v>
      </c>
      <c r="N6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794611</v>
      </c>
      <c r="O66" s="170">
        <f>IFERROR(VLOOKUP(Vertailu[[#This Row],[Y-tunnus]],'1.2 Ohjaus-laskentataulu'!A:AQ,COLUMN('1.2 Ohjaus-laskentataulu'!AE:AE),FALSE),0)</f>
        <v>690452</v>
      </c>
      <c r="P66" s="170">
        <f>IFERROR(Vertailu[[#This Row],[Rahoitus pl. hark. kor. 2025 ilman alv, €]]-Vertailu[[#This Row],[Rahoitus pl. hark. kor. 2024 ilman alv, €]],0)</f>
        <v>-104159</v>
      </c>
      <c r="Q66" s="172">
        <f>IFERROR(Vertailu[[#This Row],[Muutos, € 1]]/Vertailu[[#This Row],[Rahoitus pl. hark. kor. 2024 ilman alv, €]],0)</f>
        <v>-0.13108174943462902</v>
      </c>
      <c r="R66" s="175">
        <f>IFERROR(VLOOKUP(Vertailu[[#This Row],[Y-tunnus]],'Suoritepäät. 2024 oikaistu'!$AB:$AL,COLUMN('Suoritepäät. 2024 oikaistu'!J:J),FALSE),0)</f>
        <v>794611</v>
      </c>
      <c r="S66" s="176">
        <f>IFERROR(VLOOKUP(Vertailu[[#This Row],[Y-tunnus]],'1.2 Ohjaus-laskentataulu'!A:AQ,COLUMN('1.2 Ohjaus-laskentataulu'!AO:AO),FALSE),0)</f>
        <v>691452</v>
      </c>
      <c r="T66" s="170">
        <f>IFERROR(Vertailu[[#This Row],[Rahoitus ml. hark. kor. 
2025 ilman alv, €]]-Vertailu[[#This Row],[Rahoitus ml. hark. kor. 
2024 ilman alv, €]],0)</f>
        <v>-103159</v>
      </c>
      <c r="U66" s="174">
        <f>IFERROR(Vertailu[[#This Row],[Muutos, € 2]]/Vertailu[[#This Row],[Rahoitus ml. hark. kor. 
2024 ilman alv, €]],0)</f>
        <v>-0.12982327201611857</v>
      </c>
      <c r="V6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808710</v>
      </c>
      <c r="W66" s="175">
        <f>IFERROR(VLOOKUP(Vertailu[[#This Row],[Y-tunnus]],'1.2 Ohjaus-laskentataulu'!A:AQ,COLUMN('1.2 Ohjaus-laskentataulu'!AQ:AQ),FALSE),0)</f>
        <v>712493</v>
      </c>
      <c r="X66" s="177">
        <f>IFERROR(Vertailu[[#This Row],[Rahoitus ml. hark. kor. + alv 2025, €]]-Vertailu[[#This Row],[Rahoitus ml. hark. kor. + alv 2024, €]],0)</f>
        <v>-96217</v>
      </c>
      <c r="Y66" s="172">
        <f>IFERROR(Vertailu[[#This Row],[Muutos, € 3]]/Vertailu[[#This Row],[Rahoitus ml. hark. kor. + alv 2024, €]],0)</f>
        <v>-0.11897589988994819</v>
      </c>
      <c r="Z66" s="170">
        <f>IFERROR(VLOOKUP(Vertailu[[#This Row],[Y-tunnus]],'Suoritepäät. 2024 oikaistu'!$B:$N,COLUMN('Suoritepäät. 2024 oikaistu'!H:H),FALSE),0)</f>
        <v>487259</v>
      </c>
      <c r="AA66" s="170">
        <f>IFERROR(VLOOKUP(Vertailu[[#This Row],[Y-tunnus]],'1.2 Ohjaus-laskentataulu'!A:AQ,COLUMN('1.2 Ohjaus-laskentataulu'!AL:AL),FALSE),0)</f>
        <v>464944</v>
      </c>
      <c r="AB66" s="170">
        <f>Vertailu[[#This Row],[Perusrahoitus 2025, €]]-Vertailu[[#This Row],[Perusrahoitus 2024, €]]</f>
        <v>-22315</v>
      </c>
      <c r="AC66" s="172">
        <f>IFERROR(Vertailu[[#This Row],[Perusrahoituksen muutos, €]]/Vertailu[[#This Row],[Perusrahoitus 2024, €]],0)</f>
        <v>-4.5796999131878527E-2</v>
      </c>
      <c r="AD66" s="170">
        <f>IFERROR(VLOOKUP(Vertailu[[#This Row],[Y-tunnus]],'Suoritepäät. 2024 oikaistu'!$O:$Y,COLUMN('Suoritepäät. 2024 oikaistu'!D:D),FALSE),0)</f>
        <v>257771</v>
      </c>
      <c r="AE66" s="170">
        <f>IFERROR(VLOOKUP(Vertailu[[#This Row],[Y-tunnus]],'1.2 Ohjaus-laskentataulu'!A:AQ,COLUMN('1.2 Ohjaus-laskentataulu'!N:N),FALSE),0)</f>
        <v>162051</v>
      </c>
      <c r="AF66" s="170">
        <f>Vertailu[[#This Row],[Suoritusrahoitus 2025, €]]-Vertailu[[#This Row],[Suoritusrahoitus 2024, €]]</f>
        <v>-95720</v>
      </c>
      <c r="AG66" s="172">
        <f>IFERROR(Vertailu[[#This Row],[Suoritusrahoituksen muutos, €]]/Vertailu[[#This Row],[Suoritusrahoitus 2024, €]],0)</f>
        <v>-0.37133734981824951</v>
      </c>
      <c r="AH66" s="170">
        <f>IFERROR(VLOOKUP(Vertailu[[#This Row],[Y-tunnus]],'Suoritepäät. 2024 oikaistu'!$AB:$AL,COLUMN('Suoritepäät. 2024 oikaistu'!I:I),FALSE),0)</f>
        <v>49581</v>
      </c>
      <c r="AI6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64457</v>
      </c>
      <c r="AJ66" s="170">
        <f>Vertailu[[#This Row],[Vaikuttavuusrahoitus 2025, €]]-Vertailu[[#This Row],[Vaikuttavuusrahoitus 2024, €]]</f>
        <v>14876</v>
      </c>
      <c r="AK66" s="172">
        <f>IFERROR(Vertailu[[#This Row],[Vaikuttavuusrahoituksen muutos, €]]/Vertailu[[#This Row],[Vaikuttavuusrahoitus 2024, €]],0)</f>
        <v>0.30003428732780701</v>
      </c>
    </row>
    <row r="67" spans="1:37" s="2" customFormat="1" ht="12.75" customHeight="1" x14ac:dyDescent="0.25">
      <c r="A67" s="4" t="s">
        <v>263</v>
      </c>
      <c r="B67" s="161" t="s">
        <v>359</v>
      </c>
      <c r="C67" s="161" t="s">
        <v>178</v>
      </c>
      <c r="D67" s="8" t="s">
        <v>326</v>
      </c>
      <c r="E6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0.67439748680052181</v>
      </c>
      <c r="F6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0.67533946561541836</v>
      </c>
      <c r="G6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0.21477682166928067</v>
      </c>
      <c r="H6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0.10988371271530104</v>
      </c>
      <c r="I6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7.99900150245621E-2</v>
      </c>
      <c r="J6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5.5623849019635551E-3</v>
      </c>
      <c r="K6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1.0534149086987033E-2</v>
      </c>
      <c r="L6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1.0886449163758307E-2</v>
      </c>
      <c r="M6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2.9107145380300398E-3</v>
      </c>
      <c r="N6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1037099</v>
      </c>
      <c r="O67" s="170">
        <f>IFERROR(VLOOKUP(Vertailu[[#This Row],[Y-tunnus]],'1.2 Ohjaus-laskentataulu'!A:AQ,COLUMN('1.2 Ohjaus-laskentataulu'!AE:AE),FALSE),0)</f>
        <v>1060595</v>
      </c>
      <c r="P67" s="170">
        <f>IFERROR(Vertailu[[#This Row],[Rahoitus pl. hark. kor. 2025 ilman alv, €]]-Vertailu[[#This Row],[Rahoitus pl. hark. kor. 2024 ilman alv, €]],0)</f>
        <v>23496</v>
      </c>
      <c r="Q67" s="172">
        <f>IFERROR(Vertailu[[#This Row],[Muutos, € 1]]/Vertailu[[#This Row],[Rahoitus pl. hark. kor. 2024 ilman alv, €]],0)</f>
        <v>2.2655503476524421E-2</v>
      </c>
      <c r="R67" s="175">
        <f>IFERROR(VLOOKUP(Vertailu[[#This Row],[Y-tunnus]],'Suoritepäät. 2024 oikaistu'!$AB:$AL,COLUMN('Suoritepäät. 2024 oikaistu'!J:J),FALSE),0)</f>
        <v>1037099</v>
      </c>
      <c r="S67" s="176">
        <f>IFERROR(VLOOKUP(Vertailu[[#This Row],[Y-tunnus]],'1.2 Ohjaus-laskentataulu'!A:AQ,COLUMN('1.2 Ohjaus-laskentataulu'!AO:AO),FALSE),0)</f>
        <v>1061595</v>
      </c>
      <c r="T67" s="170">
        <f>IFERROR(Vertailu[[#This Row],[Rahoitus ml. hark. kor. 
2025 ilman alv, €]]-Vertailu[[#This Row],[Rahoitus ml. hark. kor. 
2024 ilman alv, €]],0)</f>
        <v>24496</v>
      </c>
      <c r="U67" s="174">
        <f>IFERROR(Vertailu[[#This Row],[Muutos, € 2]]/Vertailu[[#This Row],[Rahoitus ml. hark. kor. 
2024 ilman alv, €]],0)</f>
        <v>2.361973157818106E-2</v>
      </c>
      <c r="V6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1113711</v>
      </c>
      <c r="W67" s="175">
        <f>IFERROR(VLOOKUP(Vertailu[[#This Row],[Y-tunnus]],'1.2 Ohjaus-laskentataulu'!A:AQ,COLUMN('1.2 Ohjaus-laskentataulu'!AQ:AQ),FALSE),0)</f>
        <v>1149023</v>
      </c>
      <c r="X67" s="177">
        <f>IFERROR(Vertailu[[#This Row],[Rahoitus ml. hark. kor. + alv 2025, €]]-Vertailu[[#This Row],[Rahoitus ml. hark. kor. + alv 2024, €]],0)</f>
        <v>35312</v>
      </c>
      <c r="Y67" s="172">
        <f>IFERROR(Vertailu[[#This Row],[Muutos, € 3]]/Vertailu[[#This Row],[Rahoitus ml. hark. kor. + alv 2024, €]],0)</f>
        <v>3.1706609703953718E-2</v>
      </c>
      <c r="Z67" s="170">
        <f>IFERROR(VLOOKUP(Vertailu[[#This Row],[Y-tunnus]],'Suoritepäät. 2024 oikaistu'!$B:$N,COLUMN('Suoritepäät. 2024 oikaistu'!H:H),FALSE),0)</f>
        <v>685165</v>
      </c>
      <c r="AA67" s="170">
        <f>IFERROR(VLOOKUP(Vertailu[[#This Row],[Y-tunnus]],'1.2 Ohjaus-laskentataulu'!A:AQ,COLUMN('1.2 Ohjaus-laskentataulu'!AL:AL),FALSE),0)</f>
        <v>716937</v>
      </c>
      <c r="AB67" s="170">
        <f>Vertailu[[#This Row],[Perusrahoitus 2025, €]]-Vertailu[[#This Row],[Perusrahoitus 2024, €]]</f>
        <v>31772</v>
      </c>
      <c r="AC67" s="172">
        <f>IFERROR(Vertailu[[#This Row],[Perusrahoituksen muutos, €]]/Vertailu[[#This Row],[Perusrahoitus 2024, €]],0)</f>
        <v>4.637131201973247E-2</v>
      </c>
      <c r="AD67" s="170">
        <f>IFERROR(VLOOKUP(Vertailu[[#This Row],[Y-tunnus]],'Suoritepäät. 2024 oikaistu'!$O:$Y,COLUMN('Suoritepäät. 2024 oikaistu'!D:D),FALSE),0)</f>
        <v>233109</v>
      </c>
      <c r="AE67" s="170">
        <f>IFERROR(VLOOKUP(Vertailu[[#This Row],[Y-tunnus]],'1.2 Ohjaus-laskentataulu'!A:AQ,COLUMN('1.2 Ohjaus-laskentataulu'!N:N),FALSE),0)</f>
        <v>228006</v>
      </c>
      <c r="AF67" s="170">
        <f>Vertailu[[#This Row],[Suoritusrahoitus 2025, €]]-Vertailu[[#This Row],[Suoritusrahoitus 2024, €]]</f>
        <v>-5103</v>
      </c>
      <c r="AG67" s="172">
        <f>IFERROR(Vertailu[[#This Row],[Suoritusrahoituksen muutos, €]]/Vertailu[[#This Row],[Suoritusrahoitus 2024, €]],0)</f>
        <v>-2.1891046677734449E-2</v>
      </c>
      <c r="AH67" s="170">
        <f>IFERROR(VLOOKUP(Vertailu[[#This Row],[Y-tunnus]],'Suoritepäät. 2024 oikaistu'!$AB:$AL,COLUMN('Suoritepäät. 2024 oikaistu'!I:I),FALSE),0)</f>
        <v>118825</v>
      </c>
      <c r="AI6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116652</v>
      </c>
      <c r="AJ67" s="170">
        <f>Vertailu[[#This Row],[Vaikuttavuusrahoitus 2025, €]]-Vertailu[[#This Row],[Vaikuttavuusrahoitus 2024, €]]</f>
        <v>-2173</v>
      </c>
      <c r="AK67" s="172">
        <f>IFERROR(Vertailu[[#This Row],[Vaikuttavuusrahoituksen muutos, €]]/Vertailu[[#This Row],[Vaikuttavuusrahoitus 2024, €]],0)</f>
        <v>-1.8287397433200084E-2</v>
      </c>
    </row>
    <row r="68" spans="1:37" s="2" customFormat="1" ht="12.75" customHeight="1" x14ac:dyDescent="0.25">
      <c r="A68" s="4" t="s">
        <v>262</v>
      </c>
      <c r="B68" s="161" t="s">
        <v>64</v>
      </c>
      <c r="C68" s="161" t="s">
        <v>200</v>
      </c>
      <c r="D68" s="8" t="s">
        <v>326</v>
      </c>
      <c r="E6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0.70949162732639348</v>
      </c>
      <c r="F6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0.70949162732639348</v>
      </c>
      <c r="G6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0.18660477516421833</v>
      </c>
      <c r="H6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0.10390359750938823</v>
      </c>
      <c r="I6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8.1863568090392344E-2</v>
      </c>
      <c r="J6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3.3046355977220812E-3</v>
      </c>
      <c r="K6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1.4449949538103865E-2</v>
      </c>
      <c r="L6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3.3457000515411542E-3</v>
      </c>
      <c r="M6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9.3974423162878999E-4</v>
      </c>
      <c r="N6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2112277</v>
      </c>
      <c r="O68" s="170">
        <f>IFERROR(VLOOKUP(Vertailu[[#This Row],[Y-tunnus]],'1.2 Ohjaus-laskentataulu'!A:AQ,COLUMN('1.2 Ohjaus-laskentataulu'!AE:AE),FALSE),0)</f>
        <v>1899453</v>
      </c>
      <c r="P68" s="170">
        <f>IFERROR(Vertailu[[#This Row],[Rahoitus pl. hark. kor. 2025 ilman alv, €]]-Vertailu[[#This Row],[Rahoitus pl. hark. kor. 2024 ilman alv, €]],0)</f>
        <v>-212824</v>
      </c>
      <c r="Q68" s="172">
        <f>IFERROR(Vertailu[[#This Row],[Muutos, € 1]]/Vertailu[[#This Row],[Rahoitus pl. hark. kor. 2024 ilman alv, €]],0)</f>
        <v>-0.10075572474632825</v>
      </c>
      <c r="R68" s="175">
        <f>IFERROR(VLOOKUP(Vertailu[[#This Row],[Y-tunnus]],'Suoritepäät. 2024 oikaistu'!$AB:$AL,COLUMN('Suoritepäät. 2024 oikaistu'!J:J),FALSE),0)</f>
        <v>2112277</v>
      </c>
      <c r="S68" s="176">
        <f>IFERROR(VLOOKUP(Vertailu[[#This Row],[Y-tunnus]],'1.2 Ohjaus-laskentataulu'!A:AQ,COLUMN('1.2 Ohjaus-laskentataulu'!AO:AO),FALSE),0)</f>
        <v>1899453</v>
      </c>
      <c r="T68" s="170">
        <f>IFERROR(Vertailu[[#This Row],[Rahoitus ml. hark. kor. 
2025 ilman alv, €]]-Vertailu[[#This Row],[Rahoitus ml. hark. kor. 
2024 ilman alv, €]],0)</f>
        <v>-212824</v>
      </c>
      <c r="U68" s="174">
        <f>IFERROR(Vertailu[[#This Row],[Muutos, € 2]]/Vertailu[[#This Row],[Rahoitus ml. hark. kor. 
2024 ilman alv, €]],0)</f>
        <v>-0.10075572474632825</v>
      </c>
      <c r="V6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2188629</v>
      </c>
      <c r="W68" s="175">
        <f>IFERROR(VLOOKUP(Vertailu[[#This Row],[Y-tunnus]],'1.2 Ohjaus-laskentataulu'!A:AQ,COLUMN('1.2 Ohjaus-laskentataulu'!AQ:AQ),FALSE),0)</f>
        <v>2180687</v>
      </c>
      <c r="X68" s="177">
        <f>IFERROR(Vertailu[[#This Row],[Rahoitus ml. hark. kor. + alv 2025, €]]-Vertailu[[#This Row],[Rahoitus ml. hark. kor. + alv 2024, €]],0)</f>
        <v>-7942</v>
      </c>
      <c r="Y68" s="172">
        <f>IFERROR(Vertailu[[#This Row],[Muutos, € 3]]/Vertailu[[#This Row],[Rahoitus ml. hark. kor. + alv 2024, €]],0)</f>
        <v>-3.6287557187627507E-3</v>
      </c>
      <c r="Z68" s="170">
        <f>IFERROR(VLOOKUP(Vertailu[[#This Row],[Y-tunnus]],'Suoritepäät. 2024 oikaistu'!$B:$N,COLUMN('Suoritepäät. 2024 oikaistu'!H:H),FALSE),0)</f>
        <v>1489757</v>
      </c>
      <c r="AA68" s="170">
        <f>IFERROR(VLOOKUP(Vertailu[[#This Row],[Y-tunnus]],'1.2 Ohjaus-laskentataulu'!A:AQ,COLUMN('1.2 Ohjaus-laskentataulu'!AL:AL),FALSE),0)</f>
        <v>1347646</v>
      </c>
      <c r="AB68" s="170">
        <f>Vertailu[[#This Row],[Perusrahoitus 2025, €]]-Vertailu[[#This Row],[Perusrahoitus 2024, €]]</f>
        <v>-142111</v>
      </c>
      <c r="AC68" s="172">
        <f>IFERROR(Vertailu[[#This Row],[Perusrahoituksen muutos, €]]/Vertailu[[#This Row],[Perusrahoitus 2024, €]],0)</f>
        <v>-9.5392067296881308E-2</v>
      </c>
      <c r="AD68" s="170">
        <f>IFERROR(VLOOKUP(Vertailu[[#This Row],[Y-tunnus]],'Suoritepäät. 2024 oikaistu'!$O:$Y,COLUMN('Suoritepäät. 2024 oikaistu'!D:D),FALSE),0)</f>
        <v>430043</v>
      </c>
      <c r="AE68" s="170">
        <f>IFERROR(VLOOKUP(Vertailu[[#This Row],[Y-tunnus]],'1.2 Ohjaus-laskentataulu'!A:AQ,COLUMN('1.2 Ohjaus-laskentataulu'!N:N),FALSE),0)</f>
        <v>354447</v>
      </c>
      <c r="AF68" s="170">
        <f>Vertailu[[#This Row],[Suoritusrahoitus 2025, €]]-Vertailu[[#This Row],[Suoritusrahoitus 2024, €]]</f>
        <v>-75596</v>
      </c>
      <c r="AG68" s="172">
        <f>IFERROR(Vertailu[[#This Row],[Suoritusrahoituksen muutos, €]]/Vertailu[[#This Row],[Suoritusrahoitus 2024, €]],0)</f>
        <v>-0.17578707245554515</v>
      </c>
      <c r="AH68" s="170">
        <f>IFERROR(VLOOKUP(Vertailu[[#This Row],[Y-tunnus]],'Suoritepäät. 2024 oikaistu'!$AB:$AL,COLUMN('Suoritepäät. 2024 oikaistu'!I:I),FALSE),0)</f>
        <v>192477</v>
      </c>
      <c r="AI6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197360</v>
      </c>
      <c r="AJ68" s="170">
        <f>Vertailu[[#This Row],[Vaikuttavuusrahoitus 2025, €]]-Vertailu[[#This Row],[Vaikuttavuusrahoitus 2024, €]]</f>
        <v>4883</v>
      </c>
      <c r="AK68" s="172">
        <f>IFERROR(Vertailu[[#This Row],[Vaikuttavuusrahoituksen muutos, €]]/Vertailu[[#This Row],[Vaikuttavuusrahoitus 2024, €]],0)</f>
        <v>2.5369264899182759E-2</v>
      </c>
    </row>
    <row r="69" spans="1:37" s="2" customFormat="1" ht="12.75" customHeight="1" x14ac:dyDescent="0.25">
      <c r="A69" s="4" t="s">
        <v>260</v>
      </c>
      <c r="B69" s="161" t="s">
        <v>144</v>
      </c>
      <c r="C69" s="161" t="s">
        <v>180</v>
      </c>
      <c r="D69" s="8" t="s">
        <v>325</v>
      </c>
      <c r="E6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0.7159108366362491</v>
      </c>
      <c r="F6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0.7159108366362491</v>
      </c>
      <c r="G6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0.19363151749777247</v>
      </c>
      <c r="H6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9.0457645865978431E-2</v>
      </c>
      <c r="I6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6.2137063323808646E-2</v>
      </c>
      <c r="J6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4.6317632961563274E-3</v>
      </c>
      <c r="K6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2.020539527452607E-2</v>
      </c>
      <c r="L6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3.030233201216702E-3</v>
      </c>
      <c r="M6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4.5319077027068547E-4</v>
      </c>
      <c r="N6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280092</v>
      </c>
      <c r="O69" s="170">
        <f>IFERROR(VLOOKUP(Vertailu[[#This Row],[Y-tunnus]],'1.2 Ohjaus-laskentataulu'!A:AQ,COLUMN('1.2 Ohjaus-laskentataulu'!AE:AE),FALSE),0)</f>
        <v>260376</v>
      </c>
      <c r="P69" s="170">
        <f>IFERROR(Vertailu[[#This Row],[Rahoitus pl. hark. kor. 2025 ilman alv, €]]-Vertailu[[#This Row],[Rahoitus pl. hark. kor. 2024 ilman alv, €]],0)</f>
        <v>-19716</v>
      </c>
      <c r="Q69" s="172">
        <f>IFERROR(Vertailu[[#This Row],[Muutos, € 1]]/Vertailu[[#This Row],[Rahoitus pl. hark. kor. 2024 ilman alv, €]],0)</f>
        <v>-7.03911571912086E-2</v>
      </c>
      <c r="R69" s="175">
        <f>IFERROR(VLOOKUP(Vertailu[[#This Row],[Y-tunnus]],'Suoritepäät. 2024 oikaistu'!$AB:$AL,COLUMN('Suoritepäät. 2024 oikaistu'!J:J),FALSE),0)</f>
        <v>280092</v>
      </c>
      <c r="S69" s="176">
        <f>IFERROR(VLOOKUP(Vertailu[[#This Row],[Y-tunnus]],'1.2 Ohjaus-laskentataulu'!A:AQ,COLUMN('1.2 Ohjaus-laskentataulu'!AO:AO),FALSE),0)</f>
        <v>260376</v>
      </c>
      <c r="T69" s="170">
        <f>IFERROR(Vertailu[[#This Row],[Rahoitus ml. hark. kor. 
2025 ilman alv, €]]-Vertailu[[#This Row],[Rahoitus ml. hark. kor. 
2024 ilman alv, €]],0)</f>
        <v>-19716</v>
      </c>
      <c r="U69" s="174">
        <f>IFERROR(Vertailu[[#This Row],[Muutos, € 2]]/Vertailu[[#This Row],[Rahoitus ml. hark. kor. 
2024 ilman alv, €]],0)</f>
        <v>-7.03911571912086E-2</v>
      </c>
      <c r="V6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280092</v>
      </c>
      <c r="W69" s="175">
        <f>IFERROR(VLOOKUP(Vertailu[[#This Row],[Y-tunnus]],'1.2 Ohjaus-laskentataulu'!A:AQ,COLUMN('1.2 Ohjaus-laskentataulu'!AQ:AQ),FALSE),0)</f>
        <v>260376</v>
      </c>
      <c r="X69" s="177">
        <f>IFERROR(Vertailu[[#This Row],[Rahoitus ml. hark. kor. + alv 2025, €]]-Vertailu[[#This Row],[Rahoitus ml. hark. kor. + alv 2024, €]],0)</f>
        <v>-19716</v>
      </c>
      <c r="Y69" s="172">
        <f>IFERROR(Vertailu[[#This Row],[Muutos, € 3]]/Vertailu[[#This Row],[Rahoitus ml. hark. kor. + alv 2024, €]],0)</f>
        <v>-7.03911571912086E-2</v>
      </c>
      <c r="Z69" s="170">
        <f>IFERROR(VLOOKUP(Vertailu[[#This Row],[Y-tunnus]],'Suoritepäät. 2024 oikaistu'!$B:$N,COLUMN('Suoritepäät. 2024 oikaistu'!H:H),FALSE),0)</f>
        <v>197224</v>
      </c>
      <c r="AA69" s="170">
        <f>IFERROR(VLOOKUP(Vertailu[[#This Row],[Y-tunnus]],'1.2 Ohjaus-laskentataulu'!A:AQ,COLUMN('1.2 Ohjaus-laskentataulu'!AL:AL),FALSE),0)</f>
        <v>186406</v>
      </c>
      <c r="AB69" s="170">
        <f>Vertailu[[#This Row],[Perusrahoitus 2025, €]]-Vertailu[[#This Row],[Perusrahoitus 2024, €]]</f>
        <v>-10818</v>
      </c>
      <c r="AC69" s="172">
        <f>IFERROR(Vertailu[[#This Row],[Perusrahoituksen muutos, €]]/Vertailu[[#This Row],[Perusrahoitus 2024, €]],0)</f>
        <v>-5.4851336551332494E-2</v>
      </c>
      <c r="AD69" s="170">
        <f>IFERROR(VLOOKUP(Vertailu[[#This Row],[Y-tunnus]],'Suoritepäät. 2024 oikaistu'!$O:$Y,COLUMN('Suoritepäät. 2024 oikaistu'!D:D),FALSE),0)</f>
        <v>50374</v>
      </c>
      <c r="AE69" s="170">
        <f>IFERROR(VLOOKUP(Vertailu[[#This Row],[Y-tunnus]],'1.2 Ohjaus-laskentataulu'!A:AQ,COLUMN('1.2 Ohjaus-laskentataulu'!N:N),FALSE),0)</f>
        <v>50417</v>
      </c>
      <c r="AF69" s="170">
        <f>Vertailu[[#This Row],[Suoritusrahoitus 2025, €]]-Vertailu[[#This Row],[Suoritusrahoitus 2024, €]]</f>
        <v>43</v>
      </c>
      <c r="AG69" s="172">
        <f>IFERROR(Vertailu[[#This Row],[Suoritusrahoituksen muutos, €]]/Vertailu[[#This Row],[Suoritusrahoitus 2024, €]],0)</f>
        <v>8.5361496009846345E-4</v>
      </c>
      <c r="AH69" s="170">
        <f>IFERROR(VLOOKUP(Vertailu[[#This Row],[Y-tunnus]],'Suoritepäät. 2024 oikaistu'!$AB:$AL,COLUMN('Suoritepäät. 2024 oikaistu'!I:I),FALSE),0)</f>
        <v>32494</v>
      </c>
      <c r="AI6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23553</v>
      </c>
      <c r="AJ69" s="170">
        <f>Vertailu[[#This Row],[Vaikuttavuusrahoitus 2025, €]]-Vertailu[[#This Row],[Vaikuttavuusrahoitus 2024, €]]</f>
        <v>-8941</v>
      </c>
      <c r="AK69" s="172">
        <f>IFERROR(Vertailu[[#This Row],[Vaikuttavuusrahoituksen muutos, €]]/Vertailu[[#This Row],[Vaikuttavuusrahoitus 2024, €]],0)</f>
        <v>-0.27515849079830124</v>
      </c>
    </row>
    <row r="70" spans="1:37" s="2" customFormat="1" ht="12.75" customHeight="1" x14ac:dyDescent="0.25">
      <c r="A70" s="4" t="s">
        <v>299</v>
      </c>
      <c r="B70" s="161" t="s">
        <v>65</v>
      </c>
      <c r="C70" s="161" t="s">
        <v>174</v>
      </c>
      <c r="D70" s="8" t="s">
        <v>326</v>
      </c>
      <c r="E7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0.58874597658403971</v>
      </c>
      <c r="F7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0.5919518857157513</v>
      </c>
      <c r="G7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0.20995819494492249</v>
      </c>
      <c r="H7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0.19808991933932624</v>
      </c>
      <c r="I7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0.14558674548928585</v>
      </c>
      <c r="J7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6.2899937164181017E-3</v>
      </c>
      <c r="K7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2.079352662828125E-2</v>
      </c>
      <c r="L7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1.8671214783088187E-2</v>
      </c>
      <c r="M7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6.7484387222528563E-3</v>
      </c>
      <c r="N7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357821</v>
      </c>
      <c r="O70" s="170">
        <f>IFERROR(VLOOKUP(Vertailu[[#This Row],[Y-tunnus]],'1.2 Ohjaus-laskentataulu'!A:AQ,COLUMN('1.2 Ohjaus-laskentataulu'!AE:AE),FALSE),0)</f>
        <v>310924</v>
      </c>
      <c r="P70" s="170">
        <f>IFERROR(Vertailu[[#This Row],[Rahoitus pl. hark. kor. 2025 ilman alv, €]]-Vertailu[[#This Row],[Rahoitus pl. hark. kor. 2024 ilman alv, €]],0)</f>
        <v>-46897</v>
      </c>
      <c r="Q70" s="172">
        <f>IFERROR(Vertailu[[#This Row],[Muutos, € 1]]/Vertailu[[#This Row],[Rahoitus pl. hark. kor. 2024 ilman alv, €]],0)</f>
        <v>-0.13106273807294708</v>
      </c>
      <c r="R70" s="175">
        <f>IFERROR(VLOOKUP(Vertailu[[#This Row],[Y-tunnus]],'Suoritepäät. 2024 oikaistu'!$AB:$AL,COLUMN('Suoritepäät. 2024 oikaistu'!J:J),FALSE),0)</f>
        <v>357821</v>
      </c>
      <c r="S70" s="176">
        <f>IFERROR(VLOOKUP(Vertailu[[#This Row],[Y-tunnus]],'1.2 Ohjaus-laskentataulu'!A:AQ,COLUMN('1.2 Ohjaus-laskentataulu'!AO:AO),FALSE),0)</f>
        <v>311924</v>
      </c>
      <c r="T70" s="170">
        <f>IFERROR(Vertailu[[#This Row],[Rahoitus ml. hark. kor. 
2025 ilman alv, €]]-Vertailu[[#This Row],[Rahoitus ml. hark. kor. 
2024 ilman alv, €]],0)</f>
        <v>-45897</v>
      </c>
      <c r="U70" s="174">
        <f>IFERROR(Vertailu[[#This Row],[Muutos, € 2]]/Vertailu[[#This Row],[Rahoitus ml. hark. kor. 
2024 ilman alv, €]],0)</f>
        <v>-0.12826804463684355</v>
      </c>
      <c r="V7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370587</v>
      </c>
      <c r="W70" s="175">
        <f>IFERROR(VLOOKUP(Vertailu[[#This Row],[Y-tunnus]],'1.2 Ohjaus-laskentataulu'!A:AQ,COLUMN('1.2 Ohjaus-laskentataulu'!AQ:AQ),FALSE),0)</f>
        <v>325049</v>
      </c>
      <c r="X70" s="177">
        <f>IFERROR(Vertailu[[#This Row],[Rahoitus ml. hark. kor. + alv 2025, €]]-Vertailu[[#This Row],[Rahoitus ml. hark. kor. + alv 2024, €]],0)</f>
        <v>-45538</v>
      </c>
      <c r="Y70" s="172">
        <f>IFERROR(Vertailu[[#This Row],[Muutos, € 3]]/Vertailu[[#This Row],[Rahoitus ml. hark. kor. + alv 2024, €]],0)</f>
        <v>-0.122880727062741</v>
      </c>
      <c r="Z70" s="170">
        <f>IFERROR(VLOOKUP(Vertailu[[#This Row],[Y-tunnus]],'Suoritepäät. 2024 oikaistu'!$B:$N,COLUMN('Suoritepäät. 2024 oikaistu'!H:H),FALSE),0)</f>
        <v>192447</v>
      </c>
      <c r="AA70" s="170">
        <f>IFERROR(VLOOKUP(Vertailu[[#This Row],[Y-tunnus]],'1.2 Ohjaus-laskentataulu'!A:AQ,COLUMN('1.2 Ohjaus-laskentataulu'!AL:AL),FALSE),0)</f>
        <v>184644</v>
      </c>
      <c r="AB70" s="170">
        <f>Vertailu[[#This Row],[Perusrahoitus 2025, €]]-Vertailu[[#This Row],[Perusrahoitus 2024, €]]</f>
        <v>-7803</v>
      </c>
      <c r="AC70" s="172">
        <f>IFERROR(Vertailu[[#This Row],[Perusrahoituksen muutos, €]]/Vertailu[[#This Row],[Perusrahoitus 2024, €]],0)</f>
        <v>-4.0546228312210636E-2</v>
      </c>
      <c r="AD70" s="170">
        <f>IFERROR(VLOOKUP(Vertailu[[#This Row],[Y-tunnus]],'Suoritepäät. 2024 oikaistu'!$O:$Y,COLUMN('Suoritepäät. 2024 oikaistu'!D:D),FALSE),0)</f>
        <v>87791</v>
      </c>
      <c r="AE70" s="170">
        <f>IFERROR(VLOOKUP(Vertailu[[#This Row],[Y-tunnus]],'1.2 Ohjaus-laskentataulu'!A:AQ,COLUMN('1.2 Ohjaus-laskentataulu'!N:N),FALSE),0)</f>
        <v>65491</v>
      </c>
      <c r="AF70" s="170">
        <f>Vertailu[[#This Row],[Suoritusrahoitus 2025, €]]-Vertailu[[#This Row],[Suoritusrahoitus 2024, €]]</f>
        <v>-22300</v>
      </c>
      <c r="AG70" s="172">
        <f>IFERROR(Vertailu[[#This Row],[Suoritusrahoituksen muutos, €]]/Vertailu[[#This Row],[Suoritusrahoitus 2024, €]],0)</f>
        <v>-0.25401237028852613</v>
      </c>
      <c r="AH70" s="170">
        <f>IFERROR(VLOOKUP(Vertailu[[#This Row],[Y-tunnus]],'Suoritepäät. 2024 oikaistu'!$AB:$AL,COLUMN('Suoritepäät. 2024 oikaistu'!I:I),FALSE),0)</f>
        <v>77583</v>
      </c>
      <c r="AI7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61789</v>
      </c>
      <c r="AJ70" s="170">
        <f>Vertailu[[#This Row],[Vaikuttavuusrahoitus 2025, €]]-Vertailu[[#This Row],[Vaikuttavuusrahoitus 2024, €]]</f>
        <v>-15794</v>
      </c>
      <c r="AK70" s="172">
        <f>IFERROR(Vertailu[[#This Row],[Vaikuttavuusrahoituksen muutos, €]]/Vertailu[[#This Row],[Vaikuttavuusrahoitus 2024, €]],0)</f>
        <v>-0.20357552556616784</v>
      </c>
    </row>
    <row r="71" spans="1:37" s="2" customFormat="1" ht="12.75" customHeight="1" x14ac:dyDescent="0.25">
      <c r="A71" s="4" t="s">
        <v>259</v>
      </c>
      <c r="B71" s="161" t="s">
        <v>66</v>
      </c>
      <c r="C71" s="161" t="s">
        <v>186</v>
      </c>
      <c r="D71" s="8" t="s">
        <v>326</v>
      </c>
      <c r="E7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0.57865405352416432</v>
      </c>
      <c r="F7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0.58355553377119895</v>
      </c>
      <c r="G7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0.22051759631408685</v>
      </c>
      <c r="H7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0.19592686991471425</v>
      </c>
      <c r="I7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0.11915988628565827</v>
      </c>
      <c r="J7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1.1170473482991864E-2</v>
      </c>
      <c r="K7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2.6237623762376237E-2</v>
      </c>
      <c r="L7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2.6433682972257622E-2</v>
      </c>
      <c r="M7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1.2925203411430252E-2</v>
      </c>
      <c r="N7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217581</v>
      </c>
      <c r="O71" s="170">
        <f>IFERROR(VLOOKUP(Vertailu[[#This Row],[Y-tunnus]],'1.2 Ohjaus-laskentataulu'!A:AQ,COLUMN('1.2 Ohjaus-laskentataulu'!AE:AE),FALSE),0)</f>
        <v>203020</v>
      </c>
      <c r="P71" s="170">
        <f>IFERROR(Vertailu[[#This Row],[Rahoitus pl. hark. kor. 2025 ilman alv, €]]-Vertailu[[#This Row],[Rahoitus pl. hark. kor. 2024 ilman alv, €]],0)</f>
        <v>-14561</v>
      </c>
      <c r="Q71" s="172">
        <f>IFERROR(Vertailu[[#This Row],[Muutos, € 1]]/Vertailu[[#This Row],[Rahoitus pl. hark. kor. 2024 ilman alv, €]],0)</f>
        <v>-6.6922203685064408E-2</v>
      </c>
      <c r="R71" s="175">
        <f>IFERROR(VLOOKUP(Vertailu[[#This Row],[Y-tunnus]],'Suoritepäät. 2024 oikaistu'!$AB:$AL,COLUMN('Suoritepäät. 2024 oikaistu'!J:J),FALSE),0)</f>
        <v>217581</v>
      </c>
      <c r="S71" s="176">
        <f>IFERROR(VLOOKUP(Vertailu[[#This Row],[Y-tunnus]],'1.2 Ohjaus-laskentataulu'!A:AQ,COLUMN('1.2 Ohjaus-laskentataulu'!AO:AO),FALSE),0)</f>
        <v>204020</v>
      </c>
      <c r="T71" s="170">
        <f>IFERROR(Vertailu[[#This Row],[Rahoitus ml. hark. kor. 
2025 ilman alv, €]]-Vertailu[[#This Row],[Rahoitus ml. hark. kor. 
2024 ilman alv, €]],0)</f>
        <v>-13561</v>
      </c>
      <c r="U71" s="174">
        <f>IFERROR(Vertailu[[#This Row],[Muutos, € 2]]/Vertailu[[#This Row],[Rahoitus ml. hark. kor. 
2024 ilman alv, €]],0)</f>
        <v>-6.2326214145536601E-2</v>
      </c>
      <c r="V7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222187</v>
      </c>
      <c r="W71" s="175">
        <f>IFERROR(VLOOKUP(Vertailu[[#This Row],[Y-tunnus]],'1.2 Ohjaus-laskentataulu'!A:AQ,COLUMN('1.2 Ohjaus-laskentataulu'!AQ:AQ),FALSE),0)</f>
        <v>209009</v>
      </c>
      <c r="X71" s="177">
        <f>IFERROR(Vertailu[[#This Row],[Rahoitus ml. hark. kor. + alv 2025, €]]-Vertailu[[#This Row],[Rahoitus ml. hark. kor. + alv 2024, €]],0)</f>
        <v>-13178</v>
      </c>
      <c r="Y71" s="172">
        <f>IFERROR(Vertailu[[#This Row],[Muutos, € 3]]/Vertailu[[#This Row],[Rahoitus ml. hark. kor. + alv 2024, €]],0)</f>
        <v>-5.9310400698510714E-2</v>
      </c>
      <c r="Z71" s="170">
        <f>IFERROR(VLOOKUP(Vertailu[[#This Row],[Y-tunnus]],'Suoritepäät. 2024 oikaistu'!$B:$N,COLUMN('Suoritepäät. 2024 oikaistu'!H:H),FALSE),0)</f>
        <v>124203</v>
      </c>
      <c r="AA71" s="170">
        <f>IFERROR(VLOOKUP(Vertailu[[#This Row],[Y-tunnus]],'1.2 Ohjaus-laskentataulu'!A:AQ,COLUMN('1.2 Ohjaus-laskentataulu'!AL:AL),FALSE),0)</f>
        <v>119057</v>
      </c>
      <c r="AB71" s="170">
        <f>Vertailu[[#This Row],[Perusrahoitus 2025, €]]-Vertailu[[#This Row],[Perusrahoitus 2024, €]]</f>
        <v>-5146</v>
      </c>
      <c r="AC71" s="172">
        <f>IFERROR(Vertailu[[#This Row],[Perusrahoituksen muutos, €]]/Vertailu[[#This Row],[Perusrahoitus 2024, €]],0)</f>
        <v>-4.1432171525647529E-2</v>
      </c>
      <c r="AD71" s="170">
        <f>IFERROR(VLOOKUP(Vertailu[[#This Row],[Y-tunnus]],'Suoritepäät. 2024 oikaistu'!$O:$Y,COLUMN('Suoritepäät. 2024 oikaistu'!D:D),FALSE),0)</f>
        <v>46023</v>
      </c>
      <c r="AE71" s="170">
        <f>IFERROR(VLOOKUP(Vertailu[[#This Row],[Y-tunnus]],'1.2 Ohjaus-laskentataulu'!A:AQ,COLUMN('1.2 Ohjaus-laskentataulu'!N:N),FALSE),0)</f>
        <v>44990</v>
      </c>
      <c r="AF71" s="170">
        <f>Vertailu[[#This Row],[Suoritusrahoitus 2025, €]]-Vertailu[[#This Row],[Suoritusrahoitus 2024, €]]</f>
        <v>-1033</v>
      </c>
      <c r="AG71" s="172">
        <f>IFERROR(Vertailu[[#This Row],[Suoritusrahoituksen muutos, €]]/Vertailu[[#This Row],[Suoritusrahoitus 2024, €]],0)</f>
        <v>-2.2445299089585643E-2</v>
      </c>
      <c r="AH71" s="170">
        <f>IFERROR(VLOOKUP(Vertailu[[#This Row],[Y-tunnus]],'Suoritepäät. 2024 oikaistu'!$AB:$AL,COLUMN('Suoritepäät. 2024 oikaistu'!I:I),FALSE),0)</f>
        <v>47355</v>
      </c>
      <c r="AI7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39973</v>
      </c>
      <c r="AJ71" s="170">
        <f>Vertailu[[#This Row],[Vaikuttavuusrahoitus 2025, €]]-Vertailu[[#This Row],[Vaikuttavuusrahoitus 2024, €]]</f>
        <v>-7382</v>
      </c>
      <c r="AK71" s="172">
        <f>IFERROR(Vertailu[[#This Row],[Vaikuttavuusrahoituksen muutos, €]]/Vertailu[[#This Row],[Vaikuttavuusrahoitus 2024, €]],0)</f>
        <v>-0.1558863900327315</v>
      </c>
    </row>
    <row r="72" spans="1:37" s="2" customFormat="1" ht="12.75" customHeight="1" x14ac:dyDescent="0.25">
      <c r="A72" s="4" t="s">
        <v>258</v>
      </c>
      <c r="B72" s="161" t="s">
        <v>67</v>
      </c>
      <c r="C72" s="161" t="s">
        <v>186</v>
      </c>
      <c r="D72" s="8" t="s">
        <v>326</v>
      </c>
      <c r="E7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0.62501896719570227</v>
      </c>
      <c r="F7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0.62501896719570227</v>
      </c>
      <c r="G7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0.29576379405291037</v>
      </c>
      <c r="H7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7.9217238751387378E-2</v>
      </c>
      <c r="I7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6.2391418132468603E-2</v>
      </c>
      <c r="J7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3.0142923147480388E-3</v>
      </c>
      <c r="K7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1.0647203340272344E-2</v>
      </c>
      <c r="L7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2.1976373267591754E-3</v>
      </c>
      <c r="M7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9.6668763713921837E-4</v>
      </c>
      <c r="N7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661434</v>
      </c>
      <c r="O72" s="170">
        <f>IFERROR(VLOOKUP(Vertailu[[#This Row],[Y-tunnus]],'1.2 Ohjaus-laskentataulu'!A:AQ,COLUMN('1.2 Ohjaus-laskentataulu'!AE:AE),FALSE),0)</f>
        <v>586539</v>
      </c>
      <c r="P72" s="170">
        <f>IFERROR(Vertailu[[#This Row],[Rahoitus pl. hark. kor. 2025 ilman alv, €]]-Vertailu[[#This Row],[Rahoitus pl. hark. kor. 2024 ilman alv, €]],0)</f>
        <v>-74895</v>
      </c>
      <c r="Q72" s="172">
        <f>IFERROR(Vertailu[[#This Row],[Muutos, € 1]]/Vertailu[[#This Row],[Rahoitus pl. hark. kor. 2024 ilman alv, €]],0)</f>
        <v>-0.11323125209771497</v>
      </c>
      <c r="R72" s="175">
        <f>IFERROR(VLOOKUP(Vertailu[[#This Row],[Y-tunnus]],'Suoritepäät. 2024 oikaistu'!$AB:$AL,COLUMN('Suoritepäät. 2024 oikaistu'!J:J),FALSE),0)</f>
        <v>661434</v>
      </c>
      <c r="S72" s="176">
        <f>IFERROR(VLOOKUP(Vertailu[[#This Row],[Y-tunnus]],'1.2 Ohjaus-laskentataulu'!A:AQ,COLUMN('1.2 Ohjaus-laskentataulu'!AO:AO),FALSE),0)</f>
        <v>586539</v>
      </c>
      <c r="T72" s="170">
        <f>IFERROR(Vertailu[[#This Row],[Rahoitus ml. hark. kor. 
2025 ilman alv, €]]-Vertailu[[#This Row],[Rahoitus ml. hark. kor. 
2024 ilman alv, €]],0)</f>
        <v>-74895</v>
      </c>
      <c r="U72" s="174">
        <f>IFERROR(Vertailu[[#This Row],[Muutos, € 2]]/Vertailu[[#This Row],[Rahoitus ml. hark. kor. 
2024 ilman alv, €]],0)</f>
        <v>-0.11323125209771497</v>
      </c>
      <c r="V7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677160</v>
      </c>
      <c r="W72" s="175">
        <f>IFERROR(VLOOKUP(Vertailu[[#This Row],[Y-tunnus]],'1.2 Ohjaus-laskentataulu'!A:AQ,COLUMN('1.2 Ohjaus-laskentataulu'!AQ:AQ),FALSE),0)</f>
        <v>603355</v>
      </c>
      <c r="X72" s="177">
        <f>IFERROR(Vertailu[[#This Row],[Rahoitus ml. hark. kor. + alv 2025, €]]-Vertailu[[#This Row],[Rahoitus ml. hark. kor. + alv 2024, €]],0)</f>
        <v>-73805</v>
      </c>
      <c r="Y72" s="172">
        <f>IFERROR(Vertailu[[#This Row],[Muutos, € 3]]/Vertailu[[#This Row],[Rahoitus ml. hark. kor. + alv 2024, €]],0)</f>
        <v>-0.1089919664481068</v>
      </c>
      <c r="Z72" s="170">
        <f>IFERROR(VLOOKUP(Vertailu[[#This Row],[Y-tunnus]],'Suoritepäät. 2024 oikaistu'!$B:$N,COLUMN('Suoritepäät. 2024 oikaistu'!H:H),FALSE),0)</f>
        <v>448360</v>
      </c>
      <c r="AA72" s="170">
        <f>IFERROR(VLOOKUP(Vertailu[[#This Row],[Y-tunnus]],'1.2 Ohjaus-laskentataulu'!A:AQ,COLUMN('1.2 Ohjaus-laskentataulu'!AL:AL),FALSE),0)</f>
        <v>366598</v>
      </c>
      <c r="AB72" s="170">
        <f>Vertailu[[#This Row],[Perusrahoitus 2025, €]]-Vertailu[[#This Row],[Perusrahoitus 2024, €]]</f>
        <v>-81762</v>
      </c>
      <c r="AC72" s="172">
        <f>IFERROR(Vertailu[[#This Row],[Perusrahoituksen muutos, €]]/Vertailu[[#This Row],[Perusrahoitus 2024, €]],0)</f>
        <v>-0.1823579266660719</v>
      </c>
      <c r="AD72" s="170">
        <f>IFERROR(VLOOKUP(Vertailu[[#This Row],[Y-tunnus]],'Suoritepäät. 2024 oikaistu'!$O:$Y,COLUMN('Suoritepäät. 2024 oikaistu'!D:D),FALSE),0)</f>
        <v>164314</v>
      </c>
      <c r="AE72" s="170">
        <f>IFERROR(VLOOKUP(Vertailu[[#This Row],[Y-tunnus]],'1.2 Ohjaus-laskentataulu'!A:AQ,COLUMN('1.2 Ohjaus-laskentataulu'!N:N),FALSE),0)</f>
        <v>173477</v>
      </c>
      <c r="AF72" s="170">
        <f>Vertailu[[#This Row],[Suoritusrahoitus 2025, €]]-Vertailu[[#This Row],[Suoritusrahoitus 2024, €]]</f>
        <v>9163</v>
      </c>
      <c r="AG72" s="172">
        <f>IFERROR(Vertailu[[#This Row],[Suoritusrahoituksen muutos, €]]/Vertailu[[#This Row],[Suoritusrahoitus 2024, €]],0)</f>
        <v>5.5765181299219785E-2</v>
      </c>
      <c r="AH72" s="170">
        <f>IFERROR(VLOOKUP(Vertailu[[#This Row],[Y-tunnus]],'Suoritepäät. 2024 oikaistu'!$AB:$AL,COLUMN('Suoritepäät. 2024 oikaistu'!I:I),FALSE),0)</f>
        <v>48760</v>
      </c>
      <c r="AI7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46464</v>
      </c>
      <c r="AJ72" s="170">
        <f>Vertailu[[#This Row],[Vaikuttavuusrahoitus 2025, €]]-Vertailu[[#This Row],[Vaikuttavuusrahoitus 2024, €]]</f>
        <v>-2296</v>
      </c>
      <c r="AK72" s="172">
        <f>IFERROR(Vertailu[[#This Row],[Vaikuttavuusrahoituksen muutos, €]]/Vertailu[[#This Row],[Vaikuttavuusrahoitus 2024, €]],0)</f>
        <v>-4.7087776866283841E-2</v>
      </c>
    </row>
    <row r="73" spans="1:37" s="2" customFormat="1" ht="12.75" customHeight="1" x14ac:dyDescent="0.25">
      <c r="A73" s="4" t="s">
        <v>296</v>
      </c>
      <c r="B73" s="161" t="s">
        <v>468</v>
      </c>
      <c r="C73" s="161" t="s">
        <v>174</v>
      </c>
      <c r="D73" s="8" t="s">
        <v>326</v>
      </c>
      <c r="E7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0.88206118642058784</v>
      </c>
      <c r="F7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0.88224492128694976</v>
      </c>
      <c r="G7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0.10644750679939581</v>
      </c>
      <c r="H7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1.1307571913654443E-2</v>
      </c>
      <c r="I7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8.2464112389147876E-3</v>
      </c>
      <c r="J7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5.1918879862224577E-4</v>
      </c>
      <c r="K7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1.2774396252396678E-3</v>
      </c>
      <c r="L7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1.0867458008142715E-3</v>
      </c>
      <c r="M7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1.7778645006347006E-4</v>
      </c>
      <c r="N7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42233694</v>
      </c>
      <c r="O73" s="170">
        <f>IFERROR(VLOOKUP(Vertailu[[#This Row],[Y-tunnus]],'1.2 Ohjaus-laskentataulu'!A:AQ,COLUMN('1.2 Ohjaus-laskentataulu'!AE:AE),FALSE),0)</f>
        <v>43533001</v>
      </c>
      <c r="P73" s="170">
        <f>IFERROR(Vertailu[[#This Row],[Rahoitus pl. hark. kor. 2025 ilman alv, €]]-Vertailu[[#This Row],[Rahoitus pl. hark. kor. 2024 ilman alv, €]],0)</f>
        <v>1299307</v>
      </c>
      <c r="Q73" s="172">
        <f>IFERROR(Vertailu[[#This Row],[Muutos, € 1]]/Vertailu[[#This Row],[Rahoitus pl. hark. kor. 2024 ilman alv, €]],0)</f>
        <v>3.0764701756848454E-2</v>
      </c>
      <c r="R73" s="175">
        <f>IFERROR(VLOOKUP(Vertailu[[#This Row],[Y-tunnus]],'Suoritepäät. 2024 oikaistu'!$AB:$AL,COLUMN('Suoritepäät. 2024 oikaistu'!J:J),FALSE),0)</f>
        <v>42242802</v>
      </c>
      <c r="S73" s="176">
        <f>IFERROR(VLOOKUP(Vertailu[[#This Row],[Y-tunnus]],'1.2 Ohjaus-laskentataulu'!A:AQ,COLUMN('1.2 Ohjaus-laskentataulu'!AO:AO),FALSE),0)</f>
        <v>43541001</v>
      </c>
      <c r="T73" s="170">
        <f>IFERROR(Vertailu[[#This Row],[Rahoitus ml. hark. kor. 
2025 ilman alv, €]]-Vertailu[[#This Row],[Rahoitus ml. hark. kor. 
2024 ilman alv, €]],0)</f>
        <v>1298199</v>
      </c>
      <c r="U73" s="174">
        <f>IFERROR(Vertailu[[#This Row],[Muutos, € 2]]/Vertailu[[#This Row],[Rahoitus ml. hark. kor. 
2024 ilman alv, €]],0)</f>
        <v>3.0731839237368771E-2</v>
      </c>
      <c r="V7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43484363</v>
      </c>
      <c r="W73" s="175">
        <f>IFERROR(VLOOKUP(Vertailu[[#This Row],[Y-tunnus]],'1.2 Ohjaus-laskentataulu'!A:AQ,COLUMN('1.2 Ohjaus-laskentataulu'!AQ:AQ),FALSE),0)</f>
        <v>45043940</v>
      </c>
      <c r="X73" s="177">
        <f>IFERROR(Vertailu[[#This Row],[Rahoitus ml. hark. kor. + alv 2025, €]]-Vertailu[[#This Row],[Rahoitus ml. hark. kor. + alv 2024, €]],0)</f>
        <v>1559577</v>
      </c>
      <c r="Y73" s="172">
        <f>IFERROR(Vertailu[[#This Row],[Muutos, € 3]]/Vertailu[[#This Row],[Rahoitus ml. hark. kor. + alv 2024, €]],0)</f>
        <v>3.5865237349803195E-2</v>
      </c>
      <c r="Z73" s="170">
        <f>IFERROR(VLOOKUP(Vertailu[[#This Row],[Y-tunnus]],'Suoritepäät. 2024 oikaistu'!$B:$N,COLUMN('Suoritepäät. 2024 oikaistu'!H:H),FALSE),0)</f>
        <v>36610179</v>
      </c>
      <c r="AA73" s="170">
        <f>IFERROR(VLOOKUP(Vertailu[[#This Row],[Y-tunnus]],'1.2 Ohjaus-laskentataulu'!A:AQ,COLUMN('1.2 Ohjaus-laskentataulu'!AL:AL),FALSE),0)</f>
        <v>38413827</v>
      </c>
      <c r="AB73" s="170">
        <f>Vertailu[[#This Row],[Perusrahoitus 2025, €]]-Vertailu[[#This Row],[Perusrahoitus 2024, €]]</f>
        <v>1803648</v>
      </c>
      <c r="AC73" s="172">
        <f>IFERROR(Vertailu[[#This Row],[Perusrahoituksen muutos, €]]/Vertailu[[#This Row],[Perusrahoitus 2024, €]],0)</f>
        <v>4.9266298315558635E-2</v>
      </c>
      <c r="AD73" s="170">
        <f>IFERROR(VLOOKUP(Vertailu[[#This Row],[Y-tunnus]],'Suoritepäät. 2024 oikaistu'!$O:$Y,COLUMN('Suoritepäät. 2024 oikaistu'!D:D),FALSE),0)</f>
        <v>5109667</v>
      </c>
      <c r="AE73" s="170">
        <f>IFERROR(VLOOKUP(Vertailu[[#This Row],[Y-tunnus]],'1.2 Ohjaus-laskentataulu'!A:AQ,COLUMN('1.2 Ohjaus-laskentataulu'!N:N),FALSE),0)</f>
        <v>4634831</v>
      </c>
      <c r="AF73" s="170">
        <f>Vertailu[[#This Row],[Suoritusrahoitus 2025, €]]-Vertailu[[#This Row],[Suoritusrahoitus 2024, €]]</f>
        <v>-474836</v>
      </c>
      <c r="AG73" s="172">
        <f>IFERROR(Vertailu[[#This Row],[Suoritusrahoituksen muutos, €]]/Vertailu[[#This Row],[Suoritusrahoitus 2024, €]],0)</f>
        <v>-9.292895212153747E-2</v>
      </c>
      <c r="AH73" s="170">
        <f>IFERROR(VLOOKUP(Vertailu[[#This Row],[Y-tunnus]],'Suoritepäät. 2024 oikaistu'!$AB:$AL,COLUMN('Suoritepäät. 2024 oikaistu'!I:I),FALSE),0)</f>
        <v>522956</v>
      </c>
      <c r="AI7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492343</v>
      </c>
      <c r="AJ73" s="170">
        <f>Vertailu[[#This Row],[Vaikuttavuusrahoitus 2025, €]]-Vertailu[[#This Row],[Vaikuttavuusrahoitus 2024, €]]</f>
        <v>-30613</v>
      </c>
      <c r="AK73" s="172">
        <f>IFERROR(Vertailu[[#This Row],[Vaikuttavuusrahoituksen muutos, €]]/Vertailu[[#This Row],[Vaikuttavuusrahoitus 2024, €]],0)</f>
        <v>-5.8538385638562326E-2</v>
      </c>
    </row>
    <row r="74" spans="1:37" s="2" customFormat="1" ht="12.75" customHeight="1" x14ac:dyDescent="0.25">
      <c r="A74" s="4" t="s">
        <v>257</v>
      </c>
      <c r="B74" s="161" t="s">
        <v>68</v>
      </c>
      <c r="C74" s="161" t="s">
        <v>256</v>
      </c>
      <c r="D74" s="8" t="s">
        <v>325</v>
      </c>
      <c r="E7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0.67199472309016428</v>
      </c>
      <c r="F7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0.6828611252228769</v>
      </c>
      <c r="G7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0.20203932312025116</v>
      </c>
      <c r="H7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0.11509955165687201</v>
      </c>
      <c r="I7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7.9982576764580399E-2</v>
      </c>
      <c r="J7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4.2401317655298611E-3</v>
      </c>
      <c r="K7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1.3378159425686757E-2</v>
      </c>
      <c r="L7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1.4397982825844096E-2</v>
      </c>
      <c r="M7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3.1007008752308917E-3</v>
      </c>
      <c r="N7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13406594</v>
      </c>
      <c r="O74" s="170">
        <f>IFERROR(VLOOKUP(Vertailu[[#This Row],[Y-tunnus]],'1.2 Ohjaus-laskentataulu'!A:AQ,COLUMN('1.2 Ohjaus-laskentataulu'!AE:AE),FALSE),0)</f>
        <v>12834776</v>
      </c>
      <c r="P74" s="170">
        <f>IFERROR(Vertailu[[#This Row],[Rahoitus pl. hark. kor. 2025 ilman alv, €]]-Vertailu[[#This Row],[Rahoitus pl. hark. kor. 2024 ilman alv, €]],0)</f>
        <v>-571818</v>
      </c>
      <c r="Q74" s="172">
        <f>IFERROR(Vertailu[[#This Row],[Muutos, € 1]]/Vertailu[[#This Row],[Rahoitus pl. hark. kor. 2024 ilman alv, €]],0)</f>
        <v>-4.2651996472780486E-2</v>
      </c>
      <c r="R74" s="175">
        <f>IFERROR(VLOOKUP(Vertailu[[#This Row],[Y-tunnus]],'Suoritepäät. 2024 oikaistu'!$AB:$AL,COLUMN('Suoritepäät. 2024 oikaistu'!J:J),FALSE),0)</f>
        <v>13629827</v>
      </c>
      <c r="S74" s="176">
        <f>IFERROR(VLOOKUP(Vertailu[[#This Row],[Y-tunnus]],'1.2 Ohjaus-laskentataulu'!A:AQ,COLUMN('1.2 Ohjaus-laskentataulu'!AO:AO),FALSE),0)</f>
        <v>12975776</v>
      </c>
      <c r="T74" s="170">
        <f>IFERROR(Vertailu[[#This Row],[Rahoitus ml. hark. kor. 
2025 ilman alv, €]]-Vertailu[[#This Row],[Rahoitus ml. hark. kor. 
2024 ilman alv, €]],0)</f>
        <v>-654051</v>
      </c>
      <c r="U74" s="174">
        <f>IFERROR(Vertailu[[#This Row],[Muutos, € 2]]/Vertailu[[#This Row],[Rahoitus ml. hark. kor. 
2024 ilman alv, €]],0)</f>
        <v>-4.798674260502353E-2</v>
      </c>
      <c r="V7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13629827</v>
      </c>
      <c r="W74" s="175">
        <f>IFERROR(VLOOKUP(Vertailu[[#This Row],[Y-tunnus]],'1.2 Ohjaus-laskentataulu'!A:AQ,COLUMN('1.2 Ohjaus-laskentataulu'!AQ:AQ),FALSE),0)</f>
        <v>12975776</v>
      </c>
      <c r="X74" s="177">
        <f>IFERROR(Vertailu[[#This Row],[Rahoitus ml. hark. kor. + alv 2025, €]]-Vertailu[[#This Row],[Rahoitus ml. hark. kor. + alv 2024, €]],0)</f>
        <v>-654051</v>
      </c>
      <c r="Y74" s="172">
        <f>IFERROR(Vertailu[[#This Row],[Muutos, € 3]]/Vertailu[[#This Row],[Rahoitus ml. hark. kor. + alv 2024, €]],0)</f>
        <v>-4.798674260502353E-2</v>
      </c>
      <c r="Z74" s="170">
        <f>IFERROR(VLOOKUP(Vertailu[[#This Row],[Y-tunnus]],'Suoritepäät. 2024 oikaistu'!$B:$N,COLUMN('Suoritepäät. 2024 oikaistu'!H:H),FALSE),0)</f>
        <v>9335114</v>
      </c>
      <c r="AA74" s="170">
        <f>IFERROR(VLOOKUP(Vertailu[[#This Row],[Y-tunnus]],'1.2 Ohjaus-laskentataulu'!A:AQ,COLUMN('1.2 Ohjaus-laskentataulu'!AL:AL),FALSE),0)</f>
        <v>8860653</v>
      </c>
      <c r="AB74" s="170">
        <f>Vertailu[[#This Row],[Perusrahoitus 2025, €]]-Vertailu[[#This Row],[Perusrahoitus 2024, €]]</f>
        <v>-474461</v>
      </c>
      <c r="AC74" s="172">
        <f>IFERROR(Vertailu[[#This Row],[Perusrahoituksen muutos, €]]/Vertailu[[#This Row],[Perusrahoitus 2024, €]],0)</f>
        <v>-5.0825410380633811E-2</v>
      </c>
      <c r="AD74" s="170">
        <f>IFERROR(VLOOKUP(Vertailu[[#This Row],[Y-tunnus]],'Suoritepäät. 2024 oikaistu'!$O:$Y,COLUMN('Suoritepäät. 2024 oikaistu'!D:D),FALSE),0)</f>
        <v>2790582</v>
      </c>
      <c r="AE74" s="170">
        <f>IFERROR(VLOOKUP(Vertailu[[#This Row],[Y-tunnus]],'1.2 Ohjaus-laskentataulu'!A:AQ,COLUMN('1.2 Ohjaus-laskentataulu'!N:N),FALSE),0)</f>
        <v>2621617</v>
      </c>
      <c r="AF74" s="170">
        <f>Vertailu[[#This Row],[Suoritusrahoitus 2025, €]]-Vertailu[[#This Row],[Suoritusrahoitus 2024, €]]</f>
        <v>-168965</v>
      </c>
      <c r="AG74" s="172">
        <f>IFERROR(Vertailu[[#This Row],[Suoritusrahoituksen muutos, €]]/Vertailu[[#This Row],[Suoritusrahoitus 2024, €]],0)</f>
        <v>-6.0548301393759441E-2</v>
      </c>
      <c r="AH74" s="170">
        <f>IFERROR(VLOOKUP(Vertailu[[#This Row],[Y-tunnus]],'Suoritepäät. 2024 oikaistu'!$AB:$AL,COLUMN('Suoritepäät. 2024 oikaistu'!I:I),FALSE),0)</f>
        <v>1504131</v>
      </c>
      <c r="AI7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1493506</v>
      </c>
      <c r="AJ74" s="170">
        <f>Vertailu[[#This Row],[Vaikuttavuusrahoitus 2025, €]]-Vertailu[[#This Row],[Vaikuttavuusrahoitus 2024, €]]</f>
        <v>-10625</v>
      </c>
      <c r="AK74" s="172">
        <f>IFERROR(Vertailu[[#This Row],[Vaikuttavuusrahoituksen muutos, €]]/Vertailu[[#This Row],[Vaikuttavuusrahoitus 2024, €]],0)</f>
        <v>-7.0638794094397359E-3</v>
      </c>
    </row>
    <row r="75" spans="1:37" s="2" customFormat="1" ht="12.75" customHeight="1" x14ac:dyDescent="0.25">
      <c r="A75" s="4" t="s">
        <v>255</v>
      </c>
      <c r="B75" s="161" t="s">
        <v>69</v>
      </c>
      <c r="C75" s="161" t="s">
        <v>187</v>
      </c>
      <c r="D75" s="8" t="s">
        <v>325</v>
      </c>
      <c r="E7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0.66578831529722771</v>
      </c>
      <c r="F7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0.66686233519097604</v>
      </c>
      <c r="G7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0.20932089238809343</v>
      </c>
      <c r="H7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0.12381677242093052</v>
      </c>
      <c r="I7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9.2563169419818209E-2</v>
      </c>
      <c r="J7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4.3159489430274868E-3</v>
      </c>
      <c r="K7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1.1291600750933229E-2</v>
      </c>
      <c r="L7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1.2908913607934086E-2</v>
      </c>
      <c r="M7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2.7371396992175068E-3</v>
      </c>
      <c r="N7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19593134</v>
      </c>
      <c r="O75" s="170">
        <f>IFERROR(VLOOKUP(Vertailu[[#This Row],[Y-tunnus]],'1.2 Ohjaus-laskentataulu'!A:AQ,COLUMN('1.2 Ohjaus-laskentataulu'!AE:AE),FALSE),0)</f>
        <v>18601629</v>
      </c>
      <c r="P75" s="170">
        <f>IFERROR(Vertailu[[#This Row],[Rahoitus pl. hark. kor. 2025 ilman alv, €]]-Vertailu[[#This Row],[Rahoitus pl. hark. kor. 2024 ilman alv, €]],0)</f>
        <v>-991505</v>
      </c>
      <c r="Q75" s="172">
        <f>IFERROR(Vertailu[[#This Row],[Muutos, € 1]]/Vertailu[[#This Row],[Rahoitus pl. hark. kor. 2024 ilman alv, €]],0)</f>
        <v>-5.0604716938086575E-2</v>
      </c>
      <c r="R75" s="175">
        <f>IFERROR(VLOOKUP(Vertailu[[#This Row],[Y-tunnus]],'Suoritepäät. 2024 oikaistu'!$AB:$AL,COLUMN('Suoritepäät. 2024 oikaistu'!J:J),FALSE),0)</f>
        <v>19694968</v>
      </c>
      <c r="S75" s="176">
        <f>IFERROR(VLOOKUP(Vertailu[[#This Row],[Y-tunnus]],'1.2 Ohjaus-laskentataulu'!A:AQ,COLUMN('1.2 Ohjaus-laskentataulu'!AO:AO),FALSE),0)</f>
        <v>18621629</v>
      </c>
      <c r="T75" s="170">
        <f>IFERROR(Vertailu[[#This Row],[Rahoitus ml. hark. kor. 
2025 ilman alv, €]]-Vertailu[[#This Row],[Rahoitus ml. hark. kor. 
2024 ilman alv, €]],0)</f>
        <v>-1073339</v>
      </c>
      <c r="U75" s="174">
        <f>IFERROR(Vertailu[[#This Row],[Muutos, € 2]]/Vertailu[[#This Row],[Rahoitus ml. hark. kor. 
2024 ilman alv, €]],0)</f>
        <v>-5.4498133736495535E-2</v>
      </c>
      <c r="V7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19694968</v>
      </c>
      <c r="W75" s="175">
        <f>IFERROR(VLOOKUP(Vertailu[[#This Row],[Y-tunnus]],'1.2 Ohjaus-laskentataulu'!A:AQ,COLUMN('1.2 Ohjaus-laskentataulu'!AQ:AQ),FALSE),0)</f>
        <v>18621629</v>
      </c>
      <c r="X75" s="177">
        <f>IFERROR(Vertailu[[#This Row],[Rahoitus ml. hark. kor. + alv 2025, €]]-Vertailu[[#This Row],[Rahoitus ml. hark. kor. + alv 2024, €]],0)</f>
        <v>-1073339</v>
      </c>
      <c r="Y75" s="172">
        <f>IFERROR(Vertailu[[#This Row],[Muutos, € 3]]/Vertailu[[#This Row],[Rahoitus ml. hark. kor. + alv 2024, €]],0)</f>
        <v>-5.4498133736495535E-2</v>
      </c>
      <c r="Z75" s="170">
        <f>IFERROR(VLOOKUP(Vertailu[[#This Row],[Y-tunnus]],'Suoritepäät. 2024 oikaistu'!$B:$N,COLUMN('Suoritepäät. 2024 oikaistu'!H:H),FALSE),0)</f>
        <v>12827211</v>
      </c>
      <c r="AA75" s="170">
        <f>IFERROR(VLOOKUP(Vertailu[[#This Row],[Y-tunnus]],'1.2 Ohjaus-laskentataulu'!A:AQ,COLUMN('1.2 Ohjaus-laskentataulu'!AL:AL),FALSE),0)</f>
        <v>12418063</v>
      </c>
      <c r="AB75" s="170">
        <f>Vertailu[[#This Row],[Perusrahoitus 2025, €]]-Vertailu[[#This Row],[Perusrahoitus 2024, €]]</f>
        <v>-409148</v>
      </c>
      <c r="AC75" s="172">
        <f>IFERROR(Vertailu[[#This Row],[Perusrahoituksen muutos, €]]/Vertailu[[#This Row],[Perusrahoitus 2024, €]],0)</f>
        <v>-3.1896879220276335E-2</v>
      </c>
      <c r="AD75" s="170">
        <f>IFERROR(VLOOKUP(Vertailu[[#This Row],[Y-tunnus]],'Suoritepäät. 2024 oikaistu'!$O:$Y,COLUMN('Suoritepäät. 2024 oikaistu'!D:D),FALSE),0)</f>
        <v>4559043</v>
      </c>
      <c r="AE75" s="170">
        <f>IFERROR(VLOOKUP(Vertailu[[#This Row],[Y-tunnus]],'1.2 Ohjaus-laskentataulu'!A:AQ,COLUMN('1.2 Ohjaus-laskentataulu'!N:N),FALSE),0)</f>
        <v>3897896</v>
      </c>
      <c r="AF75" s="170">
        <f>Vertailu[[#This Row],[Suoritusrahoitus 2025, €]]-Vertailu[[#This Row],[Suoritusrahoitus 2024, €]]</f>
        <v>-661147</v>
      </c>
      <c r="AG75" s="172">
        <f>IFERROR(Vertailu[[#This Row],[Suoritusrahoituksen muutos, €]]/Vertailu[[#This Row],[Suoritusrahoitus 2024, €]],0)</f>
        <v>-0.14501881206209286</v>
      </c>
      <c r="AH75" s="170">
        <f>IFERROR(VLOOKUP(Vertailu[[#This Row],[Y-tunnus]],'Suoritepäät. 2024 oikaistu'!$AB:$AL,COLUMN('Suoritepäät. 2024 oikaistu'!I:I),FALSE),0)</f>
        <v>2308714</v>
      </c>
      <c r="AI7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2305670</v>
      </c>
      <c r="AJ75" s="170">
        <f>Vertailu[[#This Row],[Vaikuttavuusrahoitus 2025, €]]-Vertailu[[#This Row],[Vaikuttavuusrahoitus 2024, €]]</f>
        <v>-3044</v>
      </c>
      <c r="AK75" s="172">
        <f>IFERROR(Vertailu[[#This Row],[Vaikuttavuusrahoituksen muutos, €]]/Vertailu[[#This Row],[Vaikuttavuusrahoitus 2024, €]],0)</f>
        <v>-1.3184829303239812E-3</v>
      </c>
    </row>
    <row r="76" spans="1:37" s="2" customFormat="1" ht="12.75" customHeight="1" x14ac:dyDescent="0.25">
      <c r="A76" s="4" t="s">
        <v>254</v>
      </c>
      <c r="B76" s="161" t="s">
        <v>70</v>
      </c>
      <c r="C76" s="161" t="s">
        <v>174</v>
      </c>
      <c r="D76" s="8" t="s">
        <v>325</v>
      </c>
      <c r="E7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0.70518719154807663</v>
      </c>
      <c r="F7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0.70614902345740593</v>
      </c>
      <c r="G7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0.18846440792673463</v>
      </c>
      <c r="H7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0.10538656861585941</v>
      </c>
      <c r="I7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8.0315778677917865E-2</v>
      </c>
      <c r="J7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2.8574244855971548E-3</v>
      </c>
      <c r="K7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1.0996624219362082E-2</v>
      </c>
      <c r="L7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9.2948229611220772E-3</v>
      </c>
      <c r="M7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1.9219182718602217E-3</v>
      </c>
      <c r="N7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29013164</v>
      </c>
      <c r="O76" s="170">
        <f>IFERROR(VLOOKUP(Vertailu[[#This Row],[Y-tunnus]],'1.2 Ohjaus-laskentataulu'!A:AQ,COLUMN('1.2 Ohjaus-laskentataulu'!AE:AE),FALSE),0)</f>
        <v>28044433</v>
      </c>
      <c r="P76" s="170">
        <f>IFERROR(Vertailu[[#This Row],[Rahoitus pl. hark. kor. 2025 ilman alv, €]]-Vertailu[[#This Row],[Rahoitus pl. hark. kor. 2024 ilman alv, €]],0)</f>
        <v>-968731</v>
      </c>
      <c r="Q76" s="172">
        <f>IFERROR(Vertailu[[#This Row],[Muutos, € 1]]/Vertailu[[#This Row],[Rahoitus pl. hark. kor. 2024 ilman alv, €]],0)</f>
        <v>-3.3389360774302317E-2</v>
      </c>
      <c r="R76" s="175">
        <f>IFERROR(VLOOKUP(Vertailu[[#This Row],[Y-tunnus]],'Suoritepäät. 2024 oikaistu'!$AB:$AL,COLUMN('Suoritepäät. 2024 oikaistu'!J:J),FALSE),0)</f>
        <v>29042164</v>
      </c>
      <c r="S76" s="176">
        <f>IFERROR(VLOOKUP(Vertailu[[#This Row],[Y-tunnus]],'1.2 Ohjaus-laskentataulu'!A:AQ,COLUMN('1.2 Ohjaus-laskentataulu'!AO:AO),FALSE),0)</f>
        <v>28071433</v>
      </c>
      <c r="T76" s="170">
        <f>IFERROR(Vertailu[[#This Row],[Rahoitus ml. hark. kor. 
2025 ilman alv, €]]-Vertailu[[#This Row],[Rahoitus ml. hark. kor. 
2024 ilman alv, €]],0)</f>
        <v>-970731</v>
      </c>
      <c r="U76" s="174">
        <f>IFERROR(Vertailu[[#This Row],[Muutos, € 2]]/Vertailu[[#This Row],[Rahoitus ml. hark. kor. 
2024 ilman alv, €]],0)</f>
        <v>-3.3424885280587215E-2</v>
      </c>
      <c r="V7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29042164</v>
      </c>
      <c r="W76" s="175">
        <f>IFERROR(VLOOKUP(Vertailu[[#This Row],[Y-tunnus]],'1.2 Ohjaus-laskentataulu'!A:AQ,COLUMN('1.2 Ohjaus-laskentataulu'!AQ:AQ),FALSE),0)</f>
        <v>28071433</v>
      </c>
      <c r="X76" s="177">
        <f>IFERROR(Vertailu[[#This Row],[Rahoitus ml. hark. kor. + alv 2025, €]]-Vertailu[[#This Row],[Rahoitus ml. hark. kor. + alv 2024, €]],0)</f>
        <v>-970731</v>
      </c>
      <c r="Y76" s="172">
        <f>IFERROR(Vertailu[[#This Row],[Muutos, € 3]]/Vertailu[[#This Row],[Rahoitus ml. hark. kor. + alv 2024, €]],0)</f>
        <v>-3.3424885280587215E-2</v>
      </c>
      <c r="Z76" s="170">
        <f>IFERROR(VLOOKUP(Vertailu[[#This Row],[Y-tunnus]],'Suoritepäät. 2024 oikaistu'!$B:$N,COLUMN('Suoritepäät. 2024 oikaistu'!H:H),FALSE),0)</f>
        <v>20091925</v>
      </c>
      <c r="AA76" s="170">
        <f>IFERROR(VLOOKUP(Vertailu[[#This Row],[Y-tunnus]],'1.2 Ohjaus-laskentataulu'!A:AQ,COLUMN('1.2 Ohjaus-laskentataulu'!AL:AL),FALSE),0)</f>
        <v>19822615</v>
      </c>
      <c r="AB76" s="170">
        <f>Vertailu[[#This Row],[Perusrahoitus 2025, €]]-Vertailu[[#This Row],[Perusrahoitus 2024, €]]</f>
        <v>-269310</v>
      </c>
      <c r="AC76" s="172">
        <f>IFERROR(Vertailu[[#This Row],[Perusrahoituksen muutos, €]]/Vertailu[[#This Row],[Perusrahoitus 2024, €]],0)</f>
        <v>-1.3403892359741537E-2</v>
      </c>
      <c r="AD76" s="170">
        <f>IFERROR(VLOOKUP(Vertailu[[#This Row],[Y-tunnus]],'Suoritepäät. 2024 oikaistu'!$O:$Y,COLUMN('Suoritepäät. 2024 oikaistu'!D:D),FALSE),0)</f>
        <v>5806288</v>
      </c>
      <c r="AE76" s="170">
        <f>IFERROR(VLOOKUP(Vertailu[[#This Row],[Y-tunnus]],'1.2 Ohjaus-laskentataulu'!A:AQ,COLUMN('1.2 Ohjaus-laskentataulu'!N:N),FALSE),0)</f>
        <v>5290466</v>
      </c>
      <c r="AF76" s="170">
        <f>Vertailu[[#This Row],[Suoritusrahoitus 2025, €]]-Vertailu[[#This Row],[Suoritusrahoitus 2024, €]]</f>
        <v>-515822</v>
      </c>
      <c r="AG76" s="172">
        <f>IFERROR(Vertailu[[#This Row],[Suoritusrahoituksen muutos, €]]/Vertailu[[#This Row],[Suoritusrahoitus 2024, €]],0)</f>
        <v>-8.8838514383027506E-2</v>
      </c>
      <c r="AH76" s="170">
        <f>IFERROR(VLOOKUP(Vertailu[[#This Row],[Y-tunnus]],'Suoritepäät. 2024 oikaistu'!$AB:$AL,COLUMN('Suoritepäät. 2024 oikaistu'!I:I),FALSE),0)</f>
        <v>3143951</v>
      </c>
      <c r="AI7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2958352</v>
      </c>
      <c r="AJ76" s="170">
        <f>Vertailu[[#This Row],[Vaikuttavuusrahoitus 2025, €]]-Vertailu[[#This Row],[Vaikuttavuusrahoitus 2024, €]]</f>
        <v>-185599</v>
      </c>
      <c r="AK76" s="172">
        <f>IFERROR(Vertailu[[#This Row],[Vaikuttavuusrahoituksen muutos, €]]/Vertailu[[#This Row],[Vaikuttavuusrahoitus 2024, €]],0)</f>
        <v>-5.9033680868435925E-2</v>
      </c>
    </row>
    <row r="77" spans="1:37" s="2" customFormat="1" ht="12.75" customHeight="1" x14ac:dyDescent="0.25">
      <c r="A77" s="4" t="s">
        <v>253</v>
      </c>
      <c r="B77" s="161" t="s">
        <v>71</v>
      </c>
      <c r="C77" s="161" t="s">
        <v>215</v>
      </c>
      <c r="D77" s="8" t="s">
        <v>326</v>
      </c>
      <c r="E7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0.66810196723366277</v>
      </c>
      <c r="F7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0.66988718435891048</v>
      </c>
      <c r="G7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0.21679683069773678</v>
      </c>
      <c r="H7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0.11331598494335275</v>
      </c>
      <c r="I7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7.5013731470076311E-2</v>
      </c>
      <c r="J7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4.6127490209869285E-3</v>
      </c>
      <c r="K7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1.4469499838448351E-2</v>
      </c>
      <c r="L7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1.1081052721956254E-2</v>
      </c>
      <c r="M7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8.1389518918848994E-3</v>
      </c>
      <c r="N7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50051385</v>
      </c>
      <c r="O77" s="170">
        <f>IFERROR(VLOOKUP(Vertailu[[#This Row],[Y-tunnus]],'1.2 Ohjaus-laskentataulu'!A:AQ,COLUMN('1.2 Ohjaus-laskentataulu'!AE:AE),FALSE),0)</f>
        <v>47528256</v>
      </c>
      <c r="P77" s="170">
        <f>IFERROR(Vertailu[[#This Row],[Rahoitus pl. hark. kor. 2025 ilman alv, €]]-Vertailu[[#This Row],[Rahoitus pl. hark. kor. 2024 ilman alv, €]],0)</f>
        <v>-2523129</v>
      </c>
      <c r="Q77" s="172">
        <f>IFERROR(Vertailu[[#This Row],[Muutos, € 1]]/Vertailu[[#This Row],[Rahoitus pl. hark. kor. 2024 ilman alv, €]],0)</f>
        <v>-5.0410772848743346E-2</v>
      </c>
      <c r="R77" s="175">
        <f>IFERROR(VLOOKUP(Vertailu[[#This Row],[Y-tunnus]],'Suoritepäät. 2024 oikaistu'!$AB:$AL,COLUMN('Suoritepäät. 2024 oikaistu'!J:J),FALSE),0)</f>
        <v>50356746</v>
      </c>
      <c r="S77" s="176">
        <f>IFERROR(VLOOKUP(Vertailu[[#This Row],[Y-tunnus]],'1.2 Ohjaus-laskentataulu'!A:AQ,COLUMN('1.2 Ohjaus-laskentataulu'!AO:AO),FALSE),0)</f>
        <v>47613256</v>
      </c>
      <c r="T77" s="170">
        <f>IFERROR(Vertailu[[#This Row],[Rahoitus ml. hark. kor. 
2025 ilman alv, €]]-Vertailu[[#This Row],[Rahoitus ml. hark. kor. 
2024 ilman alv, €]],0)</f>
        <v>-2743490</v>
      </c>
      <c r="U77" s="174">
        <f>IFERROR(Vertailu[[#This Row],[Muutos, € 2]]/Vertailu[[#This Row],[Rahoitus ml. hark. kor. 
2024 ilman alv, €]],0)</f>
        <v>-5.4481081839561275E-2</v>
      </c>
      <c r="V7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54624907</v>
      </c>
      <c r="W77" s="175">
        <f>IFERROR(VLOOKUP(Vertailu[[#This Row],[Y-tunnus]],'1.2 Ohjaus-laskentataulu'!A:AQ,COLUMN('1.2 Ohjaus-laskentataulu'!AQ:AQ),FALSE),0)</f>
        <v>51484957</v>
      </c>
      <c r="X77" s="177">
        <f>IFERROR(Vertailu[[#This Row],[Rahoitus ml. hark. kor. + alv 2025, €]]-Vertailu[[#This Row],[Rahoitus ml. hark. kor. + alv 2024, €]],0)</f>
        <v>-3139950</v>
      </c>
      <c r="Y77" s="172">
        <f>IFERROR(Vertailu[[#This Row],[Muutos, € 3]]/Vertailu[[#This Row],[Rahoitus ml. hark. kor. + alv 2024, €]],0)</f>
        <v>-5.7482020060922026E-2</v>
      </c>
      <c r="Z77" s="170">
        <f>IFERROR(VLOOKUP(Vertailu[[#This Row],[Y-tunnus]],'Suoritepäät. 2024 oikaistu'!$B:$N,COLUMN('Suoritepäät. 2024 oikaistu'!H:H),FALSE),0)</f>
        <v>33853215</v>
      </c>
      <c r="AA77" s="170">
        <f>IFERROR(VLOOKUP(Vertailu[[#This Row],[Y-tunnus]],'1.2 Ohjaus-laskentataulu'!A:AQ,COLUMN('1.2 Ohjaus-laskentataulu'!AL:AL),FALSE),0)</f>
        <v>31895510</v>
      </c>
      <c r="AB77" s="170">
        <f>Vertailu[[#This Row],[Perusrahoitus 2025, €]]-Vertailu[[#This Row],[Perusrahoitus 2024, €]]</f>
        <v>-1957705</v>
      </c>
      <c r="AC77" s="172">
        <f>IFERROR(Vertailu[[#This Row],[Perusrahoituksen muutos, €]]/Vertailu[[#This Row],[Perusrahoitus 2024, €]],0)</f>
        <v>-5.782921946999716E-2</v>
      </c>
      <c r="AD77" s="170">
        <f>IFERROR(VLOOKUP(Vertailu[[#This Row],[Y-tunnus]],'Suoritepäät. 2024 oikaistu'!$O:$Y,COLUMN('Suoritepäät. 2024 oikaistu'!D:D),FALSE),0)</f>
        <v>11147120</v>
      </c>
      <c r="AE77" s="170">
        <f>IFERROR(VLOOKUP(Vertailu[[#This Row],[Y-tunnus]],'1.2 Ohjaus-laskentataulu'!A:AQ,COLUMN('1.2 Ohjaus-laskentataulu'!N:N),FALSE),0)</f>
        <v>10322403</v>
      </c>
      <c r="AF77" s="170">
        <f>Vertailu[[#This Row],[Suoritusrahoitus 2025, €]]-Vertailu[[#This Row],[Suoritusrahoitus 2024, €]]</f>
        <v>-824717</v>
      </c>
      <c r="AG77" s="172">
        <f>IFERROR(Vertailu[[#This Row],[Suoritusrahoituksen muutos, €]]/Vertailu[[#This Row],[Suoritusrahoitus 2024, €]],0)</f>
        <v>-7.3984760189178905E-2</v>
      </c>
      <c r="AH77" s="170">
        <f>IFERROR(VLOOKUP(Vertailu[[#This Row],[Y-tunnus]],'Suoritepäät. 2024 oikaistu'!$AB:$AL,COLUMN('Suoritepäät. 2024 oikaistu'!I:I),FALSE),0)</f>
        <v>5356411</v>
      </c>
      <c r="AI7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5395343</v>
      </c>
      <c r="AJ77" s="170">
        <f>Vertailu[[#This Row],[Vaikuttavuusrahoitus 2025, €]]-Vertailu[[#This Row],[Vaikuttavuusrahoitus 2024, €]]</f>
        <v>38932</v>
      </c>
      <c r="AK77" s="172">
        <f>IFERROR(Vertailu[[#This Row],[Vaikuttavuusrahoituksen muutos, €]]/Vertailu[[#This Row],[Vaikuttavuusrahoitus 2024, €]],0)</f>
        <v>7.2682996133045059E-3</v>
      </c>
    </row>
    <row r="78" spans="1:37" s="2" customFormat="1" ht="12.75" customHeight="1" x14ac:dyDescent="0.25">
      <c r="A78" s="4" t="s">
        <v>251</v>
      </c>
      <c r="B78" s="161" t="s">
        <v>497</v>
      </c>
      <c r="C78" s="161" t="s">
        <v>174</v>
      </c>
      <c r="D78" s="8" t="s">
        <v>326</v>
      </c>
      <c r="E7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0.60749931942327806</v>
      </c>
      <c r="F7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0.60858969601391033</v>
      </c>
      <c r="G7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0.30307707908465065</v>
      </c>
      <c r="H7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8.8333224901439036E-2</v>
      </c>
      <c r="I7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6.3734329016774713E-2</v>
      </c>
      <c r="J7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3.8504832003861387E-3</v>
      </c>
      <c r="K7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1.3876495951249989E-2</v>
      </c>
      <c r="L7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4.3651409511645768E-3</v>
      </c>
      <c r="M7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2.5067757818636209E-3</v>
      </c>
      <c r="N7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2716723</v>
      </c>
      <c r="O78" s="170">
        <f>IFERROR(VLOOKUP(Vertailu[[#This Row],[Y-tunnus]],'1.2 Ohjaus-laskentataulu'!A:AQ,COLUMN('1.2 Ohjaus-laskentataulu'!AE:AE),FALSE),0)</f>
        <v>2748343</v>
      </c>
      <c r="P78" s="170">
        <f>IFERROR(Vertailu[[#This Row],[Rahoitus pl. hark. kor. 2025 ilman alv, €]]-Vertailu[[#This Row],[Rahoitus pl. hark. kor. 2024 ilman alv, €]],0)</f>
        <v>31620</v>
      </c>
      <c r="Q78" s="172">
        <f>IFERROR(Vertailu[[#This Row],[Muutos, € 1]]/Vertailu[[#This Row],[Rahoitus pl. hark. kor. 2024 ilman alv, €]],0)</f>
        <v>1.1639022454626401E-2</v>
      </c>
      <c r="R78" s="175">
        <f>IFERROR(VLOOKUP(Vertailu[[#This Row],[Y-tunnus]],'Suoritepäät. 2024 oikaistu'!$AB:$AL,COLUMN('Suoritepäät. 2024 oikaistu'!J:J),FALSE),0)</f>
        <v>2722468</v>
      </c>
      <c r="S78" s="176">
        <f>IFERROR(VLOOKUP(Vertailu[[#This Row],[Y-tunnus]],'1.2 Ohjaus-laskentataulu'!A:AQ,COLUMN('1.2 Ohjaus-laskentataulu'!AO:AO),FALSE),0)</f>
        <v>2751343</v>
      </c>
      <c r="T78" s="170">
        <f>IFERROR(Vertailu[[#This Row],[Rahoitus ml. hark. kor. 
2025 ilman alv, €]]-Vertailu[[#This Row],[Rahoitus ml. hark. kor. 
2024 ilman alv, €]],0)</f>
        <v>28875</v>
      </c>
      <c r="U78" s="174">
        <f>IFERROR(Vertailu[[#This Row],[Muutos, € 2]]/Vertailu[[#This Row],[Rahoitus ml. hark. kor. 
2024 ilman alv, €]],0)</f>
        <v>1.0606185270129896E-2</v>
      </c>
      <c r="V7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2843124</v>
      </c>
      <c r="W78" s="175">
        <f>IFERROR(VLOOKUP(Vertailu[[#This Row],[Y-tunnus]],'1.2 Ohjaus-laskentataulu'!A:AQ,COLUMN('1.2 Ohjaus-laskentataulu'!AQ:AQ),FALSE),0)</f>
        <v>2879510</v>
      </c>
      <c r="X78" s="177">
        <f>IFERROR(Vertailu[[#This Row],[Rahoitus ml. hark. kor. + alv 2025, €]]-Vertailu[[#This Row],[Rahoitus ml. hark. kor. + alv 2024, €]],0)</f>
        <v>36386</v>
      </c>
      <c r="Y78" s="172">
        <f>IFERROR(Vertailu[[#This Row],[Muutos, € 3]]/Vertailu[[#This Row],[Rahoitus ml. hark. kor. + alv 2024, €]],0)</f>
        <v>1.2797894147423749E-2</v>
      </c>
      <c r="Z78" s="170">
        <f>IFERROR(VLOOKUP(Vertailu[[#This Row],[Y-tunnus]],'Suoritepäät. 2024 oikaistu'!$B:$N,COLUMN('Suoritepäät. 2024 oikaistu'!H:H),FALSE),0)</f>
        <v>1799186</v>
      </c>
      <c r="AA78" s="170">
        <f>IFERROR(VLOOKUP(Vertailu[[#This Row],[Y-tunnus]],'1.2 Ohjaus-laskentataulu'!A:AQ,COLUMN('1.2 Ohjaus-laskentataulu'!AL:AL),FALSE),0)</f>
        <v>1674439</v>
      </c>
      <c r="AB78" s="170">
        <f>Vertailu[[#This Row],[Perusrahoitus 2025, €]]-Vertailu[[#This Row],[Perusrahoitus 2024, €]]</f>
        <v>-124747</v>
      </c>
      <c r="AC78" s="172">
        <f>IFERROR(Vertailu[[#This Row],[Perusrahoituksen muutos, €]]/Vertailu[[#This Row],[Perusrahoitus 2024, €]],0)</f>
        <v>-6.9335243826930626E-2</v>
      </c>
      <c r="AD78" s="170">
        <f>IFERROR(VLOOKUP(Vertailu[[#This Row],[Y-tunnus]],'Suoritepäät. 2024 oikaistu'!$O:$Y,COLUMN('Suoritepäät. 2024 oikaistu'!D:D),FALSE),0)</f>
        <v>729063</v>
      </c>
      <c r="AE78" s="170">
        <f>IFERROR(VLOOKUP(Vertailu[[#This Row],[Y-tunnus]],'1.2 Ohjaus-laskentataulu'!A:AQ,COLUMN('1.2 Ohjaus-laskentataulu'!N:N),FALSE),0)</f>
        <v>833869</v>
      </c>
      <c r="AF78" s="170">
        <f>Vertailu[[#This Row],[Suoritusrahoitus 2025, €]]-Vertailu[[#This Row],[Suoritusrahoitus 2024, €]]</f>
        <v>104806</v>
      </c>
      <c r="AG78" s="172">
        <f>IFERROR(Vertailu[[#This Row],[Suoritusrahoituksen muutos, €]]/Vertailu[[#This Row],[Suoritusrahoitus 2024, €]],0)</f>
        <v>0.14375438062279941</v>
      </c>
      <c r="AH78" s="170">
        <f>IFERROR(VLOOKUP(Vertailu[[#This Row],[Y-tunnus]],'Suoritepäät. 2024 oikaistu'!$AB:$AL,COLUMN('Suoritepäät. 2024 oikaistu'!I:I),FALSE),0)</f>
        <v>194219</v>
      </c>
      <c r="AI7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243035</v>
      </c>
      <c r="AJ78" s="170">
        <f>Vertailu[[#This Row],[Vaikuttavuusrahoitus 2025, €]]-Vertailu[[#This Row],[Vaikuttavuusrahoitus 2024, €]]</f>
        <v>48816</v>
      </c>
      <c r="AK78" s="172">
        <f>IFERROR(Vertailu[[#This Row],[Vaikuttavuusrahoituksen muutos, €]]/Vertailu[[#This Row],[Vaikuttavuusrahoitus 2024, €]],0)</f>
        <v>0.25134513101189893</v>
      </c>
    </row>
    <row r="79" spans="1:37" s="2" customFormat="1" ht="12.75" customHeight="1" x14ac:dyDescent="0.25">
      <c r="A79" s="4" t="s">
        <v>247</v>
      </c>
      <c r="B79" s="161" t="s">
        <v>73</v>
      </c>
      <c r="C79" s="161" t="s">
        <v>174</v>
      </c>
      <c r="D79" s="8" t="s">
        <v>326</v>
      </c>
      <c r="E7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0.45906870308220393</v>
      </c>
      <c r="F7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0.46453021444624371</v>
      </c>
      <c r="G7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0.21802626440814968</v>
      </c>
      <c r="H7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0.31744352114560664</v>
      </c>
      <c r="I7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0.17146141851834659</v>
      </c>
      <c r="J7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1.0985830108765998E-2</v>
      </c>
      <c r="K7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4.4109896531667206E-2</v>
      </c>
      <c r="L7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7.6691907951687469E-2</v>
      </c>
      <c r="M7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1.4194468035139364E-2</v>
      </c>
      <c r="N7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735453</v>
      </c>
      <c r="O79" s="170">
        <f>IFERROR(VLOOKUP(Vertailu[[#This Row],[Y-tunnus]],'1.2 Ohjaus-laskentataulu'!A:AQ,COLUMN('1.2 Ohjaus-laskentataulu'!AE:AE),FALSE),0)</f>
        <v>728398</v>
      </c>
      <c r="P79" s="170">
        <f>IFERROR(Vertailu[[#This Row],[Rahoitus pl. hark. kor. 2025 ilman alv, €]]-Vertailu[[#This Row],[Rahoitus pl. hark. kor. 2024 ilman alv, €]],0)</f>
        <v>-7055</v>
      </c>
      <c r="Q79" s="172">
        <f>IFERROR(Vertailu[[#This Row],[Muutos, € 1]]/Vertailu[[#This Row],[Rahoitus pl. hark. kor. 2024 ilman alv, €]],0)</f>
        <v>-9.5927272035058672E-3</v>
      </c>
      <c r="R79" s="175">
        <f>IFERROR(VLOOKUP(Vertailu[[#This Row],[Y-tunnus]],'Suoritepäät. 2024 oikaistu'!$AB:$AL,COLUMN('Suoritepäät. 2024 oikaistu'!J:J),FALSE),0)</f>
        <v>740453</v>
      </c>
      <c r="S79" s="176">
        <f>IFERROR(VLOOKUP(Vertailu[[#This Row],[Y-tunnus]],'1.2 Ohjaus-laskentataulu'!A:AQ,COLUMN('1.2 Ohjaus-laskentataulu'!AO:AO),FALSE),0)</f>
        <v>732398</v>
      </c>
      <c r="T79" s="170">
        <f>IFERROR(Vertailu[[#This Row],[Rahoitus ml. hark. kor. 
2025 ilman alv, €]]-Vertailu[[#This Row],[Rahoitus ml. hark. kor. 
2024 ilman alv, €]],0)</f>
        <v>-8055</v>
      </c>
      <c r="U79" s="174">
        <f>IFERROR(Vertailu[[#This Row],[Muutos, € 2]]/Vertailu[[#This Row],[Rahoitus ml. hark. kor. 
2024 ilman alv, €]],0)</f>
        <v>-1.0878475743902719E-2</v>
      </c>
      <c r="V7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976970</v>
      </c>
      <c r="W79" s="175">
        <f>IFERROR(VLOOKUP(Vertailu[[#This Row],[Y-tunnus]],'1.2 Ohjaus-laskentataulu'!A:AQ,COLUMN('1.2 Ohjaus-laskentataulu'!AQ:AQ),FALSE),0)</f>
        <v>963311</v>
      </c>
      <c r="X79" s="177">
        <f>IFERROR(Vertailu[[#This Row],[Rahoitus ml. hark. kor. + alv 2025, €]]-Vertailu[[#This Row],[Rahoitus ml. hark. kor. + alv 2024, €]],0)</f>
        <v>-13659</v>
      </c>
      <c r="Y79" s="172">
        <f>IFERROR(Vertailu[[#This Row],[Muutos, € 3]]/Vertailu[[#This Row],[Rahoitus ml. hark. kor. + alv 2024, €]],0)</f>
        <v>-1.3980982015824437E-2</v>
      </c>
      <c r="Z79" s="170">
        <f>IFERROR(VLOOKUP(Vertailu[[#This Row],[Y-tunnus]],'Suoritepäät. 2024 oikaistu'!$B:$N,COLUMN('Suoritepäät. 2024 oikaistu'!H:H),FALSE),0)</f>
        <v>411732</v>
      </c>
      <c r="AA79" s="170">
        <f>IFERROR(VLOOKUP(Vertailu[[#This Row],[Y-tunnus]],'1.2 Ohjaus-laskentataulu'!A:AQ,COLUMN('1.2 Ohjaus-laskentataulu'!AL:AL),FALSE),0)</f>
        <v>340221</v>
      </c>
      <c r="AB79" s="170">
        <f>Vertailu[[#This Row],[Perusrahoitus 2025, €]]-Vertailu[[#This Row],[Perusrahoitus 2024, €]]</f>
        <v>-71511</v>
      </c>
      <c r="AC79" s="172">
        <f>IFERROR(Vertailu[[#This Row],[Perusrahoituksen muutos, €]]/Vertailu[[#This Row],[Perusrahoitus 2024, €]],0)</f>
        <v>-0.17368336685028124</v>
      </c>
      <c r="AD79" s="170">
        <f>IFERROR(VLOOKUP(Vertailu[[#This Row],[Y-tunnus]],'Suoritepäät. 2024 oikaistu'!$O:$Y,COLUMN('Suoritepäät. 2024 oikaistu'!D:D),FALSE),0)</f>
        <v>164945</v>
      </c>
      <c r="AE79" s="170">
        <f>IFERROR(VLOOKUP(Vertailu[[#This Row],[Y-tunnus]],'1.2 Ohjaus-laskentataulu'!A:AQ,COLUMN('1.2 Ohjaus-laskentataulu'!N:N),FALSE),0)</f>
        <v>159682</v>
      </c>
      <c r="AF79" s="170">
        <f>Vertailu[[#This Row],[Suoritusrahoitus 2025, €]]-Vertailu[[#This Row],[Suoritusrahoitus 2024, €]]</f>
        <v>-5263</v>
      </c>
      <c r="AG79" s="172">
        <f>IFERROR(Vertailu[[#This Row],[Suoritusrahoituksen muutos, €]]/Vertailu[[#This Row],[Suoritusrahoitus 2024, €]],0)</f>
        <v>-3.1907605565491527E-2</v>
      </c>
      <c r="AH79" s="170">
        <f>IFERROR(VLOOKUP(Vertailu[[#This Row],[Y-tunnus]],'Suoritepäät. 2024 oikaistu'!$AB:$AL,COLUMN('Suoritepäät. 2024 oikaistu'!I:I),FALSE),0)</f>
        <v>163776</v>
      </c>
      <c r="AI7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232495</v>
      </c>
      <c r="AJ79" s="170">
        <f>Vertailu[[#This Row],[Vaikuttavuusrahoitus 2025, €]]-Vertailu[[#This Row],[Vaikuttavuusrahoitus 2024, €]]</f>
        <v>68719</v>
      </c>
      <c r="AK79" s="172">
        <f>IFERROR(Vertailu[[#This Row],[Vaikuttavuusrahoituksen muutos, €]]/Vertailu[[#This Row],[Vaikuttavuusrahoitus 2024, €]],0)</f>
        <v>0.41959139312231342</v>
      </c>
    </row>
    <row r="80" spans="1:37" s="2" customFormat="1" ht="12.75" customHeight="1" x14ac:dyDescent="0.25">
      <c r="A80" s="4" t="s">
        <v>249</v>
      </c>
      <c r="B80" s="161" t="s">
        <v>74</v>
      </c>
      <c r="C80" s="161" t="s">
        <v>181</v>
      </c>
      <c r="D80" s="8" t="s">
        <v>326</v>
      </c>
      <c r="E8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0.62160248341727276</v>
      </c>
      <c r="F8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0.6237385725904514</v>
      </c>
      <c r="G8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0.22643079257986704</v>
      </c>
      <c r="H8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0.14983063482968159</v>
      </c>
      <c r="I8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9.0192093159121023E-2</v>
      </c>
      <c r="J8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6.7868893254817812E-3</v>
      </c>
      <c r="K8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1.580652585922852E-2</v>
      </c>
      <c r="L8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2.7143819145874062E-2</v>
      </c>
      <c r="M8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9.9013073399762154E-3</v>
      </c>
      <c r="N8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1875153</v>
      </c>
      <c r="O80" s="170">
        <f>IFERROR(VLOOKUP(Vertailu[[#This Row],[Y-tunnus]],'1.2 Ohjaus-laskentataulu'!A:AQ,COLUMN('1.2 Ohjaus-laskentataulu'!AE:AE),FALSE),0)</f>
        <v>1868581</v>
      </c>
      <c r="P80" s="170">
        <f>IFERROR(Vertailu[[#This Row],[Rahoitus pl. hark. kor. 2025 ilman alv, €]]-Vertailu[[#This Row],[Rahoitus pl. hark. kor. 2024 ilman alv, €]],0)</f>
        <v>-6572</v>
      </c>
      <c r="Q80" s="172">
        <f>IFERROR(Vertailu[[#This Row],[Muutos, € 1]]/Vertailu[[#This Row],[Rahoitus pl. hark. kor. 2024 ilman alv, €]],0)</f>
        <v>-3.5047806765634592E-3</v>
      </c>
      <c r="R80" s="175">
        <f>IFERROR(VLOOKUP(Vertailu[[#This Row],[Y-tunnus]],'Suoritepäät. 2024 oikaistu'!$AB:$AL,COLUMN('Suoritepäät. 2024 oikaistu'!J:J),FALSE),0)</f>
        <v>1881909</v>
      </c>
      <c r="S80" s="176">
        <f>IFERROR(VLOOKUP(Vertailu[[#This Row],[Y-tunnus]],'1.2 Ohjaus-laskentataulu'!A:AQ,COLUMN('1.2 Ohjaus-laskentataulu'!AO:AO),FALSE),0)</f>
        <v>1872581</v>
      </c>
      <c r="T80" s="170">
        <f>IFERROR(Vertailu[[#This Row],[Rahoitus ml. hark. kor. 
2025 ilman alv, €]]-Vertailu[[#This Row],[Rahoitus ml. hark. kor. 
2024 ilman alv, €]],0)</f>
        <v>-9328</v>
      </c>
      <c r="U80" s="174">
        <f>IFERROR(Vertailu[[#This Row],[Muutos, € 2]]/Vertailu[[#This Row],[Rahoitus ml. hark. kor. 
2024 ilman alv, €]],0)</f>
        <v>-4.9566689994043284E-3</v>
      </c>
      <c r="V8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1965848</v>
      </c>
      <c r="W80" s="175">
        <f>IFERROR(VLOOKUP(Vertailu[[#This Row],[Y-tunnus]],'1.2 Ohjaus-laskentataulu'!A:AQ,COLUMN('1.2 Ohjaus-laskentataulu'!AQ:AQ),FALSE),0)</f>
        <v>1943138</v>
      </c>
      <c r="X80" s="177">
        <f>IFERROR(Vertailu[[#This Row],[Rahoitus ml. hark. kor. + alv 2025, €]]-Vertailu[[#This Row],[Rahoitus ml. hark. kor. + alv 2024, €]],0)</f>
        <v>-22710</v>
      </c>
      <c r="Y80" s="172">
        <f>IFERROR(Vertailu[[#This Row],[Muutos, € 3]]/Vertailu[[#This Row],[Rahoitus ml. hark. kor. + alv 2024, €]],0)</f>
        <v>-1.1552266502801844E-2</v>
      </c>
      <c r="Z80" s="170">
        <f>IFERROR(VLOOKUP(Vertailu[[#This Row],[Y-tunnus]],'Suoritepäät. 2024 oikaistu'!$B:$N,COLUMN('Suoritepäät. 2024 oikaistu'!H:H),FALSE),0)</f>
        <v>1181910</v>
      </c>
      <c r="AA80" s="170">
        <f>IFERROR(VLOOKUP(Vertailu[[#This Row],[Y-tunnus]],'1.2 Ohjaus-laskentataulu'!A:AQ,COLUMN('1.2 Ohjaus-laskentataulu'!AL:AL),FALSE),0)</f>
        <v>1168001</v>
      </c>
      <c r="AB80" s="170">
        <f>Vertailu[[#This Row],[Perusrahoitus 2025, €]]-Vertailu[[#This Row],[Perusrahoitus 2024, €]]</f>
        <v>-13909</v>
      </c>
      <c r="AC80" s="172">
        <f>IFERROR(Vertailu[[#This Row],[Perusrahoituksen muutos, €]]/Vertailu[[#This Row],[Perusrahoitus 2024, €]],0)</f>
        <v>-1.1768239544466161E-2</v>
      </c>
      <c r="AD80" s="170">
        <f>IFERROR(VLOOKUP(Vertailu[[#This Row],[Y-tunnus]],'Suoritepäät. 2024 oikaistu'!$O:$Y,COLUMN('Suoritepäät. 2024 oikaistu'!D:D),FALSE),0)</f>
        <v>406651</v>
      </c>
      <c r="AE80" s="170">
        <f>IFERROR(VLOOKUP(Vertailu[[#This Row],[Y-tunnus]],'1.2 Ohjaus-laskentataulu'!A:AQ,COLUMN('1.2 Ohjaus-laskentataulu'!N:N),FALSE),0)</f>
        <v>424010</v>
      </c>
      <c r="AF80" s="170">
        <f>Vertailu[[#This Row],[Suoritusrahoitus 2025, €]]-Vertailu[[#This Row],[Suoritusrahoitus 2024, €]]</f>
        <v>17359</v>
      </c>
      <c r="AG80" s="172">
        <f>IFERROR(Vertailu[[#This Row],[Suoritusrahoituksen muutos, €]]/Vertailu[[#This Row],[Suoritusrahoitus 2024, €]],0)</f>
        <v>4.2687710100307141E-2</v>
      </c>
      <c r="AH80" s="170">
        <f>IFERROR(VLOOKUP(Vertailu[[#This Row],[Y-tunnus]],'Suoritepäät. 2024 oikaistu'!$AB:$AL,COLUMN('Suoritepäät. 2024 oikaistu'!I:I),FALSE),0)</f>
        <v>293348</v>
      </c>
      <c r="AI8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280570</v>
      </c>
      <c r="AJ80" s="170">
        <f>Vertailu[[#This Row],[Vaikuttavuusrahoitus 2025, €]]-Vertailu[[#This Row],[Vaikuttavuusrahoitus 2024, €]]</f>
        <v>-12778</v>
      </c>
      <c r="AK80" s="172">
        <f>IFERROR(Vertailu[[#This Row],[Vaikuttavuusrahoituksen muutos, €]]/Vertailu[[#This Row],[Vaikuttavuusrahoitus 2024, €]],0)</f>
        <v>-4.3559185677079781E-2</v>
      </c>
    </row>
    <row r="81" spans="1:37" s="2" customFormat="1" ht="12.75" customHeight="1" x14ac:dyDescent="0.25">
      <c r="A81" s="4" t="s">
        <v>280</v>
      </c>
      <c r="B81" s="161" t="s">
        <v>441</v>
      </c>
      <c r="C81" s="161" t="s">
        <v>174</v>
      </c>
      <c r="D81" s="8" t="s">
        <v>326</v>
      </c>
      <c r="E8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0.60166429506399977</v>
      </c>
      <c r="F8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0.60320833514007466</v>
      </c>
      <c r="G8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0.23774807416384761</v>
      </c>
      <c r="H8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0.15904359069607771</v>
      </c>
      <c r="I8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0.10317172852327107</v>
      </c>
      <c r="J8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4.6610709796509669E-3</v>
      </c>
      <c r="K8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1.9594254575408924E-2</v>
      </c>
      <c r="L8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2.4499283887079715E-2</v>
      </c>
      <c r="M8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7.1172527306670418E-3</v>
      </c>
      <c r="N8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8192768</v>
      </c>
      <c r="O81" s="170">
        <f>IFERROR(VLOOKUP(Vertailu[[#This Row],[Y-tunnus]],'1.2 Ohjaus-laskentataulu'!A:AQ,COLUMN('1.2 Ohjaus-laskentataulu'!AE:AE),FALSE),0)</f>
        <v>7759819</v>
      </c>
      <c r="P81" s="170">
        <f>IFERROR(Vertailu[[#This Row],[Rahoitus pl. hark. kor. 2025 ilman alv, €]]-Vertailu[[#This Row],[Rahoitus pl. hark. kor. 2024 ilman alv, €]],0)</f>
        <v>-432949</v>
      </c>
      <c r="Q81" s="172">
        <f>IFERROR(Vertailu[[#This Row],[Muutos, € 1]]/Vertailu[[#This Row],[Rahoitus pl. hark. kor. 2024 ilman alv, €]],0)</f>
        <v>-5.2845265482923474E-2</v>
      </c>
      <c r="R81" s="175">
        <f>IFERROR(VLOOKUP(Vertailu[[#This Row],[Y-tunnus]],'Suoritepäät. 2024 oikaistu'!$AB:$AL,COLUMN('Suoritepäät. 2024 oikaistu'!J:J),FALSE),0)</f>
        <v>8192768</v>
      </c>
      <c r="S81" s="176">
        <f>IFERROR(VLOOKUP(Vertailu[[#This Row],[Y-tunnus]],'1.2 Ohjaus-laskentataulu'!A:AQ,COLUMN('1.2 Ohjaus-laskentataulu'!AO:AO),FALSE),0)</f>
        <v>7771819</v>
      </c>
      <c r="T81" s="170">
        <f>IFERROR(Vertailu[[#This Row],[Rahoitus ml. hark. kor. 
2025 ilman alv, €]]-Vertailu[[#This Row],[Rahoitus ml. hark. kor. 
2024 ilman alv, €]],0)</f>
        <v>-420949</v>
      </c>
      <c r="U81" s="174">
        <f>IFERROR(Vertailu[[#This Row],[Muutos, € 2]]/Vertailu[[#This Row],[Rahoitus ml. hark. kor. 
2024 ilman alv, €]],0)</f>
        <v>-5.138055904915164E-2</v>
      </c>
      <c r="V8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8563439</v>
      </c>
      <c r="W81" s="175">
        <f>IFERROR(VLOOKUP(Vertailu[[#This Row],[Y-tunnus]],'1.2 Ohjaus-laskentataulu'!A:AQ,COLUMN('1.2 Ohjaus-laskentataulu'!AQ:AQ),FALSE),0)</f>
        <v>8212485</v>
      </c>
      <c r="X81" s="177">
        <f>IFERROR(Vertailu[[#This Row],[Rahoitus ml. hark. kor. + alv 2025, €]]-Vertailu[[#This Row],[Rahoitus ml. hark. kor. + alv 2024, €]],0)</f>
        <v>-350954</v>
      </c>
      <c r="Y81" s="172">
        <f>IFERROR(Vertailu[[#This Row],[Muutos, € 3]]/Vertailu[[#This Row],[Rahoitus ml. hark. kor. + alv 2024, €]],0)</f>
        <v>-4.098283411606015E-2</v>
      </c>
      <c r="Z81" s="170">
        <f>IFERROR(VLOOKUP(Vertailu[[#This Row],[Y-tunnus]],'Suoritepäät. 2024 oikaistu'!$B:$N,COLUMN('Suoritepäät. 2024 oikaistu'!H:H),FALSE),0)</f>
        <v>4928550</v>
      </c>
      <c r="AA81" s="170">
        <f>IFERROR(VLOOKUP(Vertailu[[#This Row],[Y-tunnus]],'1.2 Ohjaus-laskentataulu'!A:AQ,COLUMN('1.2 Ohjaus-laskentataulu'!AL:AL),FALSE),0)</f>
        <v>4688026</v>
      </c>
      <c r="AB81" s="170">
        <f>Vertailu[[#This Row],[Perusrahoitus 2025, €]]-Vertailu[[#This Row],[Perusrahoitus 2024, €]]</f>
        <v>-240524</v>
      </c>
      <c r="AC81" s="172">
        <f>IFERROR(Vertailu[[#This Row],[Perusrahoituksen muutos, €]]/Vertailu[[#This Row],[Perusrahoitus 2024, €]],0)</f>
        <v>-4.8802183197897961E-2</v>
      </c>
      <c r="AD81" s="170">
        <f>IFERROR(VLOOKUP(Vertailu[[#This Row],[Y-tunnus]],'Suoritepäät. 2024 oikaistu'!$O:$Y,COLUMN('Suoritepäät. 2024 oikaistu'!D:D),FALSE),0)</f>
        <v>1968203</v>
      </c>
      <c r="AE81" s="170">
        <f>IFERROR(VLOOKUP(Vertailu[[#This Row],[Y-tunnus]],'1.2 Ohjaus-laskentataulu'!A:AQ,COLUMN('1.2 Ohjaus-laskentataulu'!N:N),FALSE),0)</f>
        <v>1847735</v>
      </c>
      <c r="AF81" s="170">
        <f>Vertailu[[#This Row],[Suoritusrahoitus 2025, €]]-Vertailu[[#This Row],[Suoritusrahoitus 2024, €]]</f>
        <v>-120468</v>
      </c>
      <c r="AG81" s="172">
        <f>IFERROR(Vertailu[[#This Row],[Suoritusrahoituksen muutos, €]]/Vertailu[[#This Row],[Suoritusrahoitus 2024, €]],0)</f>
        <v>-6.1207101096787273E-2</v>
      </c>
      <c r="AH81" s="170">
        <f>IFERROR(VLOOKUP(Vertailu[[#This Row],[Y-tunnus]],'Suoritepäät. 2024 oikaistu'!$AB:$AL,COLUMN('Suoritepäät. 2024 oikaistu'!I:I),FALSE),0)</f>
        <v>1296015</v>
      </c>
      <c r="AI8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1236058</v>
      </c>
      <c r="AJ81" s="170">
        <f>Vertailu[[#This Row],[Vaikuttavuusrahoitus 2025, €]]-Vertailu[[#This Row],[Vaikuttavuusrahoitus 2024, €]]</f>
        <v>-59957</v>
      </c>
      <c r="AK81" s="172">
        <f>IFERROR(Vertailu[[#This Row],[Vaikuttavuusrahoituksen muutos, €]]/Vertailu[[#This Row],[Vaikuttavuusrahoitus 2024, €]],0)</f>
        <v>-4.6262581837401576E-2</v>
      </c>
    </row>
    <row r="82" spans="1:37" s="2" customFormat="1" ht="12.75" customHeight="1" x14ac:dyDescent="0.25">
      <c r="A82" s="4" t="s">
        <v>248</v>
      </c>
      <c r="B82" s="161" t="s">
        <v>145</v>
      </c>
      <c r="C82" s="161" t="s">
        <v>187</v>
      </c>
      <c r="D82" s="8" t="s">
        <v>326</v>
      </c>
      <c r="E8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1</v>
      </c>
      <c r="F8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1</v>
      </c>
      <c r="G8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</v>
      </c>
      <c r="H8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</v>
      </c>
      <c r="I8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</v>
      </c>
      <c r="J8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0</v>
      </c>
      <c r="K8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0</v>
      </c>
      <c r="L8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8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8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3156</v>
      </c>
      <c r="O82" s="170">
        <f>IFERROR(VLOOKUP(Vertailu[[#This Row],[Y-tunnus]],'1.2 Ohjaus-laskentataulu'!A:AQ,COLUMN('1.2 Ohjaus-laskentataulu'!AE:AE),FALSE),0)</f>
        <v>27616</v>
      </c>
      <c r="P82" s="170">
        <f>IFERROR(Vertailu[[#This Row],[Rahoitus pl. hark. kor. 2025 ilman alv, €]]-Vertailu[[#This Row],[Rahoitus pl. hark. kor. 2024 ilman alv, €]],0)</f>
        <v>24460</v>
      </c>
      <c r="Q82" s="172">
        <f>IFERROR(Vertailu[[#This Row],[Muutos, € 1]]/Vertailu[[#This Row],[Rahoitus pl. hark. kor. 2024 ilman alv, €]],0)</f>
        <v>7.750316856780735</v>
      </c>
      <c r="R82" s="175">
        <f>IFERROR(VLOOKUP(Vertailu[[#This Row],[Y-tunnus]],'Suoritepäät. 2024 oikaistu'!$AB:$AL,COLUMN('Suoritepäät. 2024 oikaistu'!J:J),FALSE),0)</f>
        <v>3156</v>
      </c>
      <c r="S82" s="176">
        <f>IFERROR(VLOOKUP(Vertailu[[#This Row],[Y-tunnus]],'1.2 Ohjaus-laskentataulu'!A:AQ,COLUMN('1.2 Ohjaus-laskentataulu'!AO:AO),FALSE),0)</f>
        <v>27616</v>
      </c>
      <c r="T82" s="170">
        <f>IFERROR(Vertailu[[#This Row],[Rahoitus ml. hark. kor. 
2025 ilman alv, €]]-Vertailu[[#This Row],[Rahoitus ml. hark. kor. 
2024 ilman alv, €]],0)</f>
        <v>24460</v>
      </c>
      <c r="U82" s="174">
        <f>IFERROR(Vertailu[[#This Row],[Muutos, € 2]]/Vertailu[[#This Row],[Rahoitus ml. hark. kor. 
2024 ilman alv, €]],0)</f>
        <v>7.750316856780735</v>
      </c>
      <c r="V8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3156</v>
      </c>
      <c r="W82" s="175">
        <f>IFERROR(VLOOKUP(Vertailu[[#This Row],[Y-tunnus]],'1.2 Ohjaus-laskentataulu'!A:AQ,COLUMN('1.2 Ohjaus-laskentataulu'!AQ:AQ),FALSE),0)</f>
        <v>27616</v>
      </c>
      <c r="X82" s="177">
        <f>IFERROR(Vertailu[[#This Row],[Rahoitus ml. hark. kor. + alv 2025, €]]-Vertailu[[#This Row],[Rahoitus ml. hark. kor. + alv 2024, €]],0)</f>
        <v>24460</v>
      </c>
      <c r="Y82" s="172">
        <f>IFERROR(Vertailu[[#This Row],[Muutos, € 3]]/Vertailu[[#This Row],[Rahoitus ml. hark. kor. + alv 2024, €]],0)</f>
        <v>7.750316856780735</v>
      </c>
      <c r="Z82" s="170">
        <f>IFERROR(VLOOKUP(Vertailu[[#This Row],[Y-tunnus]],'Suoritepäät. 2024 oikaistu'!$B:$N,COLUMN('Suoritepäät. 2024 oikaistu'!H:H),FALSE),0)</f>
        <v>0</v>
      </c>
      <c r="AA82" s="170">
        <f>IFERROR(VLOOKUP(Vertailu[[#This Row],[Y-tunnus]],'1.2 Ohjaus-laskentataulu'!A:AQ,COLUMN('1.2 Ohjaus-laskentataulu'!AL:AL),FALSE),0)</f>
        <v>27616</v>
      </c>
      <c r="AB82" s="170">
        <f>Vertailu[[#This Row],[Perusrahoitus 2025, €]]-Vertailu[[#This Row],[Perusrahoitus 2024, €]]</f>
        <v>27616</v>
      </c>
      <c r="AC82" s="172">
        <f>IFERROR(Vertailu[[#This Row],[Perusrahoituksen muutos, €]]/Vertailu[[#This Row],[Perusrahoitus 2024, €]],0)</f>
        <v>0</v>
      </c>
      <c r="AD82" s="170">
        <f>IFERROR(VLOOKUP(Vertailu[[#This Row],[Y-tunnus]],'Suoritepäät. 2024 oikaistu'!$O:$Y,COLUMN('Suoritepäät. 2024 oikaistu'!D:D),FALSE),0)</f>
        <v>1279</v>
      </c>
      <c r="AE82" s="170">
        <f>IFERROR(VLOOKUP(Vertailu[[#This Row],[Y-tunnus]],'1.2 Ohjaus-laskentataulu'!A:AQ,COLUMN('1.2 Ohjaus-laskentataulu'!N:N),FALSE),0)</f>
        <v>0</v>
      </c>
      <c r="AF82" s="170">
        <f>Vertailu[[#This Row],[Suoritusrahoitus 2025, €]]-Vertailu[[#This Row],[Suoritusrahoitus 2024, €]]</f>
        <v>-1279</v>
      </c>
      <c r="AG82" s="172">
        <f>IFERROR(Vertailu[[#This Row],[Suoritusrahoituksen muutos, €]]/Vertailu[[#This Row],[Suoritusrahoitus 2024, €]],0)</f>
        <v>-1</v>
      </c>
      <c r="AH82" s="170">
        <f>IFERROR(VLOOKUP(Vertailu[[#This Row],[Y-tunnus]],'Suoritepäät. 2024 oikaistu'!$AB:$AL,COLUMN('Suoritepäät. 2024 oikaistu'!I:I),FALSE),0)</f>
        <v>1877</v>
      </c>
      <c r="AI8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0</v>
      </c>
      <c r="AJ82" s="170">
        <f>Vertailu[[#This Row],[Vaikuttavuusrahoitus 2025, €]]-Vertailu[[#This Row],[Vaikuttavuusrahoitus 2024, €]]</f>
        <v>-1877</v>
      </c>
      <c r="AK82" s="172">
        <f>IFERROR(Vertailu[[#This Row],[Vaikuttavuusrahoituksen muutos, €]]/Vertailu[[#This Row],[Vaikuttavuusrahoitus 2024, €]],0)</f>
        <v>-1</v>
      </c>
    </row>
    <row r="83" spans="1:37" s="2" customFormat="1" ht="12.75" customHeight="1" x14ac:dyDescent="0.25">
      <c r="A83" s="4" t="s">
        <v>246</v>
      </c>
      <c r="B83" s="161" t="s">
        <v>75</v>
      </c>
      <c r="C83" s="161" t="s">
        <v>180</v>
      </c>
      <c r="D83" s="8" t="s">
        <v>325</v>
      </c>
      <c r="E8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0.72290336260741028</v>
      </c>
      <c r="F8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0.723844462129273</v>
      </c>
      <c r="G8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0.18263112604322351</v>
      </c>
      <c r="H8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9.3524411827503512E-2</v>
      </c>
      <c r="I8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6.534153972116398E-2</v>
      </c>
      <c r="J8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2.1797629487941869E-3</v>
      </c>
      <c r="K8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8.5481245945184491E-3</v>
      </c>
      <c r="L8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1.4171253056367744E-2</v>
      </c>
      <c r="M8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3.2837315066591615E-3</v>
      </c>
      <c r="N8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17254660</v>
      </c>
      <c r="O83" s="170">
        <f>IFERROR(VLOOKUP(Vertailu[[#This Row],[Y-tunnus]],'1.2 Ohjaus-laskentataulu'!A:AQ,COLUMN('1.2 Ohjaus-laskentataulu'!AE:AE),FALSE),0)</f>
        <v>16985390</v>
      </c>
      <c r="P83" s="170">
        <f>IFERROR(Vertailu[[#This Row],[Rahoitus pl. hark. kor. 2025 ilman alv, €]]-Vertailu[[#This Row],[Rahoitus pl. hark. kor. 2024 ilman alv, €]],0)</f>
        <v>-269270</v>
      </c>
      <c r="Q83" s="172">
        <f>IFERROR(Vertailu[[#This Row],[Muutos, € 1]]/Vertailu[[#This Row],[Rahoitus pl. hark. kor. 2024 ilman alv, €]],0)</f>
        <v>-1.5605639288169109E-2</v>
      </c>
      <c r="R83" s="175">
        <f>IFERROR(VLOOKUP(Vertailu[[#This Row],[Y-tunnus]],'Suoritepäät. 2024 oikaistu'!$AB:$AL,COLUMN('Suoritepäät. 2024 oikaistu'!J:J),FALSE),0)</f>
        <v>17367983</v>
      </c>
      <c r="S83" s="176">
        <f>IFERROR(VLOOKUP(Vertailu[[#This Row],[Y-tunnus]],'1.2 Ohjaus-laskentataulu'!A:AQ,COLUMN('1.2 Ohjaus-laskentataulu'!AO:AO),FALSE),0)</f>
        <v>17001390</v>
      </c>
      <c r="T83" s="170">
        <f>IFERROR(Vertailu[[#This Row],[Rahoitus ml. hark. kor. 
2025 ilman alv, €]]-Vertailu[[#This Row],[Rahoitus ml. hark. kor. 
2024 ilman alv, €]],0)</f>
        <v>-366593</v>
      </c>
      <c r="U83" s="174">
        <f>IFERROR(Vertailu[[#This Row],[Muutos, € 2]]/Vertailu[[#This Row],[Rahoitus ml. hark. kor. 
2024 ilman alv, €]],0)</f>
        <v>-2.110740205123416E-2</v>
      </c>
      <c r="V8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17367983</v>
      </c>
      <c r="W83" s="175">
        <f>IFERROR(VLOOKUP(Vertailu[[#This Row],[Y-tunnus]],'1.2 Ohjaus-laskentataulu'!A:AQ,COLUMN('1.2 Ohjaus-laskentataulu'!AQ:AQ),FALSE),0)</f>
        <v>17001390</v>
      </c>
      <c r="X83" s="177">
        <f>IFERROR(Vertailu[[#This Row],[Rahoitus ml. hark. kor. + alv 2025, €]]-Vertailu[[#This Row],[Rahoitus ml. hark. kor. + alv 2024, €]],0)</f>
        <v>-366593</v>
      </c>
      <c r="Y83" s="172">
        <f>IFERROR(Vertailu[[#This Row],[Muutos, € 3]]/Vertailu[[#This Row],[Rahoitus ml. hark. kor. + alv 2024, €]],0)</f>
        <v>-2.110740205123416E-2</v>
      </c>
      <c r="Z83" s="170">
        <f>IFERROR(VLOOKUP(Vertailu[[#This Row],[Y-tunnus]],'Suoritepäät. 2024 oikaistu'!$B:$N,COLUMN('Suoritepäät. 2024 oikaistu'!H:H),FALSE),0)</f>
        <v>12439476</v>
      </c>
      <c r="AA83" s="170">
        <f>IFERROR(VLOOKUP(Vertailu[[#This Row],[Y-tunnus]],'1.2 Ohjaus-laskentataulu'!A:AQ,COLUMN('1.2 Ohjaus-laskentataulu'!AL:AL),FALSE),0)</f>
        <v>12306362</v>
      </c>
      <c r="AB83" s="170">
        <f>Vertailu[[#This Row],[Perusrahoitus 2025, €]]-Vertailu[[#This Row],[Perusrahoitus 2024, €]]</f>
        <v>-133114</v>
      </c>
      <c r="AC83" s="172">
        <f>IFERROR(Vertailu[[#This Row],[Perusrahoituksen muutos, €]]/Vertailu[[#This Row],[Perusrahoitus 2024, €]],0)</f>
        <v>-1.0700933061810643E-2</v>
      </c>
      <c r="AD83" s="170">
        <f>IFERROR(VLOOKUP(Vertailu[[#This Row],[Y-tunnus]],'Suoritepäät. 2024 oikaistu'!$O:$Y,COLUMN('Suoritepäät. 2024 oikaistu'!D:D),FALSE),0)</f>
        <v>3213064</v>
      </c>
      <c r="AE83" s="170">
        <f>IFERROR(VLOOKUP(Vertailu[[#This Row],[Y-tunnus]],'1.2 Ohjaus-laskentataulu'!A:AQ,COLUMN('1.2 Ohjaus-laskentataulu'!N:N),FALSE),0)</f>
        <v>3104983</v>
      </c>
      <c r="AF83" s="170">
        <f>Vertailu[[#This Row],[Suoritusrahoitus 2025, €]]-Vertailu[[#This Row],[Suoritusrahoitus 2024, €]]</f>
        <v>-108081</v>
      </c>
      <c r="AG83" s="172">
        <f>IFERROR(Vertailu[[#This Row],[Suoritusrahoituksen muutos, €]]/Vertailu[[#This Row],[Suoritusrahoitus 2024, €]],0)</f>
        <v>-3.3637985424504462E-2</v>
      </c>
      <c r="AH83" s="170">
        <f>IFERROR(VLOOKUP(Vertailu[[#This Row],[Y-tunnus]],'Suoritepäät. 2024 oikaistu'!$AB:$AL,COLUMN('Suoritepäät. 2024 oikaistu'!I:I),FALSE),0)</f>
        <v>1715443</v>
      </c>
      <c r="AI8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1590045</v>
      </c>
      <c r="AJ83" s="170">
        <f>Vertailu[[#This Row],[Vaikuttavuusrahoitus 2025, €]]-Vertailu[[#This Row],[Vaikuttavuusrahoitus 2024, €]]</f>
        <v>-125398</v>
      </c>
      <c r="AK83" s="172">
        <f>IFERROR(Vertailu[[#This Row],[Vaikuttavuusrahoituksen muutos, €]]/Vertailu[[#This Row],[Vaikuttavuusrahoitus 2024, €]],0)</f>
        <v>-7.3099485089274316E-2</v>
      </c>
    </row>
    <row r="84" spans="1:37" s="2" customFormat="1" ht="12.75" customHeight="1" x14ac:dyDescent="0.25">
      <c r="A84" s="4" t="s">
        <v>245</v>
      </c>
      <c r="B84" s="161" t="s">
        <v>76</v>
      </c>
      <c r="C84" s="161" t="s">
        <v>181</v>
      </c>
      <c r="D84" s="8" t="s">
        <v>327</v>
      </c>
      <c r="E8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0.69981738172047336</v>
      </c>
      <c r="F8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0.69981738172047336</v>
      </c>
      <c r="G8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0.20643749547476731</v>
      </c>
      <c r="H8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9.3745122804759343E-2</v>
      </c>
      <c r="I8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8.0089780616718828E-2</v>
      </c>
      <c r="J8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2.0224773336122216E-3</v>
      </c>
      <c r="K8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1.1138910565312181E-2</v>
      </c>
      <c r="L8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4.9395428911611148E-4</v>
      </c>
      <c r="M8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8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654664</v>
      </c>
      <c r="O84" s="170">
        <f>IFERROR(VLOOKUP(Vertailu[[#This Row],[Y-tunnus]],'1.2 Ohjaus-laskentataulu'!A:AQ,COLUMN('1.2 Ohjaus-laskentataulu'!AE:AE),FALSE),0)</f>
        <v>621515</v>
      </c>
      <c r="P84" s="170">
        <f>IFERROR(Vertailu[[#This Row],[Rahoitus pl. hark. kor. 2025 ilman alv, €]]-Vertailu[[#This Row],[Rahoitus pl. hark. kor. 2024 ilman alv, €]],0)</f>
        <v>-33149</v>
      </c>
      <c r="Q84" s="172">
        <f>IFERROR(Vertailu[[#This Row],[Muutos, € 1]]/Vertailu[[#This Row],[Rahoitus pl. hark. kor. 2024 ilman alv, €]],0)</f>
        <v>-5.0635134969999877E-2</v>
      </c>
      <c r="R84" s="175">
        <f>IFERROR(VLOOKUP(Vertailu[[#This Row],[Y-tunnus]],'Suoritepäät. 2024 oikaistu'!$AB:$AL,COLUMN('Suoritepäät. 2024 oikaistu'!J:J),FALSE),0)</f>
        <v>654664</v>
      </c>
      <c r="S84" s="176">
        <f>IFERROR(VLOOKUP(Vertailu[[#This Row],[Y-tunnus]],'1.2 Ohjaus-laskentataulu'!A:AQ,COLUMN('1.2 Ohjaus-laskentataulu'!AO:AO),FALSE),0)</f>
        <v>621515</v>
      </c>
      <c r="T84" s="170">
        <f>IFERROR(Vertailu[[#This Row],[Rahoitus ml. hark. kor. 
2025 ilman alv, €]]-Vertailu[[#This Row],[Rahoitus ml. hark. kor. 
2024 ilman alv, €]],0)</f>
        <v>-33149</v>
      </c>
      <c r="U84" s="174">
        <f>IFERROR(Vertailu[[#This Row],[Muutos, € 2]]/Vertailu[[#This Row],[Rahoitus ml. hark. kor. 
2024 ilman alv, €]],0)</f>
        <v>-5.0635134969999877E-2</v>
      </c>
      <c r="V8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654664</v>
      </c>
      <c r="W84" s="175">
        <f>IFERROR(VLOOKUP(Vertailu[[#This Row],[Y-tunnus]],'1.2 Ohjaus-laskentataulu'!A:AQ,COLUMN('1.2 Ohjaus-laskentataulu'!AQ:AQ),FALSE),0)</f>
        <v>621515</v>
      </c>
      <c r="X84" s="177">
        <f>IFERROR(Vertailu[[#This Row],[Rahoitus ml. hark. kor. + alv 2025, €]]-Vertailu[[#This Row],[Rahoitus ml. hark. kor. + alv 2024, €]],0)</f>
        <v>-33149</v>
      </c>
      <c r="Y84" s="172">
        <f>IFERROR(Vertailu[[#This Row],[Muutos, € 3]]/Vertailu[[#This Row],[Rahoitus ml. hark. kor. + alv 2024, €]],0)</f>
        <v>-5.0635134969999877E-2</v>
      </c>
      <c r="Z84" s="170">
        <f>IFERROR(VLOOKUP(Vertailu[[#This Row],[Y-tunnus]],'Suoritepäät. 2024 oikaistu'!$B:$N,COLUMN('Suoritepäät. 2024 oikaistu'!H:H),FALSE),0)</f>
        <v>430617</v>
      </c>
      <c r="AA84" s="170">
        <f>IFERROR(VLOOKUP(Vertailu[[#This Row],[Y-tunnus]],'1.2 Ohjaus-laskentataulu'!A:AQ,COLUMN('1.2 Ohjaus-laskentataulu'!AL:AL),FALSE),0)</f>
        <v>434947</v>
      </c>
      <c r="AB84" s="170">
        <f>Vertailu[[#This Row],[Perusrahoitus 2025, €]]-Vertailu[[#This Row],[Perusrahoitus 2024, €]]</f>
        <v>4330</v>
      </c>
      <c r="AC84" s="172">
        <f>IFERROR(Vertailu[[#This Row],[Perusrahoituksen muutos, €]]/Vertailu[[#This Row],[Perusrahoitus 2024, €]],0)</f>
        <v>1.0055339199334908E-2</v>
      </c>
      <c r="AD84" s="170">
        <f>IFERROR(VLOOKUP(Vertailu[[#This Row],[Y-tunnus]],'Suoritepäät. 2024 oikaistu'!$O:$Y,COLUMN('Suoritepäät. 2024 oikaistu'!D:D),FALSE),0)</f>
        <v>167419</v>
      </c>
      <c r="AE84" s="170">
        <f>IFERROR(VLOOKUP(Vertailu[[#This Row],[Y-tunnus]],'1.2 Ohjaus-laskentataulu'!A:AQ,COLUMN('1.2 Ohjaus-laskentataulu'!N:N),FALSE),0)</f>
        <v>128304</v>
      </c>
      <c r="AF84" s="170">
        <f>Vertailu[[#This Row],[Suoritusrahoitus 2025, €]]-Vertailu[[#This Row],[Suoritusrahoitus 2024, €]]</f>
        <v>-39115</v>
      </c>
      <c r="AG84" s="172">
        <f>IFERROR(Vertailu[[#This Row],[Suoritusrahoituksen muutos, €]]/Vertailu[[#This Row],[Suoritusrahoitus 2024, €]],0)</f>
        <v>-0.23363536994009043</v>
      </c>
      <c r="AH84" s="170">
        <f>IFERROR(VLOOKUP(Vertailu[[#This Row],[Y-tunnus]],'Suoritepäät. 2024 oikaistu'!$AB:$AL,COLUMN('Suoritepäät. 2024 oikaistu'!I:I),FALSE),0)</f>
        <v>56628</v>
      </c>
      <c r="AI8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58264</v>
      </c>
      <c r="AJ84" s="170">
        <f>Vertailu[[#This Row],[Vaikuttavuusrahoitus 2025, €]]-Vertailu[[#This Row],[Vaikuttavuusrahoitus 2024, €]]</f>
        <v>1636</v>
      </c>
      <c r="AK84" s="172">
        <f>IFERROR(Vertailu[[#This Row],[Vaikuttavuusrahoituksen muutos, €]]/Vertailu[[#This Row],[Vaikuttavuusrahoitus 2024, €]],0)</f>
        <v>2.8890301617574346E-2</v>
      </c>
    </row>
    <row r="85" spans="1:37" s="2" customFormat="1" ht="12.75" customHeight="1" x14ac:dyDescent="0.25">
      <c r="A85" s="4" t="s">
        <v>241</v>
      </c>
      <c r="B85" s="161" t="s">
        <v>77</v>
      </c>
      <c r="C85" s="161" t="s">
        <v>174</v>
      </c>
      <c r="D85" s="8" t="s">
        <v>326</v>
      </c>
      <c r="E8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0.76166438440380724</v>
      </c>
      <c r="F8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0.76166438440380724</v>
      </c>
      <c r="G8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0.16426734309232302</v>
      </c>
      <c r="H8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7.4068272503869742E-2</v>
      </c>
      <c r="I8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6.7548243331328986E-2</v>
      </c>
      <c r="J8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1.5243157843320549E-3</v>
      </c>
      <c r="K8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4.9957133882087019E-3</v>
      </c>
      <c r="L8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8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8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594349</v>
      </c>
      <c r="O85" s="170">
        <f>IFERROR(VLOOKUP(Vertailu[[#This Row],[Y-tunnus]],'1.2 Ohjaus-laskentataulu'!A:AQ,COLUMN('1.2 Ohjaus-laskentataulu'!AE:AE),FALSE),0)</f>
        <v>593709</v>
      </c>
      <c r="P85" s="170">
        <f>IFERROR(Vertailu[[#This Row],[Rahoitus pl. hark. kor. 2025 ilman alv, €]]-Vertailu[[#This Row],[Rahoitus pl. hark. kor. 2024 ilman alv, €]],0)</f>
        <v>-640</v>
      </c>
      <c r="Q85" s="172">
        <f>IFERROR(Vertailu[[#This Row],[Muutos, € 1]]/Vertailu[[#This Row],[Rahoitus pl. hark. kor. 2024 ilman alv, €]],0)</f>
        <v>-1.0768084071816392E-3</v>
      </c>
      <c r="R85" s="175">
        <f>IFERROR(VLOOKUP(Vertailu[[#This Row],[Y-tunnus]],'Suoritepäät. 2024 oikaistu'!$AB:$AL,COLUMN('Suoritepäät. 2024 oikaistu'!J:J),FALSE),0)</f>
        <v>594349</v>
      </c>
      <c r="S85" s="176">
        <f>IFERROR(VLOOKUP(Vertailu[[#This Row],[Y-tunnus]],'1.2 Ohjaus-laskentataulu'!A:AQ,COLUMN('1.2 Ohjaus-laskentataulu'!AO:AO),FALSE),0)</f>
        <v>593709</v>
      </c>
      <c r="T85" s="170">
        <f>IFERROR(Vertailu[[#This Row],[Rahoitus ml. hark. kor. 
2025 ilman alv, €]]-Vertailu[[#This Row],[Rahoitus ml. hark. kor. 
2024 ilman alv, €]],0)</f>
        <v>-640</v>
      </c>
      <c r="U85" s="174">
        <f>IFERROR(Vertailu[[#This Row],[Muutos, € 2]]/Vertailu[[#This Row],[Rahoitus ml. hark. kor. 
2024 ilman alv, €]],0)</f>
        <v>-1.0768084071816392E-3</v>
      </c>
      <c r="V8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622512</v>
      </c>
      <c r="W85" s="175">
        <f>IFERROR(VLOOKUP(Vertailu[[#This Row],[Y-tunnus]],'1.2 Ohjaus-laskentataulu'!A:AQ,COLUMN('1.2 Ohjaus-laskentataulu'!AQ:AQ),FALSE),0)</f>
        <v>616942</v>
      </c>
      <c r="X85" s="177">
        <f>IFERROR(Vertailu[[#This Row],[Rahoitus ml. hark. kor. + alv 2025, €]]-Vertailu[[#This Row],[Rahoitus ml. hark. kor. + alv 2024, €]],0)</f>
        <v>-5570</v>
      </c>
      <c r="Y85" s="172">
        <f>IFERROR(Vertailu[[#This Row],[Muutos, € 3]]/Vertailu[[#This Row],[Rahoitus ml. hark. kor. + alv 2024, €]],0)</f>
        <v>-8.9476186804431073E-3</v>
      </c>
      <c r="Z85" s="170">
        <f>IFERROR(VLOOKUP(Vertailu[[#This Row],[Y-tunnus]],'Suoritepäät. 2024 oikaistu'!$B:$N,COLUMN('Suoritepäät. 2024 oikaistu'!H:H),FALSE),0)</f>
        <v>451772</v>
      </c>
      <c r="AA85" s="170">
        <f>IFERROR(VLOOKUP(Vertailu[[#This Row],[Y-tunnus]],'1.2 Ohjaus-laskentataulu'!A:AQ,COLUMN('1.2 Ohjaus-laskentataulu'!AL:AL),FALSE),0)</f>
        <v>452207</v>
      </c>
      <c r="AB85" s="170">
        <f>Vertailu[[#This Row],[Perusrahoitus 2025, €]]-Vertailu[[#This Row],[Perusrahoitus 2024, €]]</f>
        <v>435</v>
      </c>
      <c r="AC85" s="172">
        <f>IFERROR(Vertailu[[#This Row],[Perusrahoituksen muutos, €]]/Vertailu[[#This Row],[Perusrahoitus 2024, €]],0)</f>
        <v>9.628750785794604E-4</v>
      </c>
      <c r="AD85" s="170">
        <f>IFERROR(VLOOKUP(Vertailu[[#This Row],[Y-tunnus]],'Suoritepäät. 2024 oikaistu'!$O:$Y,COLUMN('Suoritepäät. 2024 oikaistu'!D:D),FALSE),0)</f>
        <v>84876</v>
      </c>
      <c r="AE85" s="170">
        <f>IFERROR(VLOOKUP(Vertailu[[#This Row],[Y-tunnus]],'1.2 Ohjaus-laskentataulu'!A:AQ,COLUMN('1.2 Ohjaus-laskentataulu'!N:N),FALSE),0)</f>
        <v>97527</v>
      </c>
      <c r="AF85" s="170">
        <f>Vertailu[[#This Row],[Suoritusrahoitus 2025, €]]-Vertailu[[#This Row],[Suoritusrahoitus 2024, €]]</f>
        <v>12651</v>
      </c>
      <c r="AG85" s="172">
        <f>IFERROR(Vertailu[[#This Row],[Suoritusrahoituksen muutos, €]]/Vertailu[[#This Row],[Suoritusrahoitus 2024, €]],0)</f>
        <v>0.14905273575569067</v>
      </c>
      <c r="AH85" s="170">
        <f>IFERROR(VLOOKUP(Vertailu[[#This Row],[Y-tunnus]],'Suoritepäät. 2024 oikaistu'!$AB:$AL,COLUMN('Suoritepäät. 2024 oikaistu'!I:I),FALSE),0)</f>
        <v>57701</v>
      </c>
      <c r="AI8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43975</v>
      </c>
      <c r="AJ85" s="170">
        <f>Vertailu[[#This Row],[Vaikuttavuusrahoitus 2025, €]]-Vertailu[[#This Row],[Vaikuttavuusrahoitus 2024, €]]</f>
        <v>-13726</v>
      </c>
      <c r="AK85" s="172">
        <f>IFERROR(Vertailu[[#This Row],[Vaikuttavuusrahoituksen muutos, €]]/Vertailu[[#This Row],[Vaikuttavuusrahoitus 2024, €]],0)</f>
        <v>-0.23788149252179339</v>
      </c>
    </row>
    <row r="86" spans="1:37" s="2" customFormat="1" ht="12.75" customHeight="1" x14ac:dyDescent="0.25">
      <c r="A86" s="4" t="s">
        <v>239</v>
      </c>
      <c r="B86" s="161" t="s">
        <v>79</v>
      </c>
      <c r="C86" s="161" t="s">
        <v>256</v>
      </c>
      <c r="D86" s="8" t="s">
        <v>326</v>
      </c>
      <c r="E8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0.56100450346604824</v>
      </c>
      <c r="F8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0.56556959829448061</v>
      </c>
      <c r="G8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0.28607166742371154</v>
      </c>
      <c r="H8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0.14835873428180787</v>
      </c>
      <c r="I8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0.10199334865683497</v>
      </c>
      <c r="J8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7.5734923203692244E-3</v>
      </c>
      <c r="K8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3.0385271178045545E-2</v>
      </c>
      <c r="L8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6.3614596434204427E-3</v>
      </c>
      <c r="M8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2.045162483137681E-3</v>
      </c>
      <c r="N8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592277</v>
      </c>
      <c r="O86" s="170">
        <f>IFERROR(VLOOKUP(Vertailu[[#This Row],[Y-tunnus]],'1.2 Ohjaus-laskentataulu'!A:AQ,COLUMN('1.2 Ohjaus-laskentataulu'!AE:AE),FALSE),0)</f>
        <v>436107</v>
      </c>
      <c r="P86" s="170">
        <f>IFERROR(Vertailu[[#This Row],[Rahoitus pl. hark. kor. 2025 ilman alv, €]]-Vertailu[[#This Row],[Rahoitus pl. hark. kor. 2024 ilman alv, €]],0)</f>
        <v>-156170</v>
      </c>
      <c r="Q86" s="172">
        <f>IFERROR(Vertailu[[#This Row],[Muutos, € 1]]/Vertailu[[#This Row],[Rahoitus pl. hark. kor. 2024 ilman alv, €]],0)</f>
        <v>-0.26367729964189052</v>
      </c>
      <c r="R86" s="175">
        <f>IFERROR(VLOOKUP(Vertailu[[#This Row],[Y-tunnus]],'Suoritepäät. 2024 oikaistu'!$AB:$AL,COLUMN('Suoritepäät. 2024 oikaistu'!J:J),FALSE),0)</f>
        <v>592277</v>
      </c>
      <c r="S86" s="176">
        <f>IFERROR(VLOOKUP(Vertailu[[#This Row],[Y-tunnus]],'1.2 Ohjaus-laskentataulu'!A:AQ,COLUMN('1.2 Ohjaus-laskentataulu'!AO:AO),FALSE),0)</f>
        <v>438107</v>
      </c>
      <c r="T86" s="170">
        <f>IFERROR(Vertailu[[#This Row],[Rahoitus ml. hark. kor. 
2025 ilman alv, €]]-Vertailu[[#This Row],[Rahoitus ml. hark. kor. 
2024 ilman alv, €]],0)</f>
        <v>-154170</v>
      </c>
      <c r="U86" s="174">
        <f>IFERROR(Vertailu[[#This Row],[Muutos, € 2]]/Vertailu[[#This Row],[Rahoitus ml. hark. kor. 
2024 ilman alv, €]],0)</f>
        <v>-0.26030050128571597</v>
      </c>
      <c r="V8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632844</v>
      </c>
      <c r="W86" s="175">
        <f>IFERROR(VLOOKUP(Vertailu[[#This Row],[Y-tunnus]],'1.2 Ohjaus-laskentataulu'!A:AQ,COLUMN('1.2 Ohjaus-laskentataulu'!AQ:AQ),FALSE),0)</f>
        <v>476986</v>
      </c>
      <c r="X86" s="177">
        <f>IFERROR(Vertailu[[#This Row],[Rahoitus ml. hark. kor. + alv 2025, €]]-Vertailu[[#This Row],[Rahoitus ml. hark. kor. + alv 2024, €]],0)</f>
        <v>-155858</v>
      </c>
      <c r="Y86" s="172">
        <f>IFERROR(Vertailu[[#This Row],[Muutos, € 3]]/Vertailu[[#This Row],[Rahoitus ml. hark. kor. + alv 2024, €]],0)</f>
        <v>-0.2462818640928886</v>
      </c>
      <c r="Z86" s="170">
        <f>IFERROR(VLOOKUP(Vertailu[[#This Row],[Y-tunnus]],'Suoritepäät. 2024 oikaistu'!$B:$N,COLUMN('Suoritepäät. 2024 oikaistu'!H:H),FALSE),0)</f>
        <v>288670</v>
      </c>
      <c r="AA86" s="170">
        <f>IFERROR(VLOOKUP(Vertailu[[#This Row],[Y-tunnus]],'1.2 Ohjaus-laskentataulu'!A:AQ,COLUMN('1.2 Ohjaus-laskentataulu'!AL:AL),FALSE),0)</f>
        <v>247780</v>
      </c>
      <c r="AB86" s="170">
        <f>Vertailu[[#This Row],[Perusrahoitus 2025, €]]-Vertailu[[#This Row],[Perusrahoitus 2024, €]]</f>
        <v>-40890</v>
      </c>
      <c r="AC86" s="172">
        <f>IFERROR(Vertailu[[#This Row],[Perusrahoituksen muutos, €]]/Vertailu[[#This Row],[Perusrahoitus 2024, €]],0)</f>
        <v>-0.14164963453077908</v>
      </c>
      <c r="AD86" s="170">
        <f>IFERROR(VLOOKUP(Vertailu[[#This Row],[Y-tunnus]],'Suoritepäät. 2024 oikaistu'!$O:$Y,COLUMN('Suoritepäät. 2024 oikaistu'!D:D),FALSE),0)</f>
        <v>135430</v>
      </c>
      <c r="AE86" s="170">
        <f>IFERROR(VLOOKUP(Vertailu[[#This Row],[Y-tunnus]],'1.2 Ohjaus-laskentataulu'!A:AQ,COLUMN('1.2 Ohjaus-laskentataulu'!N:N),FALSE),0)</f>
        <v>125330</v>
      </c>
      <c r="AF86" s="170">
        <f>Vertailu[[#This Row],[Suoritusrahoitus 2025, €]]-Vertailu[[#This Row],[Suoritusrahoitus 2024, €]]</f>
        <v>-10100</v>
      </c>
      <c r="AG86" s="172">
        <f>IFERROR(Vertailu[[#This Row],[Suoritusrahoituksen muutos, €]]/Vertailu[[#This Row],[Suoritusrahoitus 2024, €]],0)</f>
        <v>-7.4577272391641442E-2</v>
      </c>
      <c r="AH86" s="170">
        <f>IFERROR(VLOOKUP(Vertailu[[#This Row],[Y-tunnus]],'Suoritepäät. 2024 oikaistu'!$AB:$AL,COLUMN('Suoritepäät. 2024 oikaistu'!I:I),FALSE),0)</f>
        <v>168177</v>
      </c>
      <c r="AI8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64997</v>
      </c>
      <c r="AJ86" s="170">
        <f>Vertailu[[#This Row],[Vaikuttavuusrahoitus 2025, €]]-Vertailu[[#This Row],[Vaikuttavuusrahoitus 2024, €]]</f>
        <v>-103180</v>
      </c>
      <c r="AK86" s="172">
        <f>IFERROR(Vertailu[[#This Row],[Vaikuttavuusrahoituksen muutos, €]]/Vertailu[[#This Row],[Vaikuttavuusrahoitus 2024, €]],0)</f>
        <v>-0.61352027922962116</v>
      </c>
    </row>
    <row r="87" spans="1:37" s="2" customFormat="1" ht="12.75" customHeight="1" x14ac:dyDescent="0.25">
      <c r="A87" s="4" t="s">
        <v>238</v>
      </c>
      <c r="B87" s="161" t="s">
        <v>80</v>
      </c>
      <c r="C87" s="161" t="s">
        <v>187</v>
      </c>
      <c r="D87" s="8" t="s">
        <v>325</v>
      </c>
      <c r="E8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0.71756506047957413</v>
      </c>
      <c r="F8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0.71883633607114639</v>
      </c>
      <c r="G8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0.19442407628888503</v>
      </c>
      <c r="H8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8.6739587639968571E-2</v>
      </c>
      <c r="I8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6.2142039440235566E-2</v>
      </c>
      <c r="J8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3.9436784958557774E-3</v>
      </c>
      <c r="K8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1.0982368224793489E-2</v>
      </c>
      <c r="L8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8.0404548950966086E-3</v>
      </c>
      <c r="M8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1.6310465839871398E-3</v>
      </c>
      <c r="N8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11415568</v>
      </c>
      <c r="O87" s="170">
        <f>IFERROR(VLOOKUP(Vertailu[[#This Row],[Y-tunnus]],'1.2 Ohjaus-laskentataulu'!A:AQ,COLUMN('1.2 Ohjaus-laskentataulu'!AE:AE),FALSE),0)</f>
        <v>10998561</v>
      </c>
      <c r="P87" s="170">
        <f>IFERROR(Vertailu[[#This Row],[Rahoitus pl. hark. kor. 2025 ilman alv, €]]-Vertailu[[#This Row],[Rahoitus pl. hark. kor. 2024 ilman alv, €]],0)</f>
        <v>-417007</v>
      </c>
      <c r="Q87" s="172">
        <f>IFERROR(Vertailu[[#This Row],[Muutos, € 1]]/Vertailu[[#This Row],[Rahoitus pl. hark. kor. 2024 ilman alv, €]],0)</f>
        <v>-3.6529675965313334E-2</v>
      </c>
      <c r="R87" s="175">
        <f>IFERROR(VLOOKUP(Vertailu[[#This Row],[Y-tunnus]],'Suoritepäät. 2024 oikaistu'!$AB:$AL,COLUMN('Suoritepäät. 2024 oikaistu'!J:J),FALSE),0)</f>
        <v>11438236</v>
      </c>
      <c r="S87" s="176">
        <f>IFERROR(VLOOKUP(Vertailu[[#This Row],[Y-tunnus]],'1.2 Ohjaus-laskentataulu'!A:AQ,COLUMN('1.2 Ohjaus-laskentataulu'!AO:AO),FALSE),0)</f>
        <v>11012561</v>
      </c>
      <c r="T87" s="170">
        <f>IFERROR(Vertailu[[#This Row],[Rahoitus ml. hark. kor. 
2025 ilman alv, €]]-Vertailu[[#This Row],[Rahoitus ml. hark. kor. 
2024 ilman alv, €]],0)</f>
        <v>-425675</v>
      </c>
      <c r="U87" s="174">
        <f>IFERROR(Vertailu[[#This Row],[Muutos, € 2]]/Vertailu[[#This Row],[Rahoitus ml. hark. kor. 
2024 ilman alv, €]],0)</f>
        <v>-3.7215091557824126E-2</v>
      </c>
      <c r="V8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11438236</v>
      </c>
      <c r="W87" s="175">
        <f>IFERROR(VLOOKUP(Vertailu[[#This Row],[Y-tunnus]],'1.2 Ohjaus-laskentataulu'!A:AQ,COLUMN('1.2 Ohjaus-laskentataulu'!AQ:AQ),FALSE),0)</f>
        <v>11012561</v>
      </c>
      <c r="X87" s="177">
        <f>IFERROR(Vertailu[[#This Row],[Rahoitus ml. hark. kor. + alv 2025, €]]-Vertailu[[#This Row],[Rahoitus ml. hark. kor. + alv 2024, €]],0)</f>
        <v>-425675</v>
      </c>
      <c r="Y87" s="172">
        <f>IFERROR(Vertailu[[#This Row],[Muutos, € 3]]/Vertailu[[#This Row],[Rahoitus ml. hark. kor. + alv 2024, €]],0)</f>
        <v>-3.7215091557824126E-2</v>
      </c>
      <c r="Z87" s="170">
        <f>IFERROR(VLOOKUP(Vertailu[[#This Row],[Y-tunnus]],'Suoritepäät. 2024 oikaistu'!$B:$N,COLUMN('Suoritepäät. 2024 oikaistu'!H:H),FALSE),0)</f>
        <v>8435735</v>
      </c>
      <c r="AA87" s="170">
        <f>IFERROR(VLOOKUP(Vertailu[[#This Row],[Y-tunnus]],'1.2 Ohjaus-laskentataulu'!A:AQ,COLUMN('1.2 Ohjaus-laskentataulu'!AL:AL),FALSE),0)</f>
        <v>7916229</v>
      </c>
      <c r="AB87" s="170">
        <f>Vertailu[[#This Row],[Perusrahoitus 2025, €]]-Vertailu[[#This Row],[Perusrahoitus 2024, €]]</f>
        <v>-519506</v>
      </c>
      <c r="AC87" s="172">
        <f>IFERROR(Vertailu[[#This Row],[Perusrahoituksen muutos, €]]/Vertailu[[#This Row],[Perusrahoitus 2024, €]],0)</f>
        <v>-6.1583963934381536E-2</v>
      </c>
      <c r="AD87" s="170">
        <f>IFERROR(VLOOKUP(Vertailu[[#This Row],[Y-tunnus]],'Suoritepäät. 2024 oikaistu'!$O:$Y,COLUMN('Suoritepäät. 2024 oikaistu'!D:D),FALSE),0)</f>
        <v>1992888</v>
      </c>
      <c r="AE87" s="170">
        <f>IFERROR(VLOOKUP(Vertailu[[#This Row],[Y-tunnus]],'1.2 Ohjaus-laskentataulu'!A:AQ,COLUMN('1.2 Ohjaus-laskentataulu'!N:N),FALSE),0)</f>
        <v>2141107</v>
      </c>
      <c r="AF87" s="170">
        <f>Vertailu[[#This Row],[Suoritusrahoitus 2025, €]]-Vertailu[[#This Row],[Suoritusrahoitus 2024, €]]</f>
        <v>148219</v>
      </c>
      <c r="AG87" s="172">
        <f>IFERROR(Vertailu[[#This Row],[Suoritusrahoituksen muutos, €]]/Vertailu[[#This Row],[Suoritusrahoitus 2024, €]],0)</f>
        <v>7.4373973851014213E-2</v>
      </c>
      <c r="AH87" s="170">
        <f>IFERROR(VLOOKUP(Vertailu[[#This Row],[Y-tunnus]],'Suoritepäät. 2024 oikaistu'!$AB:$AL,COLUMN('Suoritepäät. 2024 oikaistu'!I:I),FALSE),0)</f>
        <v>1009613</v>
      </c>
      <c r="AI8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955225</v>
      </c>
      <c r="AJ87" s="170">
        <f>Vertailu[[#This Row],[Vaikuttavuusrahoitus 2025, €]]-Vertailu[[#This Row],[Vaikuttavuusrahoitus 2024, €]]</f>
        <v>-54388</v>
      </c>
      <c r="AK87" s="172">
        <f>IFERROR(Vertailu[[#This Row],[Vaikuttavuusrahoituksen muutos, €]]/Vertailu[[#This Row],[Vaikuttavuusrahoitus 2024, €]],0)</f>
        <v>-5.3870146283774081E-2</v>
      </c>
    </row>
    <row r="88" spans="1:37" s="2" customFormat="1" ht="12.75" customHeight="1" x14ac:dyDescent="0.25">
      <c r="A88" s="4" t="s">
        <v>237</v>
      </c>
      <c r="B88" s="161" t="s">
        <v>81</v>
      </c>
      <c r="C88" s="161" t="s">
        <v>174</v>
      </c>
      <c r="D88" s="8" t="s">
        <v>326</v>
      </c>
      <c r="E8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0.64148087727608116</v>
      </c>
      <c r="F8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0.64660807784417507</v>
      </c>
      <c r="G8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0.21906771207270251</v>
      </c>
      <c r="H8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0.13432421008312248</v>
      </c>
      <c r="I8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9.252025885124468E-2</v>
      </c>
      <c r="J8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4.7324061243505982E-3</v>
      </c>
      <c r="K8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1.4429525798791459E-2</v>
      </c>
      <c r="L8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1.5348274900588859E-2</v>
      </c>
      <c r="M8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7.2937444081468805E-3</v>
      </c>
      <c r="N8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13922735</v>
      </c>
      <c r="O88" s="170">
        <f>IFERROR(VLOOKUP(Vertailu[[#This Row],[Y-tunnus]],'1.2 Ohjaus-laskentataulu'!A:AQ,COLUMN('1.2 Ohjaus-laskentataulu'!AE:AE),FALSE),0)</f>
        <v>13194598</v>
      </c>
      <c r="P88" s="170">
        <f>IFERROR(Vertailu[[#This Row],[Rahoitus pl. hark. kor. 2025 ilman alv, €]]-Vertailu[[#This Row],[Rahoitus pl. hark. kor. 2024 ilman alv, €]],0)</f>
        <v>-728137</v>
      </c>
      <c r="Q88" s="172">
        <f>IFERROR(Vertailu[[#This Row],[Muutos, € 1]]/Vertailu[[#This Row],[Rahoitus pl. hark. kor. 2024 ilman alv, €]],0)</f>
        <v>-5.2298416941786226E-2</v>
      </c>
      <c r="R88" s="175">
        <f>IFERROR(VLOOKUP(Vertailu[[#This Row],[Y-tunnus]],'Suoritepäät. 2024 oikaistu'!$AB:$AL,COLUMN('Suoritepäät. 2024 oikaistu'!J:J),FALSE),0)</f>
        <v>13996735</v>
      </c>
      <c r="S88" s="176">
        <f>IFERROR(VLOOKUP(Vertailu[[#This Row],[Y-tunnus]],'1.2 Ohjaus-laskentataulu'!A:AQ,COLUMN('1.2 Ohjaus-laskentataulu'!AO:AO),FALSE),0)</f>
        <v>13262598</v>
      </c>
      <c r="T88" s="170">
        <f>IFERROR(Vertailu[[#This Row],[Rahoitus ml. hark. kor. 
2025 ilman alv, €]]-Vertailu[[#This Row],[Rahoitus ml. hark. kor. 
2024 ilman alv, €]],0)</f>
        <v>-734137</v>
      </c>
      <c r="U88" s="174">
        <f>IFERROR(Vertailu[[#This Row],[Muutos, € 2]]/Vertailu[[#This Row],[Rahoitus ml. hark. kor. 
2024 ilman alv, €]],0)</f>
        <v>-5.2450589369592265E-2</v>
      </c>
      <c r="V8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14749713</v>
      </c>
      <c r="W88" s="175">
        <f>IFERROR(VLOOKUP(Vertailu[[#This Row],[Y-tunnus]],'1.2 Ohjaus-laskentataulu'!A:AQ,COLUMN('1.2 Ohjaus-laskentataulu'!AQ:AQ),FALSE),0)</f>
        <v>14051102</v>
      </c>
      <c r="X88" s="177">
        <f>IFERROR(Vertailu[[#This Row],[Rahoitus ml. hark. kor. + alv 2025, €]]-Vertailu[[#This Row],[Rahoitus ml. hark. kor. + alv 2024, €]],0)</f>
        <v>-698611</v>
      </c>
      <c r="Y88" s="172">
        <f>IFERROR(Vertailu[[#This Row],[Muutos, € 3]]/Vertailu[[#This Row],[Rahoitus ml. hark. kor. + alv 2024, €]],0)</f>
        <v>-4.7364379225548321E-2</v>
      </c>
      <c r="Z88" s="170">
        <f>IFERROR(VLOOKUP(Vertailu[[#This Row],[Y-tunnus]],'Suoritepäät. 2024 oikaistu'!$B:$N,COLUMN('Suoritepäät. 2024 oikaistu'!H:H),FALSE),0)</f>
        <v>9159266</v>
      </c>
      <c r="AA88" s="170">
        <f>IFERROR(VLOOKUP(Vertailu[[#This Row],[Y-tunnus]],'1.2 Ohjaus-laskentataulu'!A:AQ,COLUMN('1.2 Ohjaus-laskentataulu'!AL:AL),FALSE),0)</f>
        <v>8575703</v>
      </c>
      <c r="AB88" s="170">
        <f>Vertailu[[#This Row],[Perusrahoitus 2025, €]]-Vertailu[[#This Row],[Perusrahoitus 2024, €]]</f>
        <v>-583563</v>
      </c>
      <c r="AC88" s="172">
        <f>IFERROR(Vertailu[[#This Row],[Perusrahoituksen muutos, €]]/Vertailu[[#This Row],[Perusrahoitus 2024, €]],0)</f>
        <v>-6.3712856466882822E-2</v>
      </c>
      <c r="AD88" s="170">
        <f>IFERROR(VLOOKUP(Vertailu[[#This Row],[Y-tunnus]],'Suoritepäät. 2024 oikaistu'!$O:$Y,COLUMN('Suoritepäät. 2024 oikaistu'!D:D),FALSE),0)</f>
        <v>2873243</v>
      </c>
      <c r="AE88" s="170">
        <f>IFERROR(VLOOKUP(Vertailu[[#This Row],[Y-tunnus]],'1.2 Ohjaus-laskentataulu'!A:AQ,COLUMN('1.2 Ohjaus-laskentataulu'!N:N),FALSE),0)</f>
        <v>2905407</v>
      </c>
      <c r="AF88" s="170">
        <f>Vertailu[[#This Row],[Suoritusrahoitus 2025, €]]-Vertailu[[#This Row],[Suoritusrahoitus 2024, €]]</f>
        <v>32164</v>
      </c>
      <c r="AG88" s="172">
        <f>IFERROR(Vertailu[[#This Row],[Suoritusrahoituksen muutos, €]]/Vertailu[[#This Row],[Suoritusrahoitus 2024, €]],0)</f>
        <v>1.119431945018225E-2</v>
      </c>
      <c r="AH88" s="170">
        <f>IFERROR(VLOOKUP(Vertailu[[#This Row],[Y-tunnus]],'Suoritepäät. 2024 oikaistu'!$AB:$AL,COLUMN('Suoritepäät. 2024 oikaistu'!I:I),FALSE),0)</f>
        <v>1964226</v>
      </c>
      <c r="AI8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1781488</v>
      </c>
      <c r="AJ88" s="170">
        <f>Vertailu[[#This Row],[Vaikuttavuusrahoitus 2025, €]]-Vertailu[[#This Row],[Vaikuttavuusrahoitus 2024, €]]</f>
        <v>-182738</v>
      </c>
      <c r="AK88" s="172">
        <f>IFERROR(Vertailu[[#This Row],[Vaikuttavuusrahoituksen muutos, €]]/Vertailu[[#This Row],[Vaikuttavuusrahoitus 2024, €]],0)</f>
        <v>-9.3033082751170185E-2</v>
      </c>
    </row>
    <row r="89" spans="1:37" s="2" customFormat="1" ht="12.75" customHeight="1" x14ac:dyDescent="0.25">
      <c r="A89" s="4" t="s">
        <v>236</v>
      </c>
      <c r="B89" s="161" t="s">
        <v>498</v>
      </c>
      <c r="C89" s="161" t="s">
        <v>223</v>
      </c>
      <c r="D89" s="8" t="s">
        <v>326</v>
      </c>
      <c r="E8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0.71131196783194539</v>
      </c>
      <c r="F8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0.71240108127182311</v>
      </c>
      <c r="G8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0.15612114426614448</v>
      </c>
      <c r="H8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0.1314777744620324</v>
      </c>
      <c r="I8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9.4209401662858405E-2</v>
      </c>
      <c r="J8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4.7191285349899477E-3</v>
      </c>
      <c r="K8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9.549346640847417E-3</v>
      </c>
      <c r="L8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1.8122847639564441E-2</v>
      </c>
      <c r="M8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4.87704998377221E-3</v>
      </c>
      <c r="N8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996033</v>
      </c>
      <c r="O89" s="170">
        <f>IFERROR(VLOOKUP(Vertailu[[#This Row],[Y-tunnus]],'1.2 Ohjaus-laskentataulu'!A:AQ,COLUMN('1.2 Ohjaus-laskentataulu'!AE:AE),FALSE),0)</f>
        <v>917178</v>
      </c>
      <c r="P89" s="170">
        <f>IFERROR(Vertailu[[#This Row],[Rahoitus pl. hark. kor. 2025 ilman alv, €]]-Vertailu[[#This Row],[Rahoitus pl. hark. kor. 2024 ilman alv, €]],0)</f>
        <v>-78855</v>
      </c>
      <c r="Q89" s="172">
        <f>IFERROR(Vertailu[[#This Row],[Muutos, € 1]]/Vertailu[[#This Row],[Rahoitus pl. hark. kor. 2024 ilman alv, €]],0)</f>
        <v>-7.9169063675601115E-2</v>
      </c>
      <c r="R89" s="175">
        <f>IFERROR(VLOOKUP(Vertailu[[#This Row],[Y-tunnus]],'Suoritepäät. 2024 oikaistu'!$AB:$AL,COLUMN('Suoritepäät. 2024 oikaistu'!J:J),FALSE),0)</f>
        <v>996033</v>
      </c>
      <c r="S89" s="176">
        <f>IFERROR(VLOOKUP(Vertailu[[#This Row],[Y-tunnus]],'1.2 Ohjaus-laskentataulu'!A:AQ,COLUMN('1.2 Ohjaus-laskentataulu'!AO:AO),FALSE),0)</f>
        <v>918178</v>
      </c>
      <c r="T89" s="170">
        <f>IFERROR(Vertailu[[#This Row],[Rahoitus ml. hark. kor. 
2025 ilman alv, €]]-Vertailu[[#This Row],[Rahoitus ml. hark. kor. 
2024 ilman alv, €]],0)</f>
        <v>-77855</v>
      </c>
      <c r="U89" s="174">
        <f>IFERROR(Vertailu[[#This Row],[Muutos, € 2]]/Vertailu[[#This Row],[Rahoitus ml. hark. kor. 
2024 ilman alv, €]],0)</f>
        <v>-7.8165080875834431E-2</v>
      </c>
      <c r="V8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1050433</v>
      </c>
      <c r="W89" s="175">
        <f>IFERROR(VLOOKUP(Vertailu[[#This Row],[Y-tunnus]],'1.2 Ohjaus-laskentataulu'!A:AQ,COLUMN('1.2 Ohjaus-laskentataulu'!AQ:AQ),FALSE),0)</f>
        <v>967632</v>
      </c>
      <c r="X89" s="177">
        <f>IFERROR(Vertailu[[#This Row],[Rahoitus ml. hark. kor. + alv 2025, €]]-Vertailu[[#This Row],[Rahoitus ml. hark. kor. + alv 2024, €]],0)</f>
        <v>-82801</v>
      </c>
      <c r="Y89" s="172">
        <f>IFERROR(Vertailu[[#This Row],[Muutos, € 3]]/Vertailu[[#This Row],[Rahoitus ml. hark. kor. + alv 2024, €]],0)</f>
        <v>-7.882558906660396E-2</v>
      </c>
      <c r="Z89" s="170">
        <f>IFERROR(VLOOKUP(Vertailu[[#This Row],[Y-tunnus]],'Suoritepäät. 2024 oikaistu'!$B:$N,COLUMN('Suoritepäät. 2024 oikaistu'!H:H),FALSE),0)</f>
        <v>694037</v>
      </c>
      <c r="AA89" s="170">
        <f>IFERROR(VLOOKUP(Vertailu[[#This Row],[Y-tunnus]],'1.2 Ohjaus-laskentataulu'!A:AQ,COLUMN('1.2 Ohjaus-laskentataulu'!AL:AL),FALSE),0)</f>
        <v>654111</v>
      </c>
      <c r="AB89" s="170">
        <f>Vertailu[[#This Row],[Perusrahoitus 2025, €]]-Vertailu[[#This Row],[Perusrahoitus 2024, €]]</f>
        <v>-39926</v>
      </c>
      <c r="AC89" s="172">
        <f>IFERROR(Vertailu[[#This Row],[Perusrahoituksen muutos, €]]/Vertailu[[#This Row],[Perusrahoitus 2024, €]],0)</f>
        <v>-5.7527192354298116E-2</v>
      </c>
      <c r="AD89" s="170">
        <f>IFERROR(VLOOKUP(Vertailu[[#This Row],[Y-tunnus]],'Suoritepäät. 2024 oikaistu'!$O:$Y,COLUMN('Suoritepäät. 2024 oikaistu'!D:D),FALSE),0)</f>
        <v>224189</v>
      </c>
      <c r="AE89" s="170">
        <f>IFERROR(VLOOKUP(Vertailu[[#This Row],[Y-tunnus]],'1.2 Ohjaus-laskentataulu'!A:AQ,COLUMN('1.2 Ohjaus-laskentataulu'!N:N),FALSE),0)</f>
        <v>143347</v>
      </c>
      <c r="AF89" s="170">
        <f>Vertailu[[#This Row],[Suoritusrahoitus 2025, €]]-Vertailu[[#This Row],[Suoritusrahoitus 2024, €]]</f>
        <v>-80842</v>
      </c>
      <c r="AG89" s="172">
        <f>IFERROR(Vertailu[[#This Row],[Suoritusrahoituksen muutos, €]]/Vertailu[[#This Row],[Suoritusrahoitus 2024, €]],0)</f>
        <v>-0.36059753154704288</v>
      </c>
      <c r="AH89" s="170">
        <f>IFERROR(VLOOKUP(Vertailu[[#This Row],[Y-tunnus]],'Suoritepäät. 2024 oikaistu'!$AB:$AL,COLUMN('Suoritepäät. 2024 oikaistu'!I:I),FALSE),0)</f>
        <v>77807</v>
      </c>
      <c r="AI8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120720</v>
      </c>
      <c r="AJ89" s="170">
        <f>Vertailu[[#This Row],[Vaikuttavuusrahoitus 2025, €]]-Vertailu[[#This Row],[Vaikuttavuusrahoitus 2024, €]]</f>
        <v>42913</v>
      </c>
      <c r="AK89" s="172">
        <f>IFERROR(Vertailu[[#This Row],[Vaikuttavuusrahoituksen muutos, €]]/Vertailu[[#This Row],[Vaikuttavuusrahoitus 2024, €]],0)</f>
        <v>0.55153135322014724</v>
      </c>
    </row>
    <row r="90" spans="1:37" s="2" customFormat="1" ht="12.75" customHeight="1" x14ac:dyDescent="0.25">
      <c r="A90" s="4" t="s">
        <v>243</v>
      </c>
      <c r="B90" s="161" t="s">
        <v>83</v>
      </c>
      <c r="C90" s="161" t="s">
        <v>242</v>
      </c>
      <c r="D90" s="8" t="s">
        <v>325</v>
      </c>
      <c r="E9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0.68879662916897921</v>
      </c>
      <c r="F9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0.69033236602725279</v>
      </c>
      <c r="G9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0.19850624107426784</v>
      </c>
      <c r="H9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0.11116139289847937</v>
      </c>
      <c r="I9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7.553275344472106E-2</v>
      </c>
      <c r="J9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3.8158335583919132E-3</v>
      </c>
      <c r="K9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1.1477641620548011E-2</v>
      </c>
      <c r="L9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1.4394815973411704E-2</v>
      </c>
      <c r="M9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5.9403483014066859E-3</v>
      </c>
      <c r="N9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62106442</v>
      </c>
      <c r="O90" s="170">
        <f>IFERROR(VLOOKUP(Vertailu[[#This Row],[Y-tunnus]],'1.2 Ohjaus-laskentataulu'!A:AQ,COLUMN('1.2 Ohjaus-laskentataulu'!AE:AE),FALSE),0)</f>
        <v>59163943</v>
      </c>
      <c r="P90" s="170">
        <f>IFERROR(Vertailu[[#This Row],[Rahoitus pl. hark. kor. 2025 ilman alv, €]]-Vertailu[[#This Row],[Rahoitus pl. hark. kor. 2024 ilman alv, €]],0)</f>
        <v>-2942499</v>
      </c>
      <c r="Q90" s="172">
        <f>IFERROR(Vertailu[[#This Row],[Muutos, € 1]]/Vertailu[[#This Row],[Rahoitus pl. hark. kor. 2024 ilman alv, €]],0)</f>
        <v>-4.7378321881649574E-2</v>
      </c>
      <c r="R90" s="175">
        <f>IFERROR(VLOOKUP(Vertailu[[#This Row],[Y-tunnus]],'Suoritepäät. 2024 oikaistu'!$AB:$AL,COLUMN('Suoritepäät. 2024 oikaistu'!J:J),FALSE),0)</f>
        <v>62407108</v>
      </c>
      <c r="S90" s="176">
        <f>IFERROR(VLOOKUP(Vertailu[[#This Row],[Y-tunnus]],'1.2 Ohjaus-laskentataulu'!A:AQ,COLUMN('1.2 Ohjaus-laskentataulu'!AO:AO),FALSE),0)</f>
        <v>59254943</v>
      </c>
      <c r="T90" s="170">
        <f>IFERROR(Vertailu[[#This Row],[Rahoitus ml. hark. kor. 
2025 ilman alv, €]]-Vertailu[[#This Row],[Rahoitus ml. hark. kor. 
2024 ilman alv, €]],0)</f>
        <v>-3152165</v>
      </c>
      <c r="U90" s="174">
        <f>IFERROR(Vertailu[[#This Row],[Muutos, € 2]]/Vertailu[[#This Row],[Rahoitus ml. hark. kor. 
2024 ilman alv, €]],0)</f>
        <v>-5.0509711169439225E-2</v>
      </c>
      <c r="V9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62407108</v>
      </c>
      <c r="W90" s="175">
        <f>IFERROR(VLOOKUP(Vertailu[[#This Row],[Y-tunnus]],'1.2 Ohjaus-laskentataulu'!A:AQ,COLUMN('1.2 Ohjaus-laskentataulu'!AQ:AQ),FALSE),0)</f>
        <v>59254943</v>
      </c>
      <c r="X90" s="177">
        <f>IFERROR(Vertailu[[#This Row],[Rahoitus ml. hark. kor. + alv 2025, €]]-Vertailu[[#This Row],[Rahoitus ml. hark. kor. + alv 2024, €]],0)</f>
        <v>-3152165</v>
      </c>
      <c r="Y90" s="172">
        <f>IFERROR(Vertailu[[#This Row],[Muutos, € 3]]/Vertailu[[#This Row],[Rahoitus ml. hark. kor. + alv 2024, €]],0)</f>
        <v>-5.0509711169439225E-2</v>
      </c>
      <c r="Z90" s="170">
        <f>IFERROR(VLOOKUP(Vertailu[[#This Row],[Y-tunnus]],'Suoritepäät. 2024 oikaistu'!$B:$N,COLUMN('Suoritepäät. 2024 oikaistu'!H:H),FALSE),0)</f>
        <v>43384193</v>
      </c>
      <c r="AA90" s="170">
        <f>IFERROR(VLOOKUP(Vertailu[[#This Row],[Y-tunnus]],'1.2 Ohjaus-laskentataulu'!A:AQ,COLUMN('1.2 Ohjaus-laskentataulu'!AL:AL),FALSE),0)</f>
        <v>40905605</v>
      </c>
      <c r="AB90" s="170">
        <f>Vertailu[[#This Row],[Perusrahoitus 2025, €]]-Vertailu[[#This Row],[Perusrahoitus 2024, €]]</f>
        <v>-2478588</v>
      </c>
      <c r="AC90" s="172">
        <f>IFERROR(Vertailu[[#This Row],[Perusrahoituksen muutos, €]]/Vertailu[[#This Row],[Perusrahoitus 2024, €]],0)</f>
        <v>-5.7131130686238651E-2</v>
      </c>
      <c r="AD90" s="170">
        <f>IFERROR(VLOOKUP(Vertailu[[#This Row],[Y-tunnus]],'Suoritepäät. 2024 oikaistu'!$O:$Y,COLUMN('Suoritepäät. 2024 oikaistu'!D:D),FALSE),0)</f>
        <v>12428223</v>
      </c>
      <c r="AE90" s="170">
        <f>IFERROR(VLOOKUP(Vertailu[[#This Row],[Y-tunnus]],'1.2 Ohjaus-laskentataulu'!A:AQ,COLUMN('1.2 Ohjaus-laskentataulu'!N:N),FALSE),0)</f>
        <v>11762476</v>
      </c>
      <c r="AF90" s="170">
        <f>Vertailu[[#This Row],[Suoritusrahoitus 2025, €]]-Vertailu[[#This Row],[Suoritusrahoitus 2024, €]]</f>
        <v>-665747</v>
      </c>
      <c r="AG90" s="172">
        <f>IFERROR(Vertailu[[#This Row],[Suoritusrahoituksen muutos, €]]/Vertailu[[#This Row],[Suoritusrahoitus 2024, €]],0)</f>
        <v>-5.3567352307727342E-2</v>
      </c>
      <c r="AH90" s="170">
        <f>IFERROR(VLOOKUP(Vertailu[[#This Row],[Y-tunnus]],'Suoritepäät. 2024 oikaistu'!$AB:$AL,COLUMN('Suoritepäät. 2024 oikaistu'!I:I),FALSE),0)</f>
        <v>6594692</v>
      </c>
      <c r="AI9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6586862</v>
      </c>
      <c r="AJ90" s="170">
        <f>Vertailu[[#This Row],[Vaikuttavuusrahoitus 2025, €]]-Vertailu[[#This Row],[Vaikuttavuusrahoitus 2024, €]]</f>
        <v>-7830</v>
      </c>
      <c r="AK90" s="172">
        <f>IFERROR(Vertailu[[#This Row],[Vaikuttavuusrahoituksen muutos, €]]/Vertailu[[#This Row],[Vaikuttavuusrahoitus 2024, €]],0)</f>
        <v>-1.1873185282951805E-3</v>
      </c>
    </row>
    <row r="91" spans="1:37" s="2" customFormat="1" ht="12.75" customHeight="1" x14ac:dyDescent="0.25">
      <c r="A91" s="4" t="s">
        <v>233</v>
      </c>
      <c r="B91" s="161" t="s">
        <v>492</v>
      </c>
      <c r="C91" s="161" t="s">
        <v>215</v>
      </c>
      <c r="D91" s="8" t="s">
        <v>326</v>
      </c>
      <c r="E9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0.57266826401524562</v>
      </c>
      <c r="F9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0.57580134393463145</v>
      </c>
      <c r="G9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0.2493516482741821</v>
      </c>
      <c r="H9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0.17484700779118648</v>
      </c>
      <c r="I9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0.10778186557677259</v>
      </c>
      <c r="J9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5.5643499368292762E-3</v>
      </c>
      <c r="K9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1.9056175339684608E-2</v>
      </c>
      <c r="L9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3.6914730880183974E-2</v>
      </c>
      <c r="M9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5.529886057716032E-3</v>
      </c>
      <c r="N9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1389960</v>
      </c>
      <c r="O91" s="170">
        <f>IFERROR(VLOOKUP(Vertailu[[#This Row],[Y-tunnus]],'1.2 Ohjaus-laskentataulu'!A:AQ,COLUMN('1.2 Ohjaus-laskentataulu'!AE:AE),FALSE),0)</f>
        <v>1272699</v>
      </c>
      <c r="P91" s="170">
        <f>IFERROR(Vertailu[[#This Row],[Rahoitus pl. hark. kor. 2025 ilman alv, €]]-Vertailu[[#This Row],[Rahoitus pl. hark. kor. 2024 ilman alv, €]],0)</f>
        <v>-117261</v>
      </c>
      <c r="Q91" s="172">
        <f>IFERROR(Vertailu[[#This Row],[Muutos, € 1]]/Vertailu[[#This Row],[Rahoitus pl. hark. kor. 2024 ilman alv, €]],0)</f>
        <v>-8.4362859362859366E-2</v>
      </c>
      <c r="R91" s="175">
        <f>IFERROR(VLOOKUP(Vertailu[[#This Row],[Y-tunnus]],'Suoritepäät. 2024 oikaistu'!$AB:$AL,COLUMN('Suoritepäät. 2024 oikaistu'!J:J),FALSE),0)</f>
        <v>1389960</v>
      </c>
      <c r="S91" s="176">
        <f>IFERROR(VLOOKUP(Vertailu[[#This Row],[Y-tunnus]],'1.2 Ohjaus-laskentataulu'!A:AQ,COLUMN('1.2 Ohjaus-laskentataulu'!AO:AO),FALSE),0)</f>
        <v>1276699</v>
      </c>
      <c r="T91" s="170">
        <f>IFERROR(Vertailu[[#This Row],[Rahoitus ml. hark. kor. 
2025 ilman alv, €]]-Vertailu[[#This Row],[Rahoitus ml. hark. kor. 
2024 ilman alv, €]],0)</f>
        <v>-113261</v>
      </c>
      <c r="U91" s="174">
        <f>IFERROR(Vertailu[[#This Row],[Muutos, € 2]]/Vertailu[[#This Row],[Rahoitus ml. hark. kor. 
2024 ilman alv, €]],0)</f>
        <v>-8.1485078707300929E-2</v>
      </c>
      <c r="V9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1445225</v>
      </c>
      <c r="W91" s="175">
        <f>IFERROR(VLOOKUP(Vertailu[[#This Row],[Y-tunnus]],'1.2 Ohjaus-laskentataulu'!A:AQ,COLUMN('1.2 Ohjaus-laskentataulu'!AQ:AQ),FALSE),0)</f>
        <v>1342522</v>
      </c>
      <c r="X91" s="177">
        <f>IFERROR(Vertailu[[#This Row],[Rahoitus ml. hark. kor. + alv 2025, €]]-Vertailu[[#This Row],[Rahoitus ml. hark. kor. + alv 2024, €]],0)</f>
        <v>-102703</v>
      </c>
      <c r="Y91" s="172">
        <f>IFERROR(Vertailu[[#This Row],[Muutos, € 3]]/Vertailu[[#This Row],[Rahoitus ml. hark. kor. + alv 2024, €]],0)</f>
        <v>-7.1063675206282761E-2</v>
      </c>
      <c r="Z91" s="170">
        <f>IFERROR(VLOOKUP(Vertailu[[#This Row],[Y-tunnus]],'Suoritepäät. 2024 oikaistu'!$B:$N,COLUMN('Suoritepäät. 2024 oikaistu'!H:H),FALSE),0)</f>
        <v>836666</v>
      </c>
      <c r="AA91" s="170">
        <f>IFERROR(VLOOKUP(Vertailu[[#This Row],[Y-tunnus]],'1.2 Ohjaus-laskentataulu'!A:AQ,COLUMN('1.2 Ohjaus-laskentataulu'!AL:AL),FALSE),0)</f>
        <v>735125</v>
      </c>
      <c r="AB91" s="170">
        <f>Vertailu[[#This Row],[Perusrahoitus 2025, €]]-Vertailu[[#This Row],[Perusrahoitus 2024, €]]</f>
        <v>-101541</v>
      </c>
      <c r="AC91" s="172">
        <f>IFERROR(Vertailu[[#This Row],[Perusrahoituksen muutos, €]]/Vertailu[[#This Row],[Perusrahoitus 2024, €]],0)</f>
        <v>-0.12136384172417668</v>
      </c>
      <c r="AD91" s="170">
        <f>IFERROR(VLOOKUP(Vertailu[[#This Row],[Y-tunnus]],'Suoritepäät. 2024 oikaistu'!$O:$Y,COLUMN('Suoritepäät. 2024 oikaistu'!D:D),FALSE),0)</f>
        <v>329706</v>
      </c>
      <c r="AE91" s="170">
        <f>IFERROR(VLOOKUP(Vertailu[[#This Row],[Y-tunnus]],'1.2 Ohjaus-laskentataulu'!A:AQ,COLUMN('1.2 Ohjaus-laskentataulu'!N:N),FALSE),0)</f>
        <v>318347</v>
      </c>
      <c r="AF91" s="170">
        <f>Vertailu[[#This Row],[Suoritusrahoitus 2025, €]]-Vertailu[[#This Row],[Suoritusrahoitus 2024, €]]</f>
        <v>-11359</v>
      </c>
      <c r="AG91" s="172">
        <f>IFERROR(Vertailu[[#This Row],[Suoritusrahoituksen muutos, €]]/Vertailu[[#This Row],[Suoritusrahoitus 2024, €]],0)</f>
        <v>-3.4451905637143392E-2</v>
      </c>
      <c r="AH91" s="170">
        <f>IFERROR(VLOOKUP(Vertailu[[#This Row],[Y-tunnus]],'Suoritepäät. 2024 oikaistu'!$AB:$AL,COLUMN('Suoritepäät. 2024 oikaistu'!I:I),FALSE),0)</f>
        <v>223588</v>
      </c>
      <c r="AI9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223227</v>
      </c>
      <c r="AJ91" s="170">
        <f>Vertailu[[#This Row],[Vaikuttavuusrahoitus 2025, €]]-Vertailu[[#This Row],[Vaikuttavuusrahoitus 2024, €]]</f>
        <v>-361</v>
      </c>
      <c r="AK91" s="172">
        <f>IFERROR(Vertailu[[#This Row],[Vaikuttavuusrahoituksen muutos, €]]/Vertailu[[#This Row],[Vaikuttavuusrahoitus 2024, €]],0)</f>
        <v>-1.6145768109200851E-3</v>
      </c>
    </row>
    <row r="92" spans="1:37" s="2" customFormat="1" ht="12.75" customHeight="1" x14ac:dyDescent="0.25">
      <c r="A92" s="4" t="s">
        <v>232</v>
      </c>
      <c r="B92" s="161" t="s">
        <v>85</v>
      </c>
      <c r="C92" s="161" t="s">
        <v>178</v>
      </c>
      <c r="D92" s="8" t="s">
        <v>326</v>
      </c>
      <c r="E9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0.70917718790755857</v>
      </c>
      <c r="F9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0.70917718790755857</v>
      </c>
      <c r="G9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0.17866635361274619</v>
      </c>
      <c r="H9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0.11215645847969521</v>
      </c>
      <c r="I9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7.7959597701254851E-2</v>
      </c>
      <c r="J9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7.357378564733375E-3</v>
      </c>
      <c r="K9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1.6616926556449675E-2</v>
      </c>
      <c r="L9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8.6964177949142192E-3</v>
      </c>
      <c r="M9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1.5261378623430985E-3</v>
      </c>
      <c r="N9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582096</v>
      </c>
      <c r="O92" s="170">
        <f>IFERROR(VLOOKUP(Vertailu[[#This Row],[Y-tunnus]],'1.2 Ohjaus-laskentataulu'!A:AQ,COLUMN('1.2 Ohjaus-laskentataulu'!AE:AE),FALSE),0)</f>
        <v>545167</v>
      </c>
      <c r="P92" s="170">
        <f>IFERROR(Vertailu[[#This Row],[Rahoitus pl. hark. kor. 2025 ilman alv, €]]-Vertailu[[#This Row],[Rahoitus pl. hark. kor. 2024 ilman alv, €]],0)</f>
        <v>-36929</v>
      </c>
      <c r="Q92" s="172">
        <f>IFERROR(Vertailu[[#This Row],[Muutos, € 1]]/Vertailu[[#This Row],[Rahoitus pl. hark. kor. 2024 ilman alv, €]],0)</f>
        <v>-6.3441425469338397E-2</v>
      </c>
      <c r="R92" s="175">
        <f>IFERROR(VLOOKUP(Vertailu[[#This Row],[Y-tunnus]],'Suoritepäät. 2024 oikaistu'!$AB:$AL,COLUMN('Suoritepäät. 2024 oikaistu'!J:J),FALSE),0)</f>
        <v>582096</v>
      </c>
      <c r="S92" s="176">
        <f>IFERROR(VLOOKUP(Vertailu[[#This Row],[Y-tunnus]],'1.2 Ohjaus-laskentataulu'!A:AQ,COLUMN('1.2 Ohjaus-laskentataulu'!AO:AO),FALSE),0)</f>
        <v>545167</v>
      </c>
      <c r="T92" s="170">
        <f>IFERROR(Vertailu[[#This Row],[Rahoitus ml. hark. kor. 
2025 ilman alv, €]]-Vertailu[[#This Row],[Rahoitus ml. hark. kor. 
2024 ilman alv, €]],0)</f>
        <v>-36929</v>
      </c>
      <c r="U92" s="174">
        <f>IFERROR(Vertailu[[#This Row],[Muutos, € 2]]/Vertailu[[#This Row],[Rahoitus ml. hark. kor. 
2024 ilman alv, €]],0)</f>
        <v>-6.3441425469338397E-2</v>
      </c>
      <c r="V9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627088</v>
      </c>
      <c r="W92" s="175">
        <f>IFERROR(VLOOKUP(Vertailu[[#This Row],[Y-tunnus]],'1.2 Ohjaus-laskentataulu'!A:AQ,COLUMN('1.2 Ohjaus-laskentataulu'!AQ:AQ),FALSE),0)</f>
        <v>580753</v>
      </c>
      <c r="X92" s="177">
        <f>IFERROR(Vertailu[[#This Row],[Rahoitus ml. hark. kor. + alv 2025, €]]-Vertailu[[#This Row],[Rahoitus ml. hark. kor. + alv 2024, €]],0)</f>
        <v>-46335</v>
      </c>
      <c r="Y92" s="172">
        <f>IFERROR(Vertailu[[#This Row],[Muutos, € 3]]/Vertailu[[#This Row],[Rahoitus ml. hark. kor. + alv 2024, €]],0)</f>
        <v>-7.388915112392519E-2</v>
      </c>
      <c r="Z92" s="170">
        <f>IFERROR(VLOOKUP(Vertailu[[#This Row],[Y-tunnus]],'Suoritepäät. 2024 oikaistu'!$B:$N,COLUMN('Suoritepäät. 2024 oikaistu'!H:H),FALSE),0)</f>
        <v>404002</v>
      </c>
      <c r="AA92" s="170">
        <f>IFERROR(VLOOKUP(Vertailu[[#This Row],[Y-tunnus]],'1.2 Ohjaus-laskentataulu'!A:AQ,COLUMN('1.2 Ohjaus-laskentataulu'!AL:AL),FALSE),0)</f>
        <v>386620</v>
      </c>
      <c r="AB92" s="170">
        <f>Vertailu[[#This Row],[Perusrahoitus 2025, €]]-Vertailu[[#This Row],[Perusrahoitus 2024, €]]</f>
        <v>-17382</v>
      </c>
      <c r="AC92" s="172">
        <f>IFERROR(Vertailu[[#This Row],[Perusrahoituksen muutos, €]]/Vertailu[[#This Row],[Perusrahoitus 2024, €]],0)</f>
        <v>-4.3024539482477808E-2</v>
      </c>
      <c r="AD92" s="170">
        <f>IFERROR(VLOOKUP(Vertailu[[#This Row],[Y-tunnus]],'Suoritepäät. 2024 oikaistu'!$O:$Y,COLUMN('Suoritepäät. 2024 oikaistu'!D:D),FALSE),0)</f>
        <v>114509</v>
      </c>
      <c r="AE92" s="170">
        <f>IFERROR(VLOOKUP(Vertailu[[#This Row],[Y-tunnus]],'1.2 Ohjaus-laskentataulu'!A:AQ,COLUMN('1.2 Ohjaus-laskentataulu'!N:N),FALSE),0)</f>
        <v>97403</v>
      </c>
      <c r="AF92" s="170">
        <f>Vertailu[[#This Row],[Suoritusrahoitus 2025, €]]-Vertailu[[#This Row],[Suoritusrahoitus 2024, €]]</f>
        <v>-17106</v>
      </c>
      <c r="AG92" s="172">
        <f>IFERROR(Vertailu[[#This Row],[Suoritusrahoituksen muutos, €]]/Vertailu[[#This Row],[Suoritusrahoitus 2024, €]],0)</f>
        <v>-0.14938563781012845</v>
      </c>
      <c r="AH92" s="170">
        <f>IFERROR(VLOOKUP(Vertailu[[#This Row],[Y-tunnus]],'Suoritepäät. 2024 oikaistu'!$AB:$AL,COLUMN('Suoritepäät. 2024 oikaistu'!I:I),FALSE),0)</f>
        <v>63585</v>
      </c>
      <c r="AI9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61144</v>
      </c>
      <c r="AJ92" s="170">
        <f>Vertailu[[#This Row],[Vaikuttavuusrahoitus 2025, €]]-Vertailu[[#This Row],[Vaikuttavuusrahoitus 2024, €]]</f>
        <v>-2441</v>
      </c>
      <c r="AK92" s="172">
        <f>IFERROR(Vertailu[[#This Row],[Vaikuttavuusrahoituksen muutos, €]]/Vertailu[[#This Row],[Vaikuttavuusrahoitus 2024, €]],0)</f>
        <v>-3.8389557285523318E-2</v>
      </c>
    </row>
    <row r="93" spans="1:37" s="2" customFormat="1" ht="12.75" customHeight="1" x14ac:dyDescent="0.25">
      <c r="A93" s="4" t="s">
        <v>231</v>
      </c>
      <c r="B93" s="161" t="s">
        <v>86</v>
      </c>
      <c r="C93" s="161" t="s">
        <v>181</v>
      </c>
      <c r="D93" s="8" t="s">
        <v>326</v>
      </c>
      <c r="E9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0.5622900111536816</v>
      </c>
      <c r="F9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0.56486195925862737</v>
      </c>
      <c r="G9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0.27130237450822209</v>
      </c>
      <c r="H9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0.16383566623315052</v>
      </c>
      <c r="I9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0.10578851213659445</v>
      </c>
      <c r="J9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9.2761594985044122E-3</v>
      </c>
      <c r="K9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2.5797925466658551E-2</v>
      </c>
      <c r="L9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1.5544854346292237E-2</v>
      </c>
      <c r="M9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7.4282147851008765E-3</v>
      </c>
      <c r="N9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2970836</v>
      </c>
      <c r="O93" s="170">
        <f>IFERROR(VLOOKUP(Vertailu[[#This Row],[Y-tunnus]],'1.2 Ohjaus-laskentataulu'!A:AQ,COLUMN('1.2 Ohjaus-laskentataulu'!AE:AE),FALSE),0)</f>
        <v>2326862</v>
      </c>
      <c r="P93" s="170">
        <f>IFERROR(Vertailu[[#This Row],[Rahoitus pl. hark. kor. 2025 ilman alv, €]]-Vertailu[[#This Row],[Rahoitus pl. hark. kor. 2024 ilman alv, €]],0)</f>
        <v>-643974</v>
      </c>
      <c r="Q93" s="172">
        <f>IFERROR(Vertailu[[#This Row],[Muutos, € 1]]/Vertailu[[#This Row],[Rahoitus pl. hark. kor. 2024 ilman alv, €]],0)</f>
        <v>-0.21676524722334051</v>
      </c>
      <c r="R93" s="175">
        <f>IFERROR(VLOOKUP(Vertailu[[#This Row],[Y-tunnus]],'Suoritepäät. 2024 oikaistu'!$AB:$AL,COLUMN('Suoritepäät. 2024 oikaistu'!J:J),FALSE),0)</f>
        <v>2977836</v>
      </c>
      <c r="S93" s="176">
        <f>IFERROR(VLOOKUP(Vertailu[[#This Row],[Y-tunnus]],'1.2 Ohjaus-laskentataulu'!A:AQ,COLUMN('1.2 Ohjaus-laskentataulu'!AO:AO),FALSE),0)</f>
        <v>2332862</v>
      </c>
      <c r="T93" s="170">
        <f>IFERROR(Vertailu[[#This Row],[Rahoitus ml. hark. kor. 
2025 ilman alv, €]]-Vertailu[[#This Row],[Rahoitus ml. hark. kor. 
2024 ilman alv, €]],0)</f>
        <v>-644974</v>
      </c>
      <c r="U93" s="174">
        <f>IFERROR(Vertailu[[#This Row],[Muutos, € 2]]/Vertailu[[#This Row],[Rahoitus ml. hark. kor. 
2024 ilman alv, €]],0)</f>
        <v>-0.21659151141970209</v>
      </c>
      <c r="V9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3115355</v>
      </c>
      <c r="W93" s="175">
        <f>IFERROR(VLOOKUP(Vertailu[[#This Row],[Y-tunnus]],'1.2 Ohjaus-laskentataulu'!A:AQ,COLUMN('1.2 Ohjaus-laskentataulu'!AQ:AQ),FALSE),0)</f>
        <v>2503578</v>
      </c>
      <c r="X93" s="177">
        <f>IFERROR(Vertailu[[#This Row],[Rahoitus ml. hark. kor. + alv 2025, €]]-Vertailu[[#This Row],[Rahoitus ml. hark. kor. + alv 2024, €]],0)</f>
        <v>-611777</v>
      </c>
      <c r="Y93" s="172">
        <f>IFERROR(Vertailu[[#This Row],[Muutos, € 3]]/Vertailu[[#This Row],[Rahoitus ml. hark. kor. + alv 2024, €]],0)</f>
        <v>-0.19637473096966476</v>
      </c>
      <c r="Z93" s="170">
        <f>IFERROR(VLOOKUP(Vertailu[[#This Row],[Y-tunnus]],'Suoritepäät. 2024 oikaistu'!$B:$N,COLUMN('Suoritepäät. 2024 oikaistu'!H:H),FALSE),0)</f>
        <v>1747211</v>
      </c>
      <c r="AA93" s="170">
        <f>IFERROR(VLOOKUP(Vertailu[[#This Row],[Y-tunnus]],'1.2 Ohjaus-laskentataulu'!A:AQ,COLUMN('1.2 Ohjaus-laskentataulu'!AL:AL),FALSE),0)</f>
        <v>1317745</v>
      </c>
      <c r="AB93" s="170">
        <f>Vertailu[[#This Row],[Perusrahoitus 2025, €]]-Vertailu[[#This Row],[Perusrahoitus 2024, €]]</f>
        <v>-429466</v>
      </c>
      <c r="AC93" s="172">
        <f>IFERROR(Vertailu[[#This Row],[Perusrahoituksen muutos, €]]/Vertailu[[#This Row],[Perusrahoitus 2024, €]],0)</f>
        <v>-0.24580087922981253</v>
      </c>
      <c r="AD93" s="170">
        <f>IFERROR(VLOOKUP(Vertailu[[#This Row],[Y-tunnus]],'Suoritepäät. 2024 oikaistu'!$O:$Y,COLUMN('Suoritepäät. 2024 oikaistu'!D:D),FALSE),0)</f>
        <v>829858</v>
      </c>
      <c r="AE93" s="170">
        <f>IFERROR(VLOOKUP(Vertailu[[#This Row],[Y-tunnus]],'1.2 Ohjaus-laskentataulu'!A:AQ,COLUMN('1.2 Ohjaus-laskentataulu'!N:N),FALSE),0)</f>
        <v>632911</v>
      </c>
      <c r="AF93" s="170">
        <f>Vertailu[[#This Row],[Suoritusrahoitus 2025, €]]-Vertailu[[#This Row],[Suoritusrahoitus 2024, €]]</f>
        <v>-196947</v>
      </c>
      <c r="AG93" s="172">
        <f>IFERROR(Vertailu[[#This Row],[Suoritusrahoituksen muutos, €]]/Vertailu[[#This Row],[Suoritusrahoitus 2024, €]],0)</f>
        <v>-0.23732614495491999</v>
      </c>
      <c r="AH93" s="170">
        <f>IFERROR(VLOOKUP(Vertailu[[#This Row],[Y-tunnus]],'Suoritepäät. 2024 oikaistu'!$AB:$AL,COLUMN('Suoritepäät. 2024 oikaistu'!I:I),FALSE),0)</f>
        <v>400767</v>
      </c>
      <c r="AI9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382206</v>
      </c>
      <c r="AJ93" s="170">
        <f>Vertailu[[#This Row],[Vaikuttavuusrahoitus 2025, €]]-Vertailu[[#This Row],[Vaikuttavuusrahoitus 2024, €]]</f>
        <v>-18561</v>
      </c>
      <c r="AK93" s="172">
        <f>IFERROR(Vertailu[[#This Row],[Vaikuttavuusrahoituksen muutos, €]]/Vertailu[[#This Row],[Vaikuttavuusrahoitus 2024, €]],0)</f>
        <v>-4.6313693492727695E-2</v>
      </c>
    </row>
    <row r="94" spans="1:37" s="2" customFormat="1" ht="12.75" customHeight="1" x14ac:dyDescent="0.25">
      <c r="A94" s="4" t="s">
        <v>235</v>
      </c>
      <c r="B94" s="161" t="s">
        <v>87</v>
      </c>
      <c r="C94" s="161" t="s">
        <v>174</v>
      </c>
      <c r="D94" s="8" t="s">
        <v>326</v>
      </c>
      <c r="E9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0.61730501825809181</v>
      </c>
      <c r="F9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0.61730501825809181</v>
      </c>
      <c r="G9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0.28457972774770557</v>
      </c>
      <c r="H9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9.8115253994202678E-2</v>
      </c>
      <c r="I9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7.6659335044667612E-2</v>
      </c>
      <c r="J9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2.9401186131693558E-3</v>
      </c>
      <c r="K9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1.4268651097334285E-2</v>
      </c>
      <c r="L9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2.893619023822356E-3</v>
      </c>
      <c r="M9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1.3535302152090632E-3</v>
      </c>
      <c r="N9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1888812</v>
      </c>
      <c r="O94" s="170">
        <f>IFERROR(VLOOKUP(Vertailu[[#This Row],[Y-tunnus]],'1.2 Ohjaus-laskentataulu'!A:AQ,COLUMN('1.2 Ohjaus-laskentataulu'!AE:AE),FALSE),0)</f>
        <v>1784962</v>
      </c>
      <c r="P94" s="170">
        <f>IFERROR(Vertailu[[#This Row],[Rahoitus pl. hark. kor. 2025 ilman alv, €]]-Vertailu[[#This Row],[Rahoitus pl. hark. kor. 2024 ilman alv, €]],0)</f>
        <v>-103850</v>
      </c>
      <c r="Q94" s="172">
        <f>IFERROR(Vertailu[[#This Row],[Muutos, € 1]]/Vertailu[[#This Row],[Rahoitus pl. hark. kor. 2024 ilman alv, €]],0)</f>
        <v>-5.498164984127589E-2</v>
      </c>
      <c r="R94" s="175">
        <f>IFERROR(VLOOKUP(Vertailu[[#This Row],[Y-tunnus]],'Suoritepäät. 2024 oikaistu'!$AB:$AL,COLUMN('Suoritepäät. 2024 oikaistu'!J:J),FALSE),0)</f>
        <v>1888812</v>
      </c>
      <c r="S94" s="176">
        <f>IFERROR(VLOOKUP(Vertailu[[#This Row],[Y-tunnus]],'1.2 Ohjaus-laskentataulu'!A:AQ,COLUMN('1.2 Ohjaus-laskentataulu'!AO:AO),FALSE),0)</f>
        <v>1784962</v>
      </c>
      <c r="T94" s="170">
        <f>IFERROR(Vertailu[[#This Row],[Rahoitus ml. hark. kor. 
2025 ilman alv, €]]-Vertailu[[#This Row],[Rahoitus ml. hark. kor. 
2024 ilman alv, €]],0)</f>
        <v>-103850</v>
      </c>
      <c r="U94" s="174">
        <f>IFERROR(Vertailu[[#This Row],[Muutos, € 2]]/Vertailu[[#This Row],[Rahoitus ml. hark. kor. 
2024 ilman alv, €]],0)</f>
        <v>-5.498164984127589E-2</v>
      </c>
      <c r="V9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2019952</v>
      </c>
      <c r="W94" s="175">
        <f>IFERROR(VLOOKUP(Vertailu[[#This Row],[Y-tunnus]],'1.2 Ohjaus-laskentataulu'!A:AQ,COLUMN('1.2 Ohjaus-laskentataulu'!AQ:AQ),FALSE),0)</f>
        <v>1912359</v>
      </c>
      <c r="X94" s="177">
        <f>IFERROR(Vertailu[[#This Row],[Rahoitus ml. hark. kor. + alv 2025, €]]-Vertailu[[#This Row],[Rahoitus ml. hark. kor. + alv 2024, €]],0)</f>
        <v>-107593</v>
      </c>
      <c r="Y94" s="172">
        <f>IFERROR(Vertailu[[#This Row],[Muutos, € 3]]/Vertailu[[#This Row],[Rahoitus ml. hark. kor. + alv 2024, €]],0)</f>
        <v>-5.3265127092128925E-2</v>
      </c>
      <c r="Z94" s="170">
        <f>IFERROR(VLOOKUP(Vertailu[[#This Row],[Y-tunnus]],'Suoritepäät. 2024 oikaistu'!$B:$N,COLUMN('Suoritepäät. 2024 oikaistu'!H:H),FALSE),0)</f>
        <v>1134208</v>
      </c>
      <c r="AA94" s="170">
        <f>IFERROR(VLOOKUP(Vertailu[[#This Row],[Y-tunnus]],'1.2 Ohjaus-laskentataulu'!A:AQ,COLUMN('1.2 Ohjaus-laskentataulu'!AL:AL),FALSE),0)</f>
        <v>1101866</v>
      </c>
      <c r="AB94" s="170">
        <f>Vertailu[[#This Row],[Perusrahoitus 2025, €]]-Vertailu[[#This Row],[Perusrahoitus 2024, €]]</f>
        <v>-32342</v>
      </c>
      <c r="AC94" s="172">
        <f>IFERROR(Vertailu[[#This Row],[Perusrahoituksen muutos, €]]/Vertailu[[#This Row],[Perusrahoitus 2024, €]],0)</f>
        <v>-2.8515051912876649E-2</v>
      </c>
      <c r="AD94" s="170">
        <f>IFERROR(VLOOKUP(Vertailu[[#This Row],[Y-tunnus]],'Suoritepäät. 2024 oikaistu'!$O:$Y,COLUMN('Suoritepäät. 2024 oikaistu'!D:D),FALSE),0)</f>
        <v>521500</v>
      </c>
      <c r="AE94" s="170">
        <f>IFERROR(VLOOKUP(Vertailu[[#This Row],[Y-tunnus]],'1.2 Ohjaus-laskentataulu'!A:AQ,COLUMN('1.2 Ohjaus-laskentataulu'!N:N),FALSE),0)</f>
        <v>507964</v>
      </c>
      <c r="AF94" s="170">
        <f>Vertailu[[#This Row],[Suoritusrahoitus 2025, €]]-Vertailu[[#This Row],[Suoritusrahoitus 2024, €]]</f>
        <v>-13536</v>
      </c>
      <c r="AG94" s="172">
        <f>IFERROR(Vertailu[[#This Row],[Suoritusrahoituksen muutos, €]]/Vertailu[[#This Row],[Suoritusrahoitus 2024, €]],0)</f>
        <v>-2.5955896452540747E-2</v>
      </c>
      <c r="AH94" s="170">
        <f>IFERROR(VLOOKUP(Vertailu[[#This Row],[Y-tunnus]],'Suoritepäät. 2024 oikaistu'!$AB:$AL,COLUMN('Suoritepäät. 2024 oikaistu'!I:I),FALSE),0)</f>
        <v>233104</v>
      </c>
      <c r="AI9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175132</v>
      </c>
      <c r="AJ94" s="170">
        <f>Vertailu[[#This Row],[Vaikuttavuusrahoitus 2025, €]]-Vertailu[[#This Row],[Vaikuttavuusrahoitus 2024, €]]</f>
        <v>-57972</v>
      </c>
      <c r="AK94" s="172">
        <f>IFERROR(Vertailu[[#This Row],[Vaikuttavuusrahoituksen muutos, €]]/Vertailu[[#This Row],[Vaikuttavuusrahoitus 2024, €]],0)</f>
        <v>-0.24869586107488503</v>
      </c>
    </row>
    <row r="95" spans="1:37" s="2" customFormat="1" ht="12.75" customHeight="1" x14ac:dyDescent="0.25">
      <c r="A95" s="4" t="s">
        <v>234</v>
      </c>
      <c r="B95" s="161" t="s">
        <v>88</v>
      </c>
      <c r="C95" s="161" t="s">
        <v>178</v>
      </c>
      <c r="D95" s="8" t="s">
        <v>326</v>
      </c>
      <c r="E9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0.68260734511850807</v>
      </c>
      <c r="F9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0.68260734511850807</v>
      </c>
      <c r="G9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0.19503364155244809</v>
      </c>
      <c r="H9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0.12235901332904378</v>
      </c>
      <c r="I9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0.1049350188315038</v>
      </c>
      <c r="J9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7.8626381855194329E-4</v>
      </c>
      <c r="K9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1.1830011703821215E-2</v>
      </c>
      <c r="L9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3.8176089814347444E-3</v>
      </c>
      <c r="M9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9.9010999373207675E-4</v>
      </c>
      <c r="N9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754156</v>
      </c>
      <c r="O95" s="170">
        <f>IFERROR(VLOOKUP(Vertailu[[#This Row],[Y-tunnus]],'1.2 Ohjaus-laskentataulu'!A:AQ,COLUMN('1.2 Ohjaus-laskentataulu'!AE:AE),FALSE),0)</f>
        <v>721132</v>
      </c>
      <c r="P95" s="170">
        <f>IFERROR(Vertailu[[#This Row],[Rahoitus pl. hark. kor. 2025 ilman alv, €]]-Vertailu[[#This Row],[Rahoitus pl. hark. kor. 2024 ilman alv, €]],0)</f>
        <v>-33024</v>
      </c>
      <c r="Q95" s="172">
        <f>IFERROR(Vertailu[[#This Row],[Muutos, € 1]]/Vertailu[[#This Row],[Rahoitus pl. hark. kor. 2024 ilman alv, €]],0)</f>
        <v>-4.3789348622831348E-2</v>
      </c>
      <c r="R95" s="175">
        <f>IFERROR(VLOOKUP(Vertailu[[#This Row],[Y-tunnus]],'Suoritepäät. 2024 oikaistu'!$AB:$AL,COLUMN('Suoritepäät. 2024 oikaistu'!J:J),FALSE),0)</f>
        <v>754156</v>
      </c>
      <c r="S95" s="176">
        <f>IFERROR(VLOOKUP(Vertailu[[#This Row],[Y-tunnus]],'1.2 Ohjaus-laskentataulu'!A:AQ,COLUMN('1.2 Ohjaus-laskentataulu'!AO:AO),FALSE),0)</f>
        <v>721132</v>
      </c>
      <c r="T95" s="170">
        <f>IFERROR(Vertailu[[#This Row],[Rahoitus ml. hark. kor. 
2025 ilman alv, €]]-Vertailu[[#This Row],[Rahoitus ml. hark. kor. 
2024 ilman alv, €]],0)</f>
        <v>-33024</v>
      </c>
      <c r="U95" s="174">
        <f>IFERROR(Vertailu[[#This Row],[Muutos, € 2]]/Vertailu[[#This Row],[Rahoitus ml. hark. kor. 
2024 ilman alv, €]],0)</f>
        <v>-4.3789348622831348E-2</v>
      </c>
      <c r="V9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781375</v>
      </c>
      <c r="W95" s="175">
        <f>IFERROR(VLOOKUP(Vertailu[[#This Row],[Y-tunnus]],'1.2 Ohjaus-laskentataulu'!A:AQ,COLUMN('1.2 Ohjaus-laskentataulu'!AQ:AQ),FALSE),0)</f>
        <v>748489</v>
      </c>
      <c r="X95" s="177">
        <f>IFERROR(Vertailu[[#This Row],[Rahoitus ml. hark. kor. + alv 2025, €]]-Vertailu[[#This Row],[Rahoitus ml. hark. kor. + alv 2024, €]],0)</f>
        <v>-32886</v>
      </c>
      <c r="Y95" s="172">
        <f>IFERROR(Vertailu[[#This Row],[Muutos, € 3]]/Vertailu[[#This Row],[Rahoitus ml. hark. kor. + alv 2024, €]],0)</f>
        <v>-4.2087346024636055E-2</v>
      </c>
      <c r="Z95" s="170">
        <f>IFERROR(VLOOKUP(Vertailu[[#This Row],[Y-tunnus]],'Suoritepäät. 2024 oikaistu'!$B:$N,COLUMN('Suoritepäät. 2024 oikaistu'!H:H),FALSE),0)</f>
        <v>541171</v>
      </c>
      <c r="AA95" s="170">
        <f>IFERROR(VLOOKUP(Vertailu[[#This Row],[Y-tunnus]],'1.2 Ohjaus-laskentataulu'!A:AQ,COLUMN('1.2 Ohjaus-laskentataulu'!AL:AL),FALSE),0)</f>
        <v>492250</v>
      </c>
      <c r="AB95" s="170">
        <f>Vertailu[[#This Row],[Perusrahoitus 2025, €]]-Vertailu[[#This Row],[Perusrahoitus 2024, €]]</f>
        <v>-48921</v>
      </c>
      <c r="AC95" s="172">
        <f>IFERROR(Vertailu[[#This Row],[Perusrahoituksen muutos, €]]/Vertailu[[#This Row],[Perusrahoitus 2024, €]],0)</f>
        <v>-9.0398413810052647E-2</v>
      </c>
      <c r="AD95" s="170">
        <f>IFERROR(VLOOKUP(Vertailu[[#This Row],[Y-tunnus]],'Suoritepäät. 2024 oikaistu'!$O:$Y,COLUMN('Suoritepäät. 2024 oikaistu'!D:D),FALSE),0)</f>
        <v>121730</v>
      </c>
      <c r="AE95" s="170">
        <f>IFERROR(VLOOKUP(Vertailu[[#This Row],[Y-tunnus]],'1.2 Ohjaus-laskentataulu'!A:AQ,COLUMN('1.2 Ohjaus-laskentataulu'!N:N),FALSE),0)</f>
        <v>140645</v>
      </c>
      <c r="AF95" s="170">
        <f>Vertailu[[#This Row],[Suoritusrahoitus 2025, €]]-Vertailu[[#This Row],[Suoritusrahoitus 2024, €]]</f>
        <v>18915</v>
      </c>
      <c r="AG95" s="172">
        <f>IFERROR(Vertailu[[#This Row],[Suoritusrahoituksen muutos, €]]/Vertailu[[#This Row],[Suoritusrahoitus 2024, €]],0)</f>
        <v>0.15538486815082561</v>
      </c>
      <c r="AH95" s="170">
        <f>IFERROR(VLOOKUP(Vertailu[[#This Row],[Y-tunnus]],'Suoritepäät. 2024 oikaistu'!$AB:$AL,COLUMN('Suoritepäät. 2024 oikaistu'!I:I),FALSE),0)</f>
        <v>91255</v>
      </c>
      <c r="AI9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88237</v>
      </c>
      <c r="AJ95" s="170">
        <f>Vertailu[[#This Row],[Vaikuttavuusrahoitus 2025, €]]-Vertailu[[#This Row],[Vaikuttavuusrahoitus 2024, €]]</f>
        <v>-3018</v>
      </c>
      <c r="AK95" s="172">
        <f>IFERROR(Vertailu[[#This Row],[Vaikuttavuusrahoituksen muutos, €]]/Vertailu[[#This Row],[Vaikuttavuusrahoitus 2024, €]],0)</f>
        <v>-3.3072160429565504E-2</v>
      </c>
    </row>
    <row r="96" spans="1:37" s="2" customFormat="1" ht="12.75" customHeight="1" x14ac:dyDescent="0.25">
      <c r="A96" s="4" t="s">
        <v>229</v>
      </c>
      <c r="B96" s="161" t="s">
        <v>89</v>
      </c>
      <c r="C96" s="161" t="s">
        <v>181</v>
      </c>
      <c r="D96" s="8" t="s">
        <v>326</v>
      </c>
      <c r="E9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0.58716658141888578</v>
      </c>
      <c r="F9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0.58879898573278633</v>
      </c>
      <c r="G9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0.26647313606634093</v>
      </c>
      <c r="H9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0.14472787820087279</v>
      </c>
      <c r="I9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8.2607820304933133E-2</v>
      </c>
      <c r="J9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5.9169215031178923E-3</v>
      </c>
      <c r="K9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2.1651122550033191E-2</v>
      </c>
      <c r="L9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2.4512727312300711E-2</v>
      </c>
      <c r="M9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1.0039286530487872E-2</v>
      </c>
      <c r="N9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1748819</v>
      </c>
      <c r="O96" s="170">
        <f>IFERROR(VLOOKUP(Vertailu[[#This Row],[Y-tunnus]],'1.2 Ohjaus-laskentataulu'!A:AQ,COLUMN('1.2 Ohjaus-laskentataulu'!AE:AE),FALSE),0)</f>
        <v>1834780</v>
      </c>
      <c r="P96" s="170">
        <f>IFERROR(Vertailu[[#This Row],[Rahoitus pl. hark. kor. 2025 ilman alv, €]]-Vertailu[[#This Row],[Rahoitus pl. hark. kor. 2024 ilman alv, €]],0)</f>
        <v>85961</v>
      </c>
      <c r="Q96" s="172">
        <f>IFERROR(Vertailu[[#This Row],[Muutos, € 1]]/Vertailu[[#This Row],[Rahoitus pl. hark. kor. 2024 ilman alv, €]],0)</f>
        <v>4.9153743183256812E-2</v>
      </c>
      <c r="R96" s="175">
        <f>IFERROR(VLOOKUP(Vertailu[[#This Row],[Y-tunnus]],'Suoritepäät. 2024 oikaistu'!$AB:$AL,COLUMN('Suoritepäät. 2024 oikaistu'!J:J),FALSE),0)</f>
        <v>1758116</v>
      </c>
      <c r="S96" s="176">
        <f>IFERROR(VLOOKUP(Vertailu[[#This Row],[Y-tunnus]],'1.2 Ohjaus-laskentataulu'!A:AQ,COLUMN('1.2 Ohjaus-laskentataulu'!AO:AO),FALSE),0)</f>
        <v>1837780</v>
      </c>
      <c r="T96" s="170">
        <f>IFERROR(Vertailu[[#This Row],[Rahoitus ml. hark. kor. 
2025 ilman alv, €]]-Vertailu[[#This Row],[Rahoitus ml. hark. kor. 
2024 ilman alv, €]],0)</f>
        <v>79664</v>
      </c>
      <c r="U96" s="174">
        <f>IFERROR(Vertailu[[#This Row],[Muutos, € 2]]/Vertailu[[#This Row],[Rahoitus ml. hark. kor. 
2024 ilman alv, €]],0)</f>
        <v>4.5312140950881513E-2</v>
      </c>
      <c r="V9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1867176</v>
      </c>
      <c r="W96" s="175">
        <f>IFERROR(VLOOKUP(Vertailu[[#This Row],[Y-tunnus]],'1.2 Ohjaus-laskentataulu'!A:AQ,COLUMN('1.2 Ohjaus-laskentataulu'!AQ:AQ),FALSE),0)</f>
        <v>1937812</v>
      </c>
      <c r="X96" s="177">
        <f>IFERROR(Vertailu[[#This Row],[Rahoitus ml. hark. kor. + alv 2025, €]]-Vertailu[[#This Row],[Rahoitus ml. hark. kor. + alv 2024, €]],0)</f>
        <v>70636</v>
      </c>
      <c r="Y96" s="172">
        <f>IFERROR(Vertailu[[#This Row],[Muutos, € 3]]/Vertailu[[#This Row],[Rahoitus ml. hark. kor. + alv 2024, €]],0)</f>
        <v>3.7830391993041897E-2</v>
      </c>
      <c r="Z96" s="170">
        <f>IFERROR(VLOOKUP(Vertailu[[#This Row],[Y-tunnus]],'Suoritepäät. 2024 oikaistu'!$B:$N,COLUMN('Suoritepäät. 2024 oikaistu'!H:H),FALSE),0)</f>
        <v>1123032</v>
      </c>
      <c r="AA96" s="170">
        <f>IFERROR(VLOOKUP(Vertailu[[#This Row],[Y-tunnus]],'1.2 Ohjaus-laskentataulu'!A:AQ,COLUMN('1.2 Ohjaus-laskentataulu'!AL:AL),FALSE),0)</f>
        <v>1082083</v>
      </c>
      <c r="AB96" s="170">
        <f>Vertailu[[#This Row],[Perusrahoitus 2025, €]]-Vertailu[[#This Row],[Perusrahoitus 2024, €]]</f>
        <v>-40949</v>
      </c>
      <c r="AC96" s="172">
        <f>IFERROR(Vertailu[[#This Row],[Perusrahoituksen muutos, €]]/Vertailu[[#This Row],[Perusrahoitus 2024, €]],0)</f>
        <v>-3.6462896872039262E-2</v>
      </c>
      <c r="AD96" s="170">
        <f>IFERROR(VLOOKUP(Vertailu[[#This Row],[Y-tunnus]],'Suoritepäät. 2024 oikaistu'!$O:$Y,COLUMN('Suoritepäät. 2024 oikaistu'!D:D),FALSE),0)</f>
        <v>344920</v>
      </c>
      <c r="AE96" s="170">
        <f>IFERROR(VLOOKUP(Vertailu[[#This Row],[Y-tunnus]],'1.2 Ohjaus-laskentataulu'!A:AQ,COLUMN('1.2 Ohjaus-laskentataulu'!N:N),FALSE),0)</f>
        <v>489719</v>
      </c>
      <c r="AF96" s="170">
        <f>Vertailu[[#This Row],[Suoritusrahoitus 2025, €]]-Vertailu[[#This Row],[Suoritusrahoitus 2024, €]]</f>
        <v>144799</v>
      </c>
      <c r="AG96" s="172">
        <f>IFERROR(Vertailu[[#This Row],[Suoritusrahoituksen muutos, €]]/Vertailu[[#This Row],[Suoritusrahoitus 2024, €]],0)</f>
        <v>0.41980459236924506</v>
      </c>
      <c r="AH96" s="170">
        <f>IFERROR(VLOOKUP(Vertailu[[#This Row],[Y-tunnus]],'Suoritepäät. 2024 oikaistu'!$AB:$AL,COLUMN('Suoritepäät. 2024 oikaistu'!I:I),FALSE),0)</f>
        <v>290164</v>
      </c>
      <c r="AI9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265978</v>
      </c>
      <c r="AJ96" s="170">
        <f>Vertailu[[#This Row],[Vaikuttavuusrahoitus 2025, €]]-Vertailu[[#This Row],[Vaikuttavuusrahoitus 2024, €]]</f>
        <v>-24186</v>
      </c>
      <c r="AK96" s="172">
        <f>IFERROR(Vertailu[[#This Row],[Vaikuttavuusrahoituksen muutos, €]]/Vertailu[[#This Row],[Vaikuttavuusrahoitus 2024, €]],0)</f>
        <v>-8.3352862519127116E-2</v>
      </c>
    </row>
    <row r="97" spans="1:37" s="2" customFormat="1" ht="12.75" customHeight="1" x14ac:dyDescent="0.25">
      <c r="A97" s="4" t="s">
        <v>228</v>
      </c>
      <c r="B97" s="161" t="s">
        <v>90</v>
      </c>
      <c r="C97" s="161" t="s">
        <v>187</v>
      </c>
      <c r="D97" s="8" t="s">
        <v>325</v>
      </c>
      <c r="E9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0.6543243082838156</v>
      </c>
      <c r="F9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0.65583036732668498</v>
      </c>
      <c r="G9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0.21542635081224554</v>
      </c>
      <c r="H9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0.12874328186106951</v>
      </c>
      <c r="I9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9.3890509730703259E-2</v>
      </c>
      <c r="J9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5.819969941292703E-3</v>
      </c>
      <c r="K9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1.3928034028455815E-2</v>
      </c>
      <c r="L9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1.1235144679840853E-2</v>
      </c>
      <c r="M9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3.8696234807768853E-3</v>
      </c>
      <c r="N9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18727427</v>
      </c>
      <c r="O97" s="170">
        <f>IFERROR(VLOOKUP(Vertailu[[#This Row],[Y-tunnus]],'1.2 Ohjaus-laskentataulu'!A:AQ,COLUMN('1.2 Ohjaus-laskentataulu'!AE:AE),FALSE),0)</f>
        <v>17900584</v>
      </c>
      <c r="P97" s="170">
        <f>IFERROR(Vertailu[[#This Row],[Rahoitus pl. hark. kor. 2025 ilman alv, €]]-Vertailu[[#This Row],[Rahoitus pl. hark. kor. 2024 ilman alv, €]],0)</f>
        <v>-826843</v>
      </c>
      <c r="Q97" s="172">
        <f>IFERROR(Vertailu[[#This Row],[Muutos, € 1]]/Vertailu[[#This Row],[Rahoitus pl. hark. kor. 2024 ilman alv, €]],0)</f>
        <v>-4.4151446965992713E-2</v>
      </c>
      <c r="R97" s="175">
        <f>IFERROR(VLOOKUP(Vertailu[[#This Row],[Y-tunnus]],'Suoritepäät. 2024 oikaistu'!$AB:$AL,COLUMN('Suoritepäät. 2024 oikaistu'!J:J),FALSE),0)</f>
        <v>18799549</v>
      </c>
      <c r="S97" s="176">
        <f>IFERROR(VLOOKUP(Vertailu[[#This Row],[Y-tunnus]],'1.2 Ohjaus-laskentataulu'!A:AQ,COLUMN('1.2 Ohjaus-laskentataulu'!AO:AO),FALSE),0)</f>
        <v>17927584</v>
      </c>
      <c r="T97" s="170">
        <f>IFERROR(Vertailu[[#This Row],[Rahoitus ml. hark. kor. 
2025 ilman alv, €]]-Vertailu[[#This Row],[Rahoitus ml. hark. kor. 
2024 ilman alv, €]],0)</f>
        <v>-871965</v>
      </c>
      <c r="U97" s="174">
        <f>IFERROR(Vertailu[[#This Row],[Muutos, € 2]]/Vertailu[[#This Row],[Rahoitus ml. hark. kor. 
2024 ilman alv, €]],0)</f>
        <v>-4.6382229701361452E-2</v>
      </c>
      <c r="V9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18799549</v>
      </c>
      <c r="W97" s="175">
        <f>IFERROR(VLOOKUP(Vertailu[[#This Row],[Y-tunnus]],'1.2 Ohjaus-laskentataulu'!A:AQ,COLUMN('1.2 Ohjaus-laskentataulu'!AQ:AQ),FALSE),0)</f>
        <v>17927584</v>
      </c>
      <c r="X97" s="177">
        <f>IFERROR(Vertailu[[#This Row],[Rahoitus ml. hark. kor. + alv 2025, €]]-Vertailu[[#This Row],[Rahoitus ml. hark. kor. + alv 2024, €]],0)</f>
        <v>-871965</v>
      </c>
      <c r="Y97" s="172">
        <f>IFERROR(Vertailu[[#This Row],[Muutos, € 3]]/Vertailu[[#This Row],[Rahoitus ml. hark. kor. + alv 2024, €]],0)</f>
        <v>-4.6382229701361452E-2</v>
      </c>
      <c r="Z97" s="170">
        <f>IFERROR(VLOOKUP(Vertailu[[#This Row],[Y-tunnus]],'Suoritepäät. 2024 oikaistu'!$B:$N,COLUMN('Suoritepäät. 2024 oikaistu'!H:H),FALSE),0)</f>
        <v>12189449</v>
      </c>
      <c r="AA97" s="170">
        <f>IFERROR(VLOOKUP(Vertailu[[#This Row],[Y-tunnus]],'1.2 Ohjaus-laskentataulu'!A:AQ,COLUMN('1.2 Ohjaus-laskentataulu'!AL:AL),FALSE),0)</f>
        <v>11757454</v>
      </c>
      <c r="AB97" s="170">
        <f>Vertailu[[#This Row],[Perusrahoitus 2025, €]]-Vertailu[[#This Row],[Perusrahoitus 2024, €]]</f>
        <v>-431995</v>
      </c>
      <c r="AC97" s="172">
        <f>IFERROR(Vertailu[[#This Row],[Perusrahoituksen muutos, €]]/Vertailu[[#This Row],[Perusrahoitus 2024, €]],0)</f>
        <v>-3.5440076085473594E-2</v>
      </c>
      <c r="AD97" s="170">
        <f>IFERROR(VLOOKUP(Vertailu[[#This Row],[Y-tunnus]],'Suoritepäät. 2024 oikaistu'!$O:$Y,COLUMN('Suoritepäät. 2024 oikaistu'!D:D),FALSE),0)</f>
        <v>4170961</v>
      </c>
      <c r="AE97" s="170">
        <f>IFERROR(VLOOKUP(Vertailu[[#This Row],[Y-tunnus]],'1.2 Ohjaus-laskentataulu'!A:AQ,COLUMN('1.2 Ohjaus-laskentataulu'!N:N),FALSE),0)</f>
        <v>3862074</v>
      </c>
      <c r="AF97" s="170">
        <f>Vertailu[[#This Row],[Suoritusrahoitus 2025, €]]-Vertailu[[#This Row],[Suoritusrahoitus 2024, €]]</f>
        <v>-308887</v>
      </c>
      <c r="AG97" s="172">
        <f>IFERROR(Vertailu[[#This Row],[Suoritusrahoituksen muutos, €]]/Vertailu[[#This Row],[Suoritusrahoitus 2024, €]],0)</f>
        <v>-7.405655435282181E-2</v>
      </c>
      <c r="AH97" s="170">
        <f>IFERROR(VLOOKUP(Vertailu[[#This Row],[Y-tunnus]],'Suoritepäät. 2024 oikaistu'!$AB:$AL,COLUMN('Suoritepäät. 2024 oikaistu'!I:I),FALSE),0)</f>
        <v>2439139</v>
      </c>
      <c r="AI9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2308056</v>
      </c>
      <c r="AJ97" s="170">
        <f>Vertailu[[#This Row],[Vaikuttavuusrahoitus 2025, €]]-Vertailu[[#This Row],[Vaikuttavuusrahoitus 2024, €]]</f>
        <v>-131083</v>
      </c>
      <c r="AK97" s="172">
        <f>IFERROR(Vertailu[[#This Row],[Vaikuttavuusrahoituksen muutos, €]]/Vertailu[[#This Row],[Vaikuttavuusrahoitus 2024, €]],0)</f>
        <v>-5.3741504686694773E-2</v>
      </c>
    </row>
    <row r="98" spans="1:37" s="2" customFormat="1" ht="12.75" customHeight="1" x14ac:dyDescent="0.25">
      <c r="A98" s="4" t="s">
        <v>227</v>
      </c>
      <c r="B98" s="161" t="s">
        <v>91</v>
      </c>
      <c r="C98" s="161" t="s">
        <v>174</v>
      </c>
      <c r="D98" s="8" t="s">
        <v>326</v>
      </c>
      <c r="E9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0.7402419058401859</v>
      </c>
      <c r="F9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0.7402419058401859</v>
      </c>
      <c r="G9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0.16065174306803098</v>
      </c>
      <c r="H9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9.9106351091783076E-2</v>
      </c>
      <c r="I9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6.3585088617729213E-2</v>
      </c>
      <c r="J9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3.251516410831989E-3</v>
      </c>
      <c r="K9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2.5255152960886908E-2</v>
      </c>
      <c r="L9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7.0145931023349621E-3</v>
      </c>
      <c r="M9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9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1014995</v>
      </c>
      <c r="O98" s="170">
        <f>IFERROR(VLOOKUP(Vertailu[[#This Row],[Y-tunnus]],'1.2 Ohjaus-laskentataulu'!A:AQ,COLUMN('1.2 Ohjaus-laskentataulu'!AE:AE),FALSE),0)</f>
        <v>916803</v>
      </c>
      <c r="P98" s="170">
        <f>IFERROR(Vertailu[[#This Row],[Rahoitus pl. hark. kor. 2025 ilman alv, €]]-Vertailu[[#This Row],[Rahoitus pl. hark. kor. 2024 ilman alv, €]],0)</f>
        <v>-98192</v>
      </c>
      <c r="Q98" s="172">
        <f>IFERROR(Vertailu[[#This Row],[Muutos, € 1]]/Vertailu[[#This Row],[Rahoitus pl. hark. kor. 2024 ilman alv, €]],0)</f>
        <v>-9.6741363257947077E-2</v>
      </c>
      <c r="R98" s="175">
        <f>IFERROR(VLOOKUP(Vertailu[[#This Row],[Y-tunnus]],'Suoritepäät. 2024 oikaistu'!$AB:$AL,COLUMN('Suoritepäät. 2024 oikaistu'!J:J),FALSE),0)</f>
        <v>1014995</v>
      </c>
      <c r="S98" s="176">
        <f>IFERROR(VLOOKUP(Vertailu[[#This Row],[Y-tunnus]],'1.2 Ohjaus-laskentataulu'!A:AQ,COLUMN('1.2 Ohjaus-laskentataulu'!AO:AO),FALSE),0)</f>
        <v>916803</v>
      </c>
      <c r="T98" s="170">
        <f>IFERROR(Vertailu[[#This Row],[Rahoitus ml. hark. kor. 
2025 ilman alv, €]]-Vertailu[[#This Row],[Rahoitus ml. hark. kor. 
2024 ilman alv, €]],0)</f>
        <v>-98192</v>
      </c>
      <c r="U98" s="174">
        <f>IFERROR(Vertailu[[#This Row],[Muutos, € 2]]/Vertailu[[#This Row],[Rahoitus ml. hark. kor. 
2024 ilman alv, €]],0)</f>
        <v>-9.6741363257947077E-2</v>
      </c>
      <c r="V9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1120631</v>
      </c>
      <c r="W98" s="175">
        <f>IFERROR(VLOOKUP(Vertailu[[#This Row],[Y-tunnus]],'1.2 Ohjaus-laskentataulu'!A:AQ,COLUMN('1.2 Ohjaus-laskentataulu'!AQ:AQ),FALSE),0)</f>
        <v>1027009</v>
      </c>
      <c r="X98" s="177">
        <f>IFERROR(Vertailu[[#This Row],[Rahoitus ml. hark. kor. + alv 2025, €]]-Vertailu[[#This Row],[Rahoitus ml. hark. kor. + alv 2024, €]],0)</f>
        <v>-93622</v>
      </c>
      <c r="Y98" s="172">
        <f>IFERROR(Vertailu[[#This Row],[Muutos, € 3]]/Vertailu[[#This Row],[Rahoitus ml. hark. kor. + alv 2024, €]],0)</f>
        <v>-8.354400333383602E-2</v>
      </c>
      <c r="Z98" s="170">
        <f>IFERROR(VLOOKUP(Vertailu[[#This Row],[Y-tunnus]],'Suoritepäät. 2024 oikaistu'!$B:$N,COLUMN('Suoritepäät. 2024 oikaistu'!H:H),FALSE),0)</f>
        <v>790260</v>
      </c>
      <c r="AA98" s="170">
        <f>IFERROR(VLOOKUP(Vertailu[[#This Row],[Y-tunnus]],'1.2 Ohjaus-laskentataulu'!A:AQ,COLUMN('1.2 Ohjaus-laskentataulu'!AL:AL),FALSE),0)</f>
        <v>678656</v>
      </c>
      <c r="AB98" s="170">
        <f>Vertailu[[#This Row],[Perusrahoitus 2025, €]]-Vertailu[[#This Row],[Perusrahoitus 2024, €]]</f>
        <v>-111604</v>
      </c>
      <c r="AC98" s="172">
        <f>IFERROR(Vertailu[[#This Row],[Perusrahoituksen muutos, €]]/Vertailu[[#This Row],[Perusrahoitus 2024, €]],0)</f>
        <v>-0.14122440715713816</v>
      </c>
      <c r="AD98" s="170">
        <f>IFERROR(VLOOKUP(Vertailu[[#This Row],[Y-tunnus]],'Suoritepäät. 2024 oikaistu'!$O:$Y,COLUMN('Suoritepäät. 2024 oikaistu'!D:D),FALSE),0)</f>
        <v>99808</v>
      </c>
      <c r="AE98" s="170">
        <f>IFERROR(VLOOKUP(Vertailu[[#This Row],[Y-tunnus]],'1.2 Ohjaus-laskentataulu'!A:AQ,COLUMN('1.2 Ohjaus-laskentataulu'!N:N),FALSE),0)</f>
        <v>147286</v>
      </c>
      <c r="AF98" s="170">
        <f>Vertailu[[#This Row],[Suoritusrahoitus 2025, €]]-Vertailu[[#This Row],[Suoritusrahoitus 2024, €]]</f>
        <v>47478</v>
      </c>
      <c r="AG98" s="172">
        <f>IFERROR(Vertailu[[#This Row],[Suoritusrahoituksen muutos, €]]/Vertailu[[#This Row],[Suoritusrahoitus 2024, €]],0)</f>
        <v>0.47569333119589613</v>
      </c>
      <c r="AH98" s="170">
        <f>IFERROR(VLOOKUP(Vertailu[[#This Row],[Y-tunnus]],'Suoritepäät. 2024 oikaistu'!$AB:$AL,COLUMN('Suoritepäät. 2024 oikaistu'!I:I),FALSE),0)</f>
        <v>124927</v>
      </c>
      <c r="AI9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90861</v>
      </c>
      <c r="AJ98" s="170">
        <f>Vertailu[[#This Row],[Vaikuttavuusrahoitus 2025, €]]-Vertailu[[#This Row],[Vaikuttavuusrahoitus 2024, €]]</f>
        <v>-34066</v>
      </c>
      <c r="AK98" s="172">
        <f>IFERROR(Vertailu[[#This Row],[Vaikuttavuusrahoituksen muutos, €]]/Vertailu[[#This Row],[Vaikuttavuusrahoitus 2024, €]],0)</f>
        <v>-0.27268724935362254</v>
      </c>
    </row>
    <row r="99" spans="1:37" s="2" customFormat="1" ht="12.75" customHeight="1" x14ac:dyDescent="0.25">
      <c r="A99" s="4" t="s">
        <v>250</v>
      </c>
      <c r="B99" s="161" t="s">
        <v>436</v>
      </c>
      <c r="C99" s="161" t="s">
        <v>174</v>
      </c>
      <c r="D99" s="8" t="s">
        <v>326</v>
      </c>
      <c r="E9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0.55421922969407256</v>
      </c>
      <c r="F9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0.55684979241352728</v>
      </c>
      <c r="G9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0.26521622699441372</v>
      </c>
      <c r="H9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0.177933980592059</v>
      </c>
      <c r="I9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0.12032912899262425</v>
      </c>
      <c r="J9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9.453891672024246E-3</v>
      </c>
      <c r="K9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3.0303994842694103E-2</v>
      </c>
      <c r="L9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1.5751897249518695E-2</v>
      </c>
      <c r="M9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2.0950678351977009E-3</v>
      </c>
      <c r="N9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12445817</v>
      </c>
      <c r="O99" s="170">
        <f>IFERROR(VLOOKUP(Vertailu[[#This Row],[Y-tunnus]],'1.2 Ohjaus-laskentataulu'!A:AQ,COLUMN('1.2 Ohjaus-laskentataulu'!AE:AE),FALSE),0)</f>
        <v>11374404</v>
      </c>
      <c r="P99" s="170">
        <f>IFERROR(Vertailu[[#This Row],[Rahoitus pl. hark. kor. 2025 ilman alv, €]]-Vertailu[[#This Row],[Rahoitus pl. hark. kor. 2024 ilman alv, €]],0)</f>
        <v>-1071413</v>
      </c>
      <c r="Q99" s="172">
        <f>IFERROR(Vertailu[[#This Row],[Muutos, € 1]]/Vertailu[[#This Row],[Rahoitus pl. hark. kor. 2024 ilman alv, €]],0)</f>
        <v>-8.6086192654126287E-2</v>
      </c>
      <c r="R99" s="175">
        <f>IFERROR(VLOOKUP(Vertailu[[#This Row],[Y-tunnus]],'Suoritepäät. 2024 oikaistu'!$AB:$AL,COLUMN('Suoritepäät. 2024 oikaistu'!J:J),FALSE),0)</f>
        <v>12473406</v>
      </c>
      <c r="S99" s="176">
        <f>IFERROR(VLOOKUP(Vertailu[[#This Row],[Y-tunnus]],'1.2 Ohjaus-laskentataulu'!A:AQ,COLUMN('1.2 Ohjaus-laskentataulu'!AO:AO),FALSE),0)</f>
        <v>11404404</v>
      </c>
      <c r="T99" s="170">
        <f>IFERROR(Vertailu[[#This Row],[Rahoitus ml. hark. kor. 
2025 ilman alv, €]]-Vertailu[[#This Row],[Rahoitus ml. hark. kor. 
2024 ilman alv, €]],0)</f>
        <v>-1069002</v>
      </c>
      <c r="U99" s="174">
        <f>IFERROR(Vertailu[[#This Row],[Muutos, € 2]]/Vertailu[[#This Row],[Rahoitus ml. hark. kor. 
2024 ilman alv, €]],0)</f>
        <v>-8.5702493769544585E-2</v>
      </c>
      <c r="V9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13603846</v>
      </c>
      <c r="W99" s="175">
        <f>IFERROR(VLOOKUP(Vertailu[[#This Row],[Y-tunnus]],'1.2 Ohjaus-laskentataulu'!A:AQ,COLUMN('1.2 Ohjaus-laskentataulu'!AQ:AQ),FALSE),0)</f>
        <v>12949331</v>
      </c>
      <c r="X99" s="177">
        <f>IFERROR(Vertailu[[#This Row],[Rahoitus ml. hark. kor. + alv 2025, €]]-Vertailu[[#This Row],[Rahoitus ml. hark. kor. + alv 2024, €]],0)</f>
        <v>-654515</v>
      </c>
      <c r="Y99" s="172">
        <f>IFERROR(Vertailu[[#This Row],[Muutos, € 3]]/Vertailu[[#This Row],[Rahoitus ml. hark. kor. + alv 2024, €]],0)</f>
        <v>-4.8112497010036719E-2</v>
      </c>
      <c r="Z99" s="170">
        <f>IFERROR(VLOOKUP(Vertailu[[#This Row],[Y-tunnus]],'Suoritepäät. 2024 oikaistu'!$B:$N,COLUMN('Suoritepäät. 2024 oikaistu'!H:H),FALSE),0)</f>
        <v>7248441</v>
      </c>
      <c r="AA99" s="170">
        <f>IFERROR(VLOOKUP(Vertailu[[#This Row],[Y-tunnus]],'1.2 Ohjaus-laskentataulu'!A:AQ,COLUMN('1.2 Ohjaus-laskentataulu'!AL:AL),FALSE),0)</f>
        <v>6350540</v>
      </c>
      <c r="AB99" s="170">
        <f>Vertailu[[#This Row],[Perusrahoitus 2025, €]]-Vertailu[[#This Row],[Perusrahoitus 2024, €]]</f>
        <v>-897901</v>
      </c>
      <c r="AC99" s="172">
        <f>IFERROR(Vertailu[[#This Row],[Perusrahoituksen muutos, €]]/Vertailu[[#This Row],[Perusrahoitus 2024, €]],0)</f>
        <v>-0.12387505120066508</v>
      </c>
      <c r="AD99" s="170">
        <f>IFERROR(VLOOKUP(Vertailu[[#This Row],[Y-tunnus]],'Suoritepäät. 2024 oikaistu'!$O:$Y,COLUMN('Suoritepäät. 2024 oikaistu'!D:D),FALSE),0)</f>
        <v>3331063</v>
      </c>
      <c r="AE99" s="170">
        <f>IFERROR(VLOOKUP(Vertailu[[#This Row],[Y-tunnus]],'1.2 Ohjaus-laskentataulu'!A:AQ,COLUMN('1.2 Ohjaus-laskentataulu'!N:N),FALSE),0)</f>
        <v>3024633</v>
      </c>
      <c r="AF99" s="170">
        <f>Vertailu[[#This Row],[Suoritusrahoitus 2025, €]]-Vertailu[[#This Row],[Suoritusrahoitus 2024, €]]</f>
        <v>-306430</v>
      </c>
      <c r="AG99" s="172">
        <f>IFERROR(Vertailu[[#This Row],[Suoritusrahoituksen muutos, €]]/Vertailu[[#This Row],[Suoritusrahoitus 2024, €]],0)</f>
        <v>-9.1991655516572332E-2</v>
      </c>
      <c r="AH99" s="170">
        <f>IFERROR(VLOOKUP(Vertailu[[#This Row],[Y-tunnus]],'Suoritepäät. 2024 oikaistu'!$AB:$AL,COLUMN('Suoritepäät. 2024 oikaistu'!I:I),FALSE),0)</f>
        <v>1893902</v>
      </c>
      <c r="AI9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2029231</v>
      </c>
      <c r="AJ99" s="170">
        <f>Vertailu[[#This Row],[Vaikuttavuusrahoitus 2025, €]]-Vertailu[[#This Row],[Vaikuttavuusrahoitus 2024, €]]</f>
        <v>135329</v>
      </c>
      <c r="AK99" s="172">
        <f>IFERROR(Vertailu[[#This Row],[Vaikuttavuusrahoituksen muutos, €]]/Vertailu[[#This Row],[Vaikuttavuusrahoitus 2024, €]],0)</f>
        <v>7.145512280994476E-2</v>
      </c>
    </row>
    <row r="100" spans="1:37" s="2" customFormat="1" ht="12.75" customHeight="1" x14ac:dyDescent="0.25">
      <c r="A100" s="4" t="s">
        <v>226</v>
      </c>
      <c r="B100" s="161" t="s">
        <v>529</v>
      </c>
      <c r="C100" s="161" t="s">
        <v>181</v>
      </c>
      <c r="D100" s="8" t="s">
        <v>326</v>
      </c>
      <c r="E10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0.60074766215529862</v>
      </c>
      <c r="F10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0.60074766215529862</v>
      </c>
      <c r="G10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0.22587837232230887</v>
      </c>
      <c r="H10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0.17337396552239251</v>
      </c>
      <c r="I10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0.11077126467688447</v>
      </c>
      <c r="J10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5.8632846344596817E-3</v>
      </c>
      <c r="K10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2.2937767022198321E-2</v>
      </c>
      <c r="L10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2.9940097397747303E-2</v>
      </c>
      <c r="M10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3.8615517911027458E-3</v>
      </c>
      <c r="N10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303695</v>
      </c>
      <c r="O100" s="170">
        <f>IFERROR(VLOOKUP(Vertailu[[#This Row],[Y-tunnus]],'1.2 Ohjaus-laskentataulu'!A:AQ,COLUMN('1.2 Ohjaus-laskentataulu'!AE:AE),FALSE),0)</f>
        <v>267768</v>
      </c>
      <c r="P100" s="170">
        <f>IFERROR(Vertailu[[#This Row],[Rahoitus pl. hark. kor. 2025 ilman alv, €]]-Vertailu[[#This Row],[Rahoitus pl. hark. kor. 2024 ilman alv, €]],0)</f>
        <v>-35927</v>
      </c>
      <c r="Q100" s="172">
        <f>IFERROR(Vertailu[[#This Row],[Muutos, € 1]]/Vertailu[[#This Row],[Rahoitus pl. hark. kor. 2024 ilman alv, €]],0)</f>
        <v>-0.11829960980589078</v>
      </c>
      <c r="R100" s="175">
        <f>IFERROR(VLOOKUP(Vertailu[[#This Row],[Y-tunnus]],'Suoritepäät. 2024 oikaistu'!$AB:$AL,COLUMN('Suoritepäät. 2024 oikaistu'!J:J),FALSE),0)</f>
        <v>303695</v>
      </c>
      <c r="S100" s="176">
        <f>IFERROR(VLOOKUP(Vertailu[[#This Row],[Y-tunnus]],'1.2 Ohjaus-laskentataulu'!A:AQ,COLUMN('1.2 Ohjaus-laskentataulu'!AO:AO),FALSE),0)</f>
        <v>267768</v>
      </c>
      <c r="T100" s="170">
        <f>IFERROR(Vertailu[[#This Row],[Rahoitus ml. hark. kor. 
2025 ilman alv, €]]-Vertailu[[#This Row],[Rahoitus ml. hark. kor. 
2024 ilman alv, €]],0)</f>
        <v>-35927</v>
      </c>
      <c r="U100" s="174">
        <f>IFERROR(Vertailu[[#This Row],[Muutos, € 2]]/Vertailu[[#This Row],[Rahoitus ml. hark. kor. 
2024 ilman alv, €]],0)</f>
        <v>-0.11829960980589078</v>
      </c>
      <c r="V10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318887</v>
      </c>
      <c r="W100" s="175">
        <f>IFERROR(VLOOKUP(Vertailu[[#This Row],[Y-tunnus]],'1.2 Ohjaus-laskentataulu'!A:AQ,COLUMN('1.2 Ohjaus-laskentataulu'!AQ:AQ),FALSE),0)</f>
        <v>277986</v>
      </c>
      <c r="X100" s="177">
        <f>IFERROR(Vertailu[[#This Row],[Rahoitus ml. hark. kor. + alv 2025, €]]-Vertailu[[#This Row],[Rahoitus ml. hark. kor. + alv 2024, €]],0)</f>
        <v>-40901</v>
      </c>
      <c r="Y100" s="172">
        <f>IFERROR(Vertailu[[#This Row],[Muutos, € 3]]/Vertailu[[#This Row],[Rahoitus ml. hark. kor. + alv 2024, €]],0)</f>
        <v>-0.12826173534825816</v>
      </c>
      <c r="Z100" s="170">
        <f>IFERROR(VLOOKUP(Vertailu[[#This Row],[Y-tunnus]],'Suoritepäät. 2024 oikaistu'!$B:$N,COLUMN('Suoritepäät. 2024 oikaistu'!H:H),FALSE),0)</f>
        <v>186305</v>
      </c>
      <c r="AA100" s="170">
        <f>IFERROR(VLOOKUP(Vertailu[[#This Row],[Y-tunnus]],'1.2 Ohjaus-laskentataulu'!A:AQ,COLUMN('1.2 Ohjaus-laskentataulu'!AL:AL),FALSE),0)</f>
        <v>160861</v>
      </c>
      <c r="AB100" s="170">
        <f>Vertailu[[#This Row],[Perusrahoitus 2025, €]]-Vertailu[[#This Row],[Perusrahoitus 2024, €]]</f>
        <v>-25444</v>
      </c>
      <c r="AC100" s="172">
        <f>IFERROR(Vertailu[[#This Row],[Perusrahoituksen muutos, €]]/Vertailu[[#This Row],[Perusrahoitus 2024, €]],0)</f>
        <v>-0.13657175062397681</v>
      </c>
      <c r="AD100" s="170">
        <f>IFERROR(VLOOKUP(Vertailu[[#This Row],[Y-tunnus]],'Suoritepäät. 2024 oikaistu'!$O:$Y,COLUMN('Suoritepäät. 2024 oikaistu'!D:D),FALSE),0)</f>
        <v>52553</v>
      </c>
      <c r="AE100" s="170">
        <f>IFERROR(VLOOKUP(Vertailu[[#This Row],[Y-tunnus]],'1.2 Ohjaus-laskentataulu'!A:AQ,COLUMN('1.2 Ohjaus-laskentataulu'!N:N),FALSE),0)</f>
        <v>60483</v>
      </c>
      <c r="AF100" s="170">
        <f>Vertailu[[#This Row],[Suoritusrahoitus 2025, €]]-Vertailu[[#This Row],[Suoritusrahoitus 2024, €]]</f>
        <v>7930</v>
      </c>
      <c r="AG100" s="172">
        <f>IFERROR(Vertailu[[#This Row],[Suoritusrahoituksen muutos, €]]/Vertailu[[#This Row],[Suoritusrahoitus 2024, €]],0)</f>
        <v>0.15089528666298785</v>
      </c>
      <c r="AH100" s="170">
        <f>IFERROR(VLOOKUP(Vertailu[[#This Row],[Y-tunnus]],'Suoritepäät. 2024 oikaistu'!$AB:$AL,COLUMN('Suoritepäät. 2024 oikaistu'!I:I),FALSE),0)</f>
        <v>64837</v>
      </c>
      <c r="AI10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46424</v>
      </c>
      <c r="AJ100" s="170">
        <f>Vertailu[[#This Row],[Vaikuttavuusrahoitus 2025, €]]-Vertailu[[#This Row],[Vaikuttavuusrahoitus 2024, €]]</f>
        <v>-18413</v>
      </c>
      <c r="AK100" s="172">
        <f>IFERROR(Vertailu[[#This Row],[Vaikuttavuusrahoituksen muutos, €]]/Vertailu[[#This Row],[Vaikuttavuusrahoitus 2024, €]],0)</f>
        <v>-0.28398908030908276</v>
      </c>
    </row>
    <row r="101" spans="1:37" s="2" customFormat="1" ht="12.75" customHeight="1" x14ac:dyDescent="0.25">
      <c r="A101" s="4" t="s">
        <v>225</v>
      </c>
      <c r="B101" s="161" t="s">
        <v>93</v>
      </c>
      <c r="C101" s="161" t="s">
        <v>223</v>
      </c>
      <c r="D101" s="8" t="s">
        <v>326</v>
      </c>
      <c r="E10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0.56197315328992048</v>
      </c>
      <c r="F10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0.56363775584941345</v>
      </c>
      <c r="G10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0.29729468792031216</v>
      </c>
      <c r="H10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0.13906755623027445</v>
      </c>
      <c r="I10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0.10694072683206157</v>
      </c>
      <c r="J10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3.4390688879123222E-3</v>
      </c>
      <c r="K10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1.7300214400809661E-2</v>
      </c>
      <c r="L10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9.3583955894690589E-3</v>
      </c>
      <c r="M10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2.0291505200218398E-3</v>
      </c>
      <c r="N10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628189</v>
      </c>
      <c r="O101" s="170">
        <f>IFERROR(VLOOKUP(Vertailu[[#This Row],[Y-tunnus]],'1.2 Ohjaus-laskentataulu'!A:AQ,COLUMN('1.2 Ohjaus-laskentataulu'!AE:AE),FALSE),0)</f>
        <v>599744</v>
      </c>
      <c r="P101" s="170">
        <f>IFERROR(Vertailu[[#This Row],[Rahoitus pl. hark. kor. 2025 ilman alv, €]]-Vertailu[[#This Row],[Rahoitus pl. hark. kor. 2024 ilman alv, €]],0)</f>
        <v>-28445</v>
      </c>
      <c r="Q101" s="172">
        <f>IFERROR(Vertailu[[#This Row],[Muutos, € 1]]/Vertailu[[#This Row],[Rahoitus pl. hark. kor. 2024 ilman alv, €]],0)</f>
        <v>-4.5280958437667641E-2</v>
      </c>
      <c r="R101" s="175">
        <f>IFERROR(VLOOKUP(Vertailu[[#This Row],[Y-tunnus]],'Suoritepäät. 2024 oikaistu'!$AB:$AL,COLUMN('Suoritepäät. 2024 oikaistu'!J:J),FALSE),0)</f>
        <v>628189</v>
      </c>
      <c r="S101" s="176">
        <f>IFERROR(VLOOKUP(Vertailu[[#This Row],[Y-tunnus]],'1.2 Ohjaus-laskentataulu'!A:AQ,COLUMN('1.2 Ohjaus-laskentataulu'!AO:AO),FALSE),0)</f>
        <v>600744</v>
      </c>
      <c r="T101" s="170">
        <f>IFERROR(Vertailu[[#This Row],[Rahoitus ml. hark. kor. 
2025 ilman alv, €]]-Vertailu[[#This Row],[Rahoitus ml. hark. kor. 
2024 ilman alv, €]],0)</f>
        <v>-27445</v>
      </c>
      <c r="U101" s="174">
        <f>IFERROR(Vertailu[[#This Row],[Muutos, € 2]]/Vertailu[[#This Row],[Rahoitus ml. hark. kor. 
2024 ilman alv, €]],0)</f>
        <v>-4.3689080833952842E-2</v>
      </c>
      <c r="V10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661331</v>
      </c>
      <c r="W101" s="175">
        <f>IFERROR(VLOOKUP(Vertailu[[#This Row],[Y-tunnus]],'1.2 Ohjaus-laskentataulu'!A:AQ,COLUMN('1.2 Ohjaus-laskentataulu'!AQ:AQ),FALSE),0)</f>
        <v>636558</v>
      </c>
      <c r="X101" s="177">
        <f>IFERROR(Vertailu[[#This Row],[Rahoitus ml. hark. kor. + alv 2025, €]]-Vertailu[[#This Row],[Rahoitus ml. hark. kor. + alv 2024, €]],0)</f>
        <v>-24773</v>
      </c>
      <c r="Y101" s="172">
        <f>IFERROR(Vertailu[[#This Row],[Muutos, € 3]]/Vertailu[[#This Row],[Rahoitus ml. hark. kor. + alv 2024, €]],0)</f>
        <v>-3.7459305551985317E-2</v>
      </c>
      <c r="Z101" s="170">
        <f>IFERROR(VLOOKUP(Vertailu[[#This Row],[Y-tunnus]],'Suoritepäät. 2024 oikaistu'!$B:$N,COLUMN('Suoritepäät. 2024 oikaistu'!H:H),FALSE),0)</f>
        <v>354184</v>
      </c>
      <c r="AA101" s="170">
        <f>IFERROR(VLOOKUP(Vertailu[[#This Row],[Y-tunnus]],'1.2 Ohjaus-laskentataulu'!A:AQ,COLUMN('1.2 Ohjaus-laskentataulu'!AL:AL),FALSE),0)</f>
        <v>338602</v>
      </c>
      <c r="AB101" s="170">
        <f>Vertailu[[#This Row],[Perusrahoitus 2025, €]]-Vertailu[[#This Row],[Perusrahoitus 2024, €]]</f>
        <v>-15582</v>
      </c>
      <c r="AC101" s="172">
        <f>IFERROR(Vertailu[[#This Row],[Perusrahoituksen muutos, €]]/Vertailu[[#This Row],[Perusrahoitus 2024, €]],0)</f>
        <v>-4.3994082171978408E-2</v>
      </c>
      <c r="AD101" s="170">
        <f>IFERROR(VLOOKUP(Vertailu[[#This Row],[Y-tunnus]],'Suoritepäät. 2024 oikaistu'!$O:$Y,COLUMN('Suoritepäät. 2024 oikaistu'!D:D),FALSE),0)</f>
        <v>198129</v>
      </c>
      <c r="AE101" s="170">
        <f>IFERROR(VLOOKUP(Vertailu[[#This Row],[Y-tunnus]],'1.2 Ohjaus-laskentataulu'!A:AQ,COLUMN('1.2 Ohjaus-laskentataulu'!N:N),FALSE),0)</f>
        <v>178598</v>
      </c>
      <c r="AF101" s="170">
        <f>Vertailu[[#This Row],[Suoritusrahoitus 2025, €]]-Vertailu[[#This Row],[Suoritusrahoitus 2024, €]]</f>
        <v>-19531</v>
      </c>
      <c r="AG101" s="172">
        <f>IFERROR(Vertailu[[#This Row],[Suoritusrahoituksen muutos, €]]/Vertailu[[#This Row],[Suoritusrahoitus 2024, €]],0)</f>
        <v>-9.8577189608790236E-2</v>
      </c>
      <c r="AH101" s="170">
        <f>IFERROR(VLOOKUP(Vertailu[[#This Row],[Y-tunnus]],'Suoritepäät. 2024 oikaistu'!$AB:$AL,COLUMN('Suoritepäät. 2024 oikaistu'!I:I),FALSE),0)</f>
        <v>75876</v>
      </c>
      <c r="AI10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83544</v>
      </c>
      <c r="AJ101" s="170">
        <f>Vertailu[[#This Row],[Vaikuttavuusrahoitus 2025, €]]-Vertailu[[#This Row],[Vaikuttavuusrahoitus 2024, €]]</f>
        <v>7668</v>
      </c>
      <c r="AK101" s="172">
        <f>IFERROR(Vertailu[[#This Row],[Vaikuttavuusrahoituksen muutos, €]]/Vertailu[[#This Row],[Vaikuttavuusrahoitus 2024, €]],0)</f>
        <v>0.10105962359639412</v>
      </c>
    </row>
    <row r="102" spans="1:37" s="2" customFormat="1" ht="12.75" customHeight="1" x14ac:dyDescent="0.25">
      <c r="A102" s="4" t="s">
        <v>224</v>
      </c>
      <c r="B102" s="161" t="s">
        <v>94</v>
      </c>
      <c r="C102" s="161" t="s">
        <v>223</v>
      </c>
      <c r="D102" s="8" t="s">
        <v>325</v>
      </c>
      <c r="E10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0.69604527275458894</v>
      </c>
      <c r="F10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0.69865812636799884</v>
      </c>
      <c r="G10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0.19869682592942603</v>
      </c>
      <c r="H10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0.10264504770257514</v>
      </c>
      <c r="I10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6.9843923322344681E-2</v>
      </c>
      <c r="J10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4.2989707089778314E-3</v>
      </c>
      <c r="K10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1.0630608220330746E-2</v>
      </c>
      <c r="L10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1.3464407934703189E-2</v>
      </c>
      <c r="M10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4.4071375162186887E-3</v>
      </c>
      <c r="N10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38807457</v>
      </c>
      <c r="O102" s="170">
        <f>IFERROR(VLOOKUP(Vertailu[[#This Row],[Y-tunnus]],'1.2 Ohjaus-laskentataulu'!A:AQ,COLUMN('1.2 Ohjaus-laskentataulu'!AE:AE),FALSE),0)</f>
        <v>37408885</v>
      </c>
      <c r="P102" s="170">
        <f>IFERROR(Vertailu[[#This Row],[Rahoitus pl. hark. kor. 2025 ilman alv, €]]-Vertailu[[#This Row],[Rahoitus pl. hark. kor. 2024 ilman alv, €]],0)</f>
        <v>-1398572</v>
      </c>
      <c r="Q102" s="172">
        <f>IFERROR(Vertailu[[#This Row],[Muutos, € 1]]/Vertailu[[#This Row],[Rahoitus pl. hark. kor. 2024 ilman alv, €]],0)</f>
        <v>-3.6038743790916268E-2</v>
      </c>
      <c r="R102" s="175">
        <f>IFERROR(VLOOKUP(Vertailu[[#This Row],[Y-tunnus]],'Suoritepäät. 2024 oikaistu'!$AB:$AL,COLUMN('Suoritepäät. 2024 oikaistu'!J:J),FALSE),0)</f>
        <v>39159760</v>
      </c>
      <c r="S102" s="176">
        <f>IFERROR(VLOOKUP(Vertailu[[#This Row],[Y-tunnus]],'1.2 Ohjaus-laskentataulu'!A:AQ,COLUMN('1.2 Ohjaus-laskentataulu'!AO:AO),FALSE),0)</f>
        <v>37506885</v>
      </c>
      <c r="T102" s="170">
        <f>IFERROR(Vertailu[[#This Row],[Rahoitus ml. hark. kor. 
2025 ilman alv, €]]-Vertailu[[#This Row],[Rahoitus ml. hark. kor. 
2024 ilman alv, €]],0)</f>
        <v>-1652875</v>
      </c>
      <c r="U102" s="174">
        <f>IFERROR(Vertailu[[#This Row],[Muutos, € 2]]/Vertailu[[#This Row],[Rahoitus ml. hark. kor. 
2024 ilman alv, €]],0)</f>
        <v>-4.2208506895854314E-2</v>
      </c>
      <c r="V10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39159760</v>
      </c>
      <c r="W102" s="175">
        <f>IFERROR(VLOOKUP(Vertailu[[#This Row],[Y-tunnus]],'1.2 Ohjaus-laskentataulu'!A:AQ,COLUMN('1.2 Ohjaus-laskentataulu'!AQ:AQ),FALSE),0)</f>
        <v>37506885</v>
      </c>
      <c r="X102" s="177">
        <f>IFERROR(Vertailu[[#This Row],[Rahoitus ml. hark. kor. + alv 2025, €]]-Vertailu[[#This Row],[Rahoitus ml. hark. kor. + alv 2024, €]],0)</f>
        <v>-1652875</v>
      </c>
      <c r="Y102" s="172">
        <f>IFERROR(Vertailu[[#This Row],[Muutos, € 3]]/Vertailu[[#This Row],[Rahoitus ml. hark. kor. + alv 2024, €]],0)</f>
        <v>-4.2208506895854314E-2</v>
      </c>
      <c r="Z102" s="170">
        <f>IFERROR(VLOOKUP(Vertailu[[#This Row],[Y-tunnus]],'Suoritepäät. 2024 oikaistu'!$B:$N,COLUMN('Suoritepäät. 2024 oikaistu'!H:H),FALSE),0)</f>
        <v>26786448</v>
      </c>
      <c r="AA102" s="170">
        <f>IFERROR(VLOOKUP(Vertailu[[#This Row],[Y-tunnus]],'1.2 Ohjaus-laskentataulu'!A:AQ,COLUMN('1.2 Ohjaus-laskentataulu'!AL:AL),FALSE),0)</f>
        <v>26204490</v>
      </c>
      <c r="AB102" s="170">
        <f>Vertailu[[#This Row],[Perusrahoitus 2025, €]]-Vertailu[[#This Row],[Perusrahoitus 2024, €]]</f>
        <v>-581958</v>
      </c>
      <c r="AC102" s="172">
        <f>IFERROR(Vertailu[[#This Row],[Perusrahoituksen muutos, €]]/Vertailu[[#This Row],[Perusrahoitus 2024, €]],0)</f>
        <v>-2.1725836885876024E-2</v>
      </c>
      <c r="AD102" s="170">
        <f>IFERROR(VLOOKUP(Vertailu[[#This Row],[Y-tunnus]],'Suoritepäät. 2024 oikaistu'!$O:$Y,COLUMN('Suoritepäät. 2024 oikaistu'!D:D),FALSE),0)</f>
        <v>8422083</v>
      </c>
      <c r="AE102" s="170">
        <f>IFERROR(VLOOKUP(Vertailu[[#This Row],[Y-tunnus]],'1.2 Ohjaus-laskentataulu'!A:AQ,COLUMN('1.2 Ohjaus-laskentataulu'!N:N),FALSE),0)</f>
        <v>7452499</v>
      </c>
      <c r="AF102" s="170">
        <f>Vertailu[[#This Row],[Suoritusrahoitus 2025, €]]-Vertailu[[#This Row],[Suoritusrahoitus 2024, €]]</f>
        <v>-969584</v>
      </c>
      <c r="AG102" s="172">
        <f>IFERROR(Vertailu[[#This Row],[Suoritusrahoituksen muutos, €]]/Vertailu[[#This Row],[Suoritusrahoitus 2024, €]],0)</f>
        <v>-0.11512401385737946</v>
      </c>
      <c r="AH102" s="170">
        <f>IFERROR(VLOOKUP(Vertailu[[#This Row],[Y-tunnus]],'Suoritepäät. 2024 oikaistu'!$AB:$AL,COLUMN('Suoritepäät. 2024 oikaistu'!I:I),FALSE),0)</f>
        <v>3951229</v>
      </c>
      <c r="AI10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3849896</v>
      </c>
      <c r="AJ102" s="170">
        <f>Vertailu[[#This Row],[Vaikuttavuusrahoitus 2025, €]]-Vertailu[[#This Row],[Vaikuttavuusrahoitus 2024, €]]</f>
        <v>-101333</v>
      </c>
      <c r="AK102" s="172">
        <f>IFERROR(Vertailu[[#This Row],[Vaikuttavuusrahoituksen muutos, €]]/Vertailu[[#This Row],[Vaikuttavuusrahoitus 2024, €]],0)</f>
        <v>-2.5645944590910828E-2</v>
      </c>
    </row>
    <row r="103" spans="1:37" s="2" customFormat="1" ht="12.75" customHeight="1" x14ac:dyDescent="0.25">
      <c r="A103" s="4" t="s">
        <v>222</v>
      </c>
      <c r="B103" s="161" t="s">
        <v>95</v>
      </c>
      <c r="C103" s="161" t="s">
        <v>187</v>
      </c>
      <c r="D103" s="8" t="s">
        <v>325</v>
      </c>
      <c r="E10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0.66197041775907328</v>
      </c>
      <c r="F10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0.66333206215221141</v>
      </c>
      <c r="G10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0.22233615168680976</v>
      </c>
      <c r="H10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0.11433178616097886</v>
      </c>
      <c r="I10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7.9481296123943071E-2</v>
      </c>
      <c r="J10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4.7697933559078323E-3</v>
      </c>
      <c r="K10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1.4748017375333709E-2</v>
      </c>
      <c r="L10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1.3026006750563368E-2</v>
      </c>
      <c r="M10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2.3066725552308791E-3</v>
      </c>
      <c r="N10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22357577</v>
      </c>
      <c r="O103" s="170">
        <f>IFERROR(VLOOKUP(Vertailu[[#This Row],[Y-tunnus]],'1.2 Ohjaus-laskentataulu'!A:AQ,COLUMN('1.2 Ohjaus-laskentataulu'!AE:AE),FALSE),0)</f>
        <v>21268778</v>
      </c>
      <c r="P103" s="170">
        <f>IFERROR(Vertailu[[#This Row],[Rahoitus pl. hark. kor. 2025 ilman alv, €]]-Vertailu[[#This Row],[Rahoitus pl. hark. kor. 2024 ilman alv, €]],0)</f>
        <v>-1088799</v>
      </c>
      <c r="Q103" s="172">
        <f>IFERROR(Vertailu[[#This Row],[Muutos, € 1]]/Vertailu[[#This Row],[Rahoitus pl. hark. kor. 2024 ilman alv, €]],0)</f>
        <v>-4.8699329090983338E-2</v>
      </c>
      <c r="R103" s="175">
        <f>IFERROR(VLOOKUP(Vertailu[[#This Row],[Y-tunnus]],'Suoritepäät. 2024 oikaistu'!$AB:$AL,COLUMN('Suoritepäät. 2024 oikaistu'!J:J),FALSE),0)</f>
        <v>22477194</v>
      </c>
      <c r="S103" s="176">
        <f>IFERROR(VLOOKUP(Vertailu[[#This Row],[Y-tunnus]],'1.2 Ohjaus-laskentataulu'!A:AQ,COLUMN('1.2 Ohjaus-laskentataulu'!AO:AO),FALSE),0)</f>
        <v>21297778</v>
      </c>
      <c r="T103" s="170">
        <f>IFERROR(Vertailu[[#This Row],[Rahoitus ml. hark. kor. 
2025 ilman alv, €]]-Vertailu[[#This Row],[Rahoitus ml. hark. kor. 
2024 ilman alv, €]],0)</f>
        <v>-1179416</v>
      </c>
      <c r="U103" s="174">
        <f>IFERROR(Vertailu[[#This Row],[Muutos, € 2]]/Vertailu[[#This Row],[Rahoitus ml. hark. kor. 
2024 ilman alv, €]],0)</f>
        <v>-5.2471674177835541E-2</v>
      </c>
      <c r="V10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22477194</v>
      </c>
      <c r="W103" s="175">
        <f>IFERROR(VLOOKUP(Vertailu[[#This Row],[Y-tunnus]],'1.2 Ohjaus-laskentataulu'!A:AQ,COLUMN('1.2 Ohjaus-laskentataulu'!AQ:AQ),FALSE),0)</f>
        <v>21297778</v>
      </c>
      <c r="X103" s="177">
        <f>IFERROR(Vertailu[[#This Row],[Rahoitus ml. hark. kor. + alv 2025, €]]-Vertailu[[#This Row],[Rahoitus ml. hark. kor. + alv 2024, €]],0)</f>
        <v>-1179416</v>
      </c>
      <c r="Y103" s="172">
        <f>IFERROR(Vertailu[[#This Row],[Muutos, € 3]]/Vertailu[[#This Row],[Rahoitus ml. hark. kor. + alv 2024, €]],0)</f>
        <v>-5.2471674177835541E-2</v>
      </c>
      <c r="Z103" s="170">
        <f>IFERROR(VLOOKUP(Vertailu[[#This Row],[Y-tunnus]],'Suoritepäät. 2024 oikaistu'!$B:$N,COLUMN('Suoritepäät. 2024 oikaistu'!H:H),FALSE),0)</f>
        <v>15141390</v>
      </c>
      <c r="AA103" s="170">
        <f>IFERROR(VLOOKUP(Vertailu[[#This Row],[Y-tunnus]],'1.2 Ohjaus-laskentataulu'!A:AQ,COLUMN('1.2 Ohjaus-laskentataulu'!AL:AL),FALSE),0)</f>
        <v>14127499</v>
      </c>
      <c r="AB103" s="170">
        <f>Vertailu[[#This Row],[Perusrahoitus 2025, €]]-Vertailu[[#This Row],[Perusrahoitus 2024, €]]</f>
        <v>-1013891</v>
      </c>
      <c r="AC103" s="172">
        <f>IFERROR(Vertailu[[#This Row],[Perusrahoituksen muutos, €]]/Vertailu[[#This Row],[Perusrahoitus 2024, €]],0)</f>
        <v>-6.6961553727894196E-2</v>
      </c>
      <c r="AD103" s="170">
        <f>IFERROR(VLOOKUP(Vertailu[[#This Row],[Y-tunnus]],'Suoritepäät. 2024 oikaistu'!$O:$Y,COLUMN('Suoritepäät. 2024 oikaistu'!D:D),FALSE),0)</f>
        <v>4796402</v>
      </c>
      <c r="AE103" s="170">
        <f>IFERROR(VLOOKUP(Vertailu[[#This Row],[Y-tunnus]],'1.2 Ohjaus-laskentataulu'!A:AQ,COLUMN('1.2 Ohjaus-laskentataulu'!N:N),FALSE),0)</f>
        <v>4735266</v>
      </c>
      <c r="AF103" s="170">
        <f>Vertailu[[#This Row],[Suoritusrahoitus 2025, €]]-Vertailu[[#This Row],[Suoritusrahoitus 2024, €]]</f>
        <v>-61136</v>
      </c>
      <c r="AG103" s="172">
        <f>IFERROR(Vertailu[[#This Row],[Suoritusrahoituksen muutos, €]]/Vertailu[[#This Row],[Suoritusrahoitus 2024, €]],0)</f>
        <v>-1.2746221021507371E-2</v>
      </c>
      <c r="AH103" s="170">
        <f>IFERROR(VLOOKUP(Vertailu[[#This Row],[Y-tunnus]],'Suoritepäät. 2024 oikaistu'!$AB:$AL,COLUMN('Suoritepäät. 2024 oikaistu'!I:I),FALSE),0)</f>
        <v>2539402</v>
      </c>
      <c r="AI10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2435013</v>
      </c>
      <c r="AJ103" s="170">
        <f>Vertailu[[#This Row],[Vaikuttavuusrahoitus 2025, €]]-Vertailu[[#This Row],[Vaikuttavuusrahoitus 2024, €]]</f>
        <v>-104389</v>
      </c>
      <c r="AK103" s="172">
        <f>IFERROR(Vertailu[[#This Row],[Vaikuttavuusrahoituksen muutos, €]]/Vertailu[[#This Row],[Vaikuttavuusrahoitus 2024, €]],0)</f>
        <v>-4.1107709610372835E-2</v>
      </c>
    </row>
    <row r="104" spans="1:37" s="2" customFormat="1" ht="12.75" customHeight="1" x14ac:dyDescent="0.25">
      <c r="A104" s="4" t="s">
        <v>221</v>
      </c>
      <c r="B104" s="161" t="s">
        <v>96</v>
      </c>
      <c r="C104" s="161" t="s">
        <v>183</v>
      </c>
      <c r="D104" s="8" t="s">
        <v>325</v>
      </c>
      <c r="E10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0.67557454959485352</v>
      </c>
      <c r="F10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0.67796331597435844</v>
      </c>
      <c r="G10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0.21678509278916336</v>
      </c>
      <c r="H10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0.10525159123647819</v>
      </c>
      <c r="I10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7.6888807313094026E-2</v>
      </c>
      <c r="J10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3.3047024969333561E-3</v>
      </c>
      <c r="K10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1.0810232426189781E-2</v>
      </c>
      <c r="L10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1.1855681225150501E-2</v>
      </c>
      <c r="M10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2.3921677751105241E-3</v>
      </c>
      <c r="N10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41501450</v>
      </c>
      <c r="O104" s="170">
        <f>IFERROR(VLOOKUP(Vertailu[[#This Row],[Y-tunnus]],'1.2 Ohjaus-laskentataulu'!A:AQ,COLUMN('1.2 Ohjaus-laskentataulu'!AE:AE),FALSE),0)</f>
        <v>38421603</v>
      </c>
      <c r="P104" s="170">
        <f>IFERROR(Vertailu[[#This Row],[Rahoitus pl. hark. kor. 2025 ilman alv, €]]-Vertailu[[#This Row],[Rahoitus pl. hark. kor. 2024 ilman alv, €]],0)</f>
        <v>-3079847</v>
      </c>
      <c r="Q104" s="172">
        <f>IFERROR(Vertailu[[#This Row],[Muutos, € 1]]/Vertailu[[#This Row],[Rahoitus pl. hark. kor. 2024 ilman alv, €]],0)</f>
        <v>-7.42105878228351E-2</v>
      </c>
      <c r="R104" s="175">
        <f>IFERROR(VLOOKUP(Vertailu[[#This Row],[Y-tunnus]],'Suoritepäät. 2024 oikaistu'!$AB:$AL,COLUMN('Suoritepäät. 2024 oikaistu'!J:J),FALSE),0)</f>
        <v>41653284</v>
      </c>
      <c r="S104" s="176">
        <f>IFERROR(VLOOKUP(Vertailu[[#This Row],[Y-tunnus]],'1.2 Ohjaus-laskentataulu'!A:AQ,COLUMN('1.2 Ohjaus-laskentataulu'!AO:AO),FALSE),0)</f>
        <v>38513603</v>
      </c>
      <c r="T104" s="170">
        <f>IFERROR(Vertailu[[#This Row],[Rahoitus ml. hark. kor. 
2025 ilman alv, €]]-Vertailu[[#This Row],[Rahoitus ml. hark. kor. 
2024 ilman alv, €]],0)</f>
        <v>-3139681</v>
      </c>
      <c r="U104" s="174">
        <f>IFERROR(Vertailu[[#This Row],[Muutos, € 2]]/Vertailu[[#This Row],[Rahoitus ml. hark. kor. 
2024 ilman alv, €]],0)</f>
        <v>-7.5376553743037408E-2</v>
      </c>
      <c r="V10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41697286</v>
      </c>
      <c r="W104" s="175">
        <f>IFERROR(VLOOKUP(Vertailu[[#This Row],[Y-tunnus]],'1.2 Ohjaus-laskentataulu'!A:AQ,COLUMN('1.2 Ohjaus-laskentataulu'!AQ:AQ),FALSE),0)</f>
        <v>38513603</v>
      </c>
      <c r="X104" s="177">
        <f>IFERROR(Vertailu[[#This Row],[Rahoitus ml. hark. kor. + alv 2025, €]]-Vertailu[[#This Row],[Rahoitus ml. hark. kor. + alv 2024, €]],0)</f>
        <v>-3183683</v>
      </c>
      <c r="Y104" s="172">
        <f>IFERROR(Vertailu[[#This Row],[Muutos, € 3]]/Vertailu[[#This Row],[Rahoitus ml. hark. kor. + alv 2024, €]],0)</f>
        <v>-7.6352283455570699E-2</v>
      </c>
      <c r="Z104" s="170">
        <f>IFERROR(VLOOKUP(Vertailu[[#This Row],[Y-tunnus]],'Suoritepäät. 2024 oikaistu'!$B:$N,COLUMN('Suoritepäät. 2024 oikaistu'!H:H),FALSE),0)</f>
        <v>28184243</v>
      </c>
      <c r="AA104" s="170">
        <f>IFERROR(VLOOKUP(Vertailu[[#This Row],[Y-tunnus]],'1.2 Ohjaus-laskentataulu'!A:AQ,COLUMN('1.2 Ohjaus-laskentataulu'!AL:AL),FALSE),0)</f>
        <v>26110810</v>
      </c>
      <c r="AB104" s="170">
        <f>Vertailu[[#This Row],[Perusrahoitus 2025, €]]-Vertailu[[#This Row],[Perusrahoitus 2024, €]]</f>
        <v>-2073433</v>
      </c>
      <c r="AC104" s="172">
        <f>IFERROR(Vertailu[[#This Row],[Perusrahoituksen muutos, €]]/Vertailu[[#This Row],[Perusrahoitus 2024, €]],0)</f>
        <v>-7.3567099176656978E-2</v>
      </c>
      <c r="AD104" s="170">
        <f>IFERROR(VLOOKUP(Vertailu[[#This Row],[Y-tunnus]],'Suoritepäät. 2024 oikaistu'!$O:$Y,COLUMN('Suoritepäät. 2024 oikaistu'!D:D),FALSE),0)</f>
        <v>9134894</v>
      </c>
      <c r="AE104" s="170">
        <f>IFERROR(VLOOKUP(Vertailu[[#This Row],[Y-tunnus]],'1.2 Ohjaus-laskentataulu'!A:AQ,COLUMN('1.2 Ohjaus-laskentataulu'!N:N),FALSE),0)</f>
        <v>8349175</v>
      </c>
      <c r="AF104" s="170">
        <f>Vertailu[[#This Row],[Suoritusrahoitus 2025, €]]-Vertailu[[#This Row],[Suoritusrahoitus 2024, €]]</f>
        <v>-785719</v>
      </c>
      <c r="AG104" s="172">
        <f>IFERROR(Vertailu[[#This Row],[Suoritusrahoituksen muutos, €]]/Vertailu[[#This Row],[Suoritusrahoitus 2024, €]],0)</f>
        <v>-8.6012930199299523E-2</v>
      </c>
      <c r="AH104" s="170">
        <f>IFERROR(VLOOKUP(Vertailu[[#This Row],[Y-tunnus]],'Suoritepäät. 2024 oikaistu'!$AB:$AL,COLUMN('Suoritepäät. 2024 oikaistu'!I:I),FALSE),0)</f>
        <v>4334147</v>
      </c>
      <c r="AI10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4053618</v>
      </c>
      <c r="AJ104" s="170">
        <f>Vertailu[[#This Row],[Vaikuttavuusrahoitus 2025, €]]-Vertailu[[#This Row],[Vaikuttavuusrahoitus 2024, €]]</f>
        <v>-280529</v>
      </c>
      <c r="AK104" s="172">
        <f>IFERROR(Vertailu[[#This Row],[Vaikuttavuusrahoituksen muutos, €]]/Vertailu[[#This Row],[Vaikuttavuusrahoitus 2024, €]],0)</f>
        <v>-6.4725308117145081E-2</v>
      </c>
    </row>
    <row r="105" spans="1:37" s="2" customFormat="1" ht="12.75" customHeight="1" x14ac:dyDescent="0.25">
      <c r="A105" s="4" t="s">
        <v>220</v>
      </c>
      <c r="B105" s="161" t="s">
        <v>97</v>
      </c>
      <c r="C105" s="161" t="s">
        <v>215</v>
      </c>
      <c r="D105" s="8" t="s">
        <v>325</v>
      </c>
      <c r="E10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0.60719469888440525</v>
      </c>
      <c r="F10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0.60940050695351577</v>
      </c>
      <c r="G10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0.2397850131223522</v>
      </c>
      <c r="H10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0.15081447992413197</v>
      </c>
      <c r="I10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8.4843613354785546E-2</v>
      </c>
      <c r="J10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4.6446965241905827E-3</v>
      </c>
      <c r="K10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1.6643042462246491E-2</v>
      </c>
      <c r="L10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2.681678072900192E-2</v>
      </c>
      <c r="M10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1.7866346853907419E-2</v>
      </c>
      <c r="N10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26745319</v>
      </c>
      <c r="O105" s="170">
        <f>IFERROR(VLOOKUP(Vertailu[[#This Row],[Y-tunnus]],'1.2 Ohjaus-laskentataulu'!A:AQ,COLUMN('1.2 Ohjaus-laskentataulu'!AE:AE),FALSE),0)</f>
        <v>27140916</v>
      </c>
      <c r="P105" s="170">
        <f>IFERROR(Vertailu[[#This Row],[Rahoitus pl. hark. kor. 2025 ilman alv, €]]-Vertailu[[#This Row],[Rahoitus pl. hark. kor. 2024 ilman alv, €]],0)</f>
        <v>395597</v>
      </c>
      <c r="Q105" s="172">
        <f>IFERROR(Vertailu[[#This Row],[Muutos, € 1]]/Vertailu[[#This Row],[Rahoitus pl. hark. kor. 2024 ilman alv, €]],0)</f>
        <v>1.4791261229675369E-2</v>
      </c>
      <c r="R105" s="175">
        <f>IFERROR(VLOOKUP(Vertailu[[#This Row],[Y-tunnus]],'Suoritepäät. 2024 oikaistu'!$AB:$AL,COLUMN('Suoritepäät. 2024 oikaistu'!J:J),FALSE),0)</f>
        <v>26911555</v>
      </c>
      <c r="S105" s="176">
        <f>IFERROR(VLOOKUP(Vertailu[[#This Row],[Y-tunnus]],'1.2 Ohjaus-laskentataulu'!A:AQ,COLUMN('1.2 Ohjaus-laskentataulu'!AO:AO),FALSE),0)</f>
        <v>27200916</v>
      </c>
      <c r="T105" s="170">
        <f>IFERROR(Vertailu[[#This Row],[Rahoitus ml. hark. kor. 
2025 ilman alv, €]]-Vertailu[[#This Row],[Rahoitus ml. hark. kor. 
2024 ilman alv, €]],0)</f>
        <v>289361</v>
      </c>
      <c r="U105" s="174">
        <f>IFERROR(Vertailu[[#This Row],[Muutos, € 2]]/Vertailu[[#This Row],[Rahoitus ml. hark. kor. 
2024 ilman alv, €]],0)</f>
        <v>1.0752295807507221E-2</v>
      </c>
      <c r="V10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26911555</v>
      </c>
      <c r="W105" s="175">
        <f>IFERROR(VLOOKUP(Vertailu[[#This Row],[Y-tunnus]],'1.2 Ohjaus-laskentataulu'!A:AQ,COLUMN('1.2 Ohjaus-laskentataulu'!AQ:AQ),FALSE),0)</f>
        <v>27200916</v>
      </c>
      <c r="X105" s="177">
        <f>IFERROR(Vertailu[[#This Row],[Rahoitus ml. hark. kor. + alv 2025, €]]-Vertailu[[#This Row],[Rahoitus ml. hark. kor. + alv 2024, €]],0)</f>
        <v>289361</v>
      </c>
      <c r="Y105" s="172">
        <f>IFERROR(Vertailu[[#This Row],[Muutos, € 3]]/Vertailu[[#This Row],[Rahoitus ml. hark. kor. + alv 2024, €]],0)</f>
        <v>1.0752295807507221E-2</v>
      </c>
      <c r="Z105" s="170">
        <f>IFERROR(VLOOKUP(Vertailu[[#This Row],[Y-tunnus]],'Suoritepäät. 2024 oikaistu'!$B:$N,COLUMN('Suoritepäät. 2024 oikaistu'!H:H),FALSE),0)</f>
        <v>17317209</v>
      </c>
      <c r="AA105" s="170">
        <f>IFERROR(VLOOKUP(Vertailu[[#This Row],[Y-tunnus]],'1.2 Ohjaus-laskentataulu'!A:AQ,COLUMN('1.2 Ohjaus-laskentataulu'!AL:AL),FALSE),0)</f>
        <v>16576252</v>
      </c>
      <c r="AB105" s="170">
        <f>Vertailu[[#This Row],[Perusrahoitus 2025, €]]-Vertailu[[#This Row],[Perusrahoitus 2024, €]]</f>
        <v>-740957</v>
      </c>
      <c r="AC105" s="172">
        <f>IFERROR(Vertailu[[#This Row],[Perusrahoituksen muutos, €]]/Vertailu[[#This Row],[Perusrahoitus 2024, €]],0)</f>
        <v>-4.2787322137187347E-2</v>
      </c>
      <c r="AD105" s="170">
        <f>IFERROR(VLOOKUP(Vertailu[[#This Row],[Y-tunnus]],'Suoritepäät. 2024 oikaistu'!$O:$Y,COLUMN('Suoritepäät. 2024 oikaistu'!D:D),FALSE),0)</f>
        <v>6198470</v>
      </c>
      <c r="AE105" s="170">
        <f>IFERROR(VLOOKUP(Vertailu[[#This Row],[Y-tunnus]],'1.2 Ohjaus-laskentataulu'!A:AQ,COLUMN('1.2 Ohjaus-laskentataulu'!N:N),FALSE),0)</f>
        <v>6522372</v>
      </c>
      <c r="AF105" s="170">
        <f>Vertailu[[#This Row],[Suoritusrahoitus 2025, €]]-Vertailu[[#This Row],[Suoritusrahoitus 2024, €]]</f>
        <v>323902</v>
      </c>
      <c r="AG105" s="172">
        <f>IFERROR(Vertailu[[#This Row],[Suoritusrahoituksen muutos, €]]/Vertailu[[#This Row],[Suoritusrahoitus 2024, €]],0)</f>
        <v>5.2255153287827483E-2</v>
      </c>
      <c r="AH105" s="170">
        <f>IFERROR(VLOOKUP(Vertailu[[#This Row],[Y-tunnus]],'Suoritepäät. 2024 oikaistu'!$AB:$AL,COLUMN('Suoritepäät. 2024 oikaistu'!I:I),FALSE),0)</f>
        <v>3395876</v>
      </c>
      <c r="AI10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4102292</v>
      </c>
      <c r="AJ105" s="170">
        <f>Vertailu[[#This Row],[Vaikuttavuusrahoitus 2025, €]]-Vertailu[[#This Row],[Vaikuttavuusrahoitus 2024, €]]</f>
        <v>706416</v>
      </c>
      <c r="AK105" s="172">
        <f>IFERROR(Vertailu[[#This Row],[Vaikuttavuusrahoituksen muutos, €]]/Vertailu[[#This Row],[Vaikuttavuusrahoitus 2024, €]],0)</f>
        <v>0.20802172988648585</v>
      </c>
    </row>
    <row r="106" spans="1:37" s="2" customFormat="1" ht="12.75" customHeight="1" x14ac:dyDescent="0.25">
      <c r="A106" s="4" t="s">
        <v>219</v>
      </c>
      <c r="B106" s="161" t="s">
        <v>98</v>
      </c>
      <c r="C106" s="161" t="s">
        <v>178</v>
      </c>
      <c r="D106" s="8" t="s">
        <v>325</v>
      </c>
      <c r="E10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0.68766065574446655</v>
      </c>
      <c r="F10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0.68994003798164083</v>
      </c>
      <c r="G10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0.20091727923384473</v>
      </c>
      <c r="H10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0.10914268278451443</v>
      </c>
      <c r="I10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7.2153596621726032E-2</v>
      </c>
      <c r="J10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4.6863478556238673E-3</v>
      </c>
      <c r="K10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1.2580360241011643E-2</v>
      </c>
      <c r="L10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1.6595902960836895E-2</v>
      </c>
      <c r="M10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3.1264751053159878E-3</v>
      </c>
      <c r="N10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67780563</v>
      </c>
      <c r="O106" s="170">
        <f>IFERROR(VLOOKUP(Vertailu[[#This Row],[Y-tunnus]],'1.2 Ohjaus-laskentataulu'!A:AQ,COLUMN('1.2 Ohjaus-laskentataulu'!AE:AE),FALSE),0)</f>
        <v>64344158</v>
      </c>
      <c r="P106" s="170">
        <f>IFERROR(Vertailu[[#This Row],[Rahoitus pl. hark. kor. 2025 ilman alv, €]]-Vertailu[[#This Row],[Rahoitus pl. hark. kor. 2024 ilman alv, €]],0)</f>
        <v>-3436405</v>
      </c>
      <c r="Q106" s="172">
        <f>IFERROR(Vertailu[[#This Row],[Muutos, € 1]]/Vertailu[[#This Row],[Rahoitus pl. hark. kor. 2024 ilman alv, €]],0)</f>
        <v>-5.0698973981670822E-2</v>
      </c>
      <c r="R106" s="175">
        <f>IFERROR(VLOOKUP(Vertailu[[#This Row],[Y-tunnus]],'Suoritepäät. 2024 oikaistu'!$AB:$AL,COLUMN('Suoritepäät. 2024 oikaistu'!J:J),FALSE),0)</f>
        <v>68192956</v>
      </c>
      <c r="S106" s="176">
        <f>IFERROR(VLOOKUP(Vertailu[[#This Row],[Y-tunnus]],'1.2 Ohjaus-laskentataulu'!A:AQ,COLUMN('1.2 Ohjaus-laskentataulu'!AO:AO),FALSE),0)</f>
        <v>64491158</v>
      </c>
      <c r="T106" s="170">
        <f>IFERROR(Vertailu[[#This Row],[Rahoitus ml. hark. kor. 
2025 ilman alv, €]]-Vertailu[[#This Row],[Rahoitus ml. hark. kor. 
2024 ilman alv, €]],0)</f>
        <v>-3701798</v>
      </c>
      <c r="U106" s="174">
        <f>IFERROR(Vertailu[[#This Row],[Muutos, € 2]]/Vertailu[[#This Row],[Rahoitus ml. hark. kor. 
2024 ilman alv, €]],0)</f>
        <v>-5.4284169760876771E-2</v>
      </c>
      <c r="V10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68192956</v>
      </c>
      <c r="W106" s="175">
        <f>IFERROR(VLOOKUP(Vertailu[[#This Row],[Y-tunnus]],'1.2 Ohjaus-laskentataulu'!A:AQ,COLUMN('1.2 Ohjaus-laskentataulu'!AQ:AQ),FALSE),0)</f>
        <v>64491158</v>
      </c>
      <c r="X106" s="177">
        <f>IFERROR(Vertailu[[#This Row],[Rahoitus ml. hark. kor. + alv 2025, €]]-Vertailu[[#This Row],[Rahoitus ml. hark. kor. + alv 2024, €]],0)</f>
        <v>-3701798</v>
      </c>
      <c r="Y106" s="172">
        <f>IFERROR(Vertailu[[#This Row],[Muutos, € 3]]/Vertailu[[#This Row],[Rahoitus ml. hark. kor. + alv 2024, €]],0)</f>
        <v>-5.4284169760876771E-2</v>
      </c>
      <c r="Z106" s="170">
        <f>IFERROR(VLOOKUP(Vertailu[[#This Row],[Y-tunnus]],'Suoritepäät. 2024 oikaistu'!$B:$N,COLUMN('Suoritepäät. 2024 oikaistu'!H:H),FALSE),0)</f>
        <v>46809145</v>
      </c>
      <c r="AA106" s="170">
        <f>IFERROR(VLOOKUP(Vertailu[[#This Row],[Y-tunnus]],'1.2 Ohjaus-laskentataulu'!A:AQ,COLUMN('1.2 Ohjaus-laskentataulu'!AL:AL),FALSE),0)</f>
        <v>44495032</v>
      </c>
      <c r="AB106" s="170">
        <f>Vertailu[[#This Row],[Perusrahoitus 2025, €]]-Vertailu[[#This Row],[Perusrahoitus 2024, €]]</f>
        <v>-2314113</v>
      </c>
      <c r="AC106" s="172">
        <f>IFERROR(Vertailu[[#This Row],[Perusrahoituksen muutos, €]]/Vertailu[[#This Row],[Perusrahoitus 2024, €]],0)</f>
        <v>-4.943719864996466E-2</v>
      </c>
      <c r="AD106" s="170">
        <f>IFERROR(VLOOKUP(Vertailu[[#This Row],[Y-tunnus]],'Suoritepäät. 2024 oikaistu'!$O:$Y,COLUMN('Suoritepäät. 2024 oikaistu'!D:D),FALSE),0)</f>
        <v>13579915</v>
      </c>
      <c r="AE106" s="170">
        <f>IFERROR(VLOOKUP(Vertailu[[#This Row],[Y-tunnus]],'1.2 Ohjaus-laskentataulu'!A:AQ,COLUMN('1.2 Ohjaus-laskentataulu'!N:N),FALSE),0)</f>
        <v>12957388</v>
      </c>
      <c r="AF106" s="170">
        <f>Vertailu[[#This Row],[Suoritusrahoitus 2025, €]]-Vertailu[[#This Row],[Suoritusrahoitus 2024, €]]</f>
        <v>-622527</v>
      </c>
      <c r="AG106" s="172">
        <f>IFERROR(Vertailu[[#This Row],[Suoritusrahoituksen muutos, €]]/Vertailu[[#This Row],[Suoritusrahoitus 2024, €]],0)</f>
        <v>-4.5841744959375666E-2</v>
      </c>
      <c r="AH106" s="170">
        <f>IFERROR(VLOOKUP(Vertailu[[#This Row],[Y-tunnus]],'Suoritepäät. 2024 oikaistu'!$AB:$AL,COLUMN('Suoritepäät. 2024 oikaistu'!I:I),FALSE),0)</f>
        <v>7803896</v>
      </c>
      <c r="AI10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7038738</v>
      </c>
      <c r="AJ106" s="170">
        <f>Vertailu[[#This Row],[Vaikuttavuusrahoitus 2025, €]]-Vertailu[[#This Row],[Vaikuttavuusrahoitus 2024, €]]</f>
        <v>-765158</v>
      </c>
      <c r="AK106" s="172">
        <f>IFERROR(Vertailu[[#This Row],[Vaikuttavuusrahoituksen muutos, €]]/Vertailu[[#This Row],[Vaikuttavuusrahoitus 2024, €]],0)</f>
        <v>-9.8048205665477853E-2</v>
      </c>
    </row>
    <row r="107" spans="1:37" s="2" customFormat="1" ht="12.75" customHeight="1" x14ac:dyDescent="0.25">
      <c r="A107" s="4" t="s">
        <v>218</v>
      </c>
      <c r="B107" s="161" t="s">
        <v>99</v>
      </c>
      <c r="C107" s="161" t="s">
        <v>200</v>
      </c>
      <c r="D107" s="8" t="s">
        <v>325</v>
      </c>
      <c r="E10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0.6864576963910658</v>
      </c>
      <c r="F10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0.68788181053481512</v>
      </c>
      <c r="G10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0.20278172985489989</v>
      </c>
      <c r="H10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0.109336459610285</v>
      </c>
      <c r="I10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7.3897687059654049E-2</v>
      </c>
      <c r="J10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3.8575980540596425E-3</v>
      </c>
      <c r="K10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1.2307502346853507E-2</v>
      </c>
      <c r="L10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1.3554718420206316E-2</v>
      </c>
      <c r="M10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5.7189537295114961E-3</v>
      </c>
      <c r="N10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55528754</v>
      </c>
      <c r="O107" s="170">
        <f>IFERROR(VLOOKUP(Vertailu[[#This Row],[Y-tunnus]],'1.2 Ohjaus-laskentataulu'!A:AQ,COLUMN('1.2 Ohjaus-laskentataulu'!AE:AE),FALSE),0)</f>
        <v>51888127</v>
      </c>
      <c r="P107" s="170">
        <f>IFERROR(Vertailu[[#This Row],[Rahoitus pl. hark. kor. 2025 ilman alv, €]]-Vertailu[[#This Row],[Rahoitus pl. hark. kor. 2024 ilman alv, €]],0)</f>
        <v>-3640627</v>
      </c>
      <c r="Q107" s="172">
        <f>IFERROR(Vertailu[[#This Row],[Muutos, € 1]]/Vertailu[[#This Row],[Rahoitus pl. hark. kor. 2024 ilman alv, €]],0)</f>
        <v>-6.5562915386143908E-2</v>
      </c>
      <c r="R107" s="175">
        <f>IFERROR(VLOOKUP(Vertailu[[#This Row],[Y-tunnus]],'Suoritepäät. 2024 oikaistu'!$AB:$AL,COLUMN('Suoritepäät. 2024 oikaistu'!J:J),FALSE),0)</f>
        <v>55767308</v>
      </c>
      <c r="S107" s="176">
        <f>IFERROR(VLOOKUP(Vertailu[[#This Row],[Y-tunnus]],'1.2 Ohjaus-laskentataulu'!A:AQ,COLUMN('1.2 Ohjaus-laskentataulu'!AO:AO),FALSE),0)</f>
        <v>51962127</v>
      </c>
      <c r="T107" s="170">
        <f>IFERROR(Vertailu[[#This Row],[Rahoitus ml. hark. kor. 
2025 ilman alv, €]]-Vertailu[[#This Row],[Rahoitus ml. hark. kor. 
2024 ilman alv, €]],0)</f>
        <v>-3805181</v>
      </c>
      <c r="U107" s="174">
        <f>IFERROR(Vertailu[[#This Row],[Muutos, € 2]]/Vertailu[[#This Row],[Rahoitus ml. hark. kor. 
2024 ilman alv, €]],0)</f>
        <v>-6.8233184216100223E-2</v>
      </c>
      <c r="V10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55767308</v>
      </c>
      <c r="W107" s="175">
        <f>IFERROR(VLOOKUP(Vertailu[[#This Row],[Y-tunnus]],'1.2 Ohjaus-laskentataulu'!A:AQ,COLUMN('1.2 Ohjaus-laskentataulu'!AQ:AQ),FALSE),0)</f>
        <v>51962127</v>
      </c>
      <c r="X107" s="177">
        <f>IFERROR(Vertailu[[#This Row],[Rahoitus ml. hark. kor. + alv 2025, €]]-Vertailu[[#This Row],[Rahoitus ml. hark. kor. + alv 2024, €]],0)</f>
        <v>-3805181</v>
      </c>
      <c r="Y107" s="172">
        <f>IFERROR(Vertailu[[#This Row],[Muutos, € 3]]/Vertailu[[#This Row],[Rahoitus ml. hark. kor. + alv 2024, €]],0)</f>
        <v>-6.8233184216100223E-2</v>
      </c>
      <c r="Z107" s="170">
        <f>IFERROR(VLOOKUP(Vertailu[[#This Row],[Y-tunnus]],'Suoritepäät. 2024 oikaistu'!$B:$N,COLUMN('Suoritepäät. 2024 oikaistu'!H:H),FALSE),0)</f>
        <v>37629885</v>
      </c>
      <c r="AA107" s="170">
        <f>IFERROR(VLOOKUP(Vertailu[[#This Row],[Y-tunnus]],'1.2 Ohjaus-laskentataulu'!A:AQ,COLUMN('1.2 Ohjaus-laskentataulu'!AL:AL),FALSE),0)</f>
        <v>35743802</v>
      </c>
      <c r="AB107" s="170">
        <f>Vertailu[[#This Row],[Perusrahoitus 2025, €]]-Vertailu[[#This Row],[Perusrahoitus 2024, €]]</f>
        <v>-1886083</v>
      </c>
      <c r="AC107" s="172">
        <f>IFERROR(Vertailu[[#This Row],[Perusrahoituksen muutos, €]]/Vertailu[[#This Row],[Perusrahoitus 2024, €]],0)</f>
        <v>-5.0121944300387841E-2</v>
      </c>
      <c r="AD107" s="170">
        <f>IFERROR(VLOOKUP(Vertailu[[#This Row],[Y-tunnus]],'Suoritepäät. 2024 oikaistu'!$O:$Y,COLUMN('Suoritepäät. 2024 oikaistu'!D:D),FALSE),0)</f>
        <v>12127719</v>
      </c>
      <c r="AE107" s="170">
        <f>IFERROR(VLOOKUP(Vertailu[[#This Row],[Y-tunnus]],'1.2 Ohjaus-laskentataulu'!A:AQ,COLUMN('1.2 Ohjaus-laskentataulu'!N:N),FALSE),0)</f>
        <v>10536970</v>
      </c>
      <c r="AF107" s="170">
        <f>Vertailu[[#This Row],[Suoritusrahoitus 2025, €]]-Vertailu[[#This Row],[Suoritusrahoitus 2024, €]]</f>
        <v>-1590749</v>
      </c>
      <c r="AG107" s="172">
        <f>IFERROR(Vertailu[[#This Row],[Suoritusrahoituksen muutos, €]]/Vertailu[[#This Row],[Suoritusrahoitus 2024, €]],0)</f>
        <v>-0.1311663800917551</v>
      </c>
      <c r="AH107" s="170">
        <f>IFERROR(VLOOKUP(Vertailu[[#This Row],[Y-tunnus]],'Suoritepäät. 2024 oikaistu'!$AB:$AL,COLUMN('Suoritepäät. 2024 oikaistu'!I:I),FALSE),0)</f>
        <v>6009704</v>
      </c>
      <c r="AI10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5681355</v>
      </c>
      <c r="AJ107" s="170">
        <f>Vertailu[[#This Row],[Vaikuttavuusrahoitus 2025, €]]-Vertailu[[#This Row],[Vaikuttavuusrahoitus 2024, €]]</f>
        <v>-328349</v>
      </c>
      <c r="AK107" s="172">
        <f>IFERROR(Vertailu[[#This Row],[Vaikuttavuusrahoituksen muutos, €]]/Vertailu[[#This Row],[Vaikuttavuusrahoitus 2024, €]],0)</f>
        <v>-5.4636467952498158E-2</v>
      </c>
    </row>
    <row r="108" spans="1:37" s="2" customFormat="1" ht="12.75" customHeight="1" x14ac:dyDescent="0.25">
      <c r="A108" s="4" t="s">
        <v>217</v>
      </c>
      <c r="B108" s="161" t="s">
        <v>100</v>
      </c>
      <c r="C108" s="161" t="s">
        <v>174</v>
      </c>
      <c r="D108" s="8" t="s">
        <v>326</v>
      </c>
      <c r="E10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0.64537448550219234</v>
      </c>
      <c r="F10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0.64748280730853791</v>
      </c>
      <c r="G10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0.2309041668154454</v>
      </c>
      <c r="H10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0.12161302587601668</v>
      </c>
      <c r="I10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8.4689358070736617E-2</v>
      </c>
      <c r="J10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4.6056514149171932E-3</v>
      </c>
      <c r="K10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1.3815025354588327E-2</v>
      </c>
      <c r="L10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1.0636034933905457E-2</v>
      </c>
      <c r="M10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7.8669561018690857E-3</v>
      </c>
      <c r="N10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23467871</v>
      </c>
      <c r="O108" s="170">
        <f>IFERROR(VLOOKUP(Vertailu[[#This Row],[Y-tunnus]],'1.2 Ohjaus-laskentataulu'!A:AQ,COLUMN('1.2 Ohjaus-laskentataulu'!AE:AE),FALSE),0)</f>
        <v>22245612</v>
      </c>
      <c r="P108" s="170">
        <f>IFERROR(Vertailu[[#This Row],[Rahoitus pl. hark. kor. 2025 ilman alv, €]]-Vertailu[[#This Row],[Rahoitus pl. hark. kor. 2024 ilman alv, €]],0)</f>
        <v>-1222259</v>
      </c>
      <c r="Q108" s="172">
        <f>IFERROR(Vertailu[[#This Row],[Muutos, € 1]]/Vertailu[[#This Row],[Rahoitus pl. hark. kor. 2024 ilman alv, €]],0)</f>
        <v>-5.2082227654992652E-2</v>
      </c>
      <c r="R108" s="175">
        <f>IFERROR(VLOOKUP(Vertailu[[#This Row],[Y-tunnus]],'Suoritepäät. 2024 oikaistu'!$AB:$AL,COLUMN('Suoritepäät. 2024 oikaistu'!J:J),FALSE),0)</f>
        <v>23551656</v>
      </c>
      <c r="S108" s="176">
        <f>IFERROR(VLOOKUP(Vertailu[[#This Row],[Y-tunnus]],'1.2 Ohjaus-laskentataulu'!A:AQ,COLUMN('1.2 Ohjaus-laskentataulu'!AO:AO),FALSE),0)</f>
        <v>22292612</v>
      </c>
      <c r="T108" s="170">
        <f>IFERROR(Vertailu[[#This Row],[Rahoitus ml. hark. kor. 
2025 ilman alv, €]]-Vertailu[[#This Row],[Rahoitus ml. hark. kor. 
2024 ilman alv, €]],0)</f>
        <v>-1259044</v>
      </c>
      <c r="U108" s="174">
        <f>IFERROR(Vertailu[[#This Row],[Muutos, € 2]]/Vertailu[[#This Row],[Rahoitus ml. hark. kor. 
2024 ilman alv, €]],0)</f>
        <v>-5.3458831090263885E-2</v>
      </c>
      <c r="V10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24289919</v>
      </c>
      <c r="W108" s="175">
        <f>IFERROR(VLOOKUP(Vertailu[[#This Row],[Y-tunnus]],'1.2 Ohjaus-laskentataulu'!A:AQ,COLUMN('1.2 Ohjaus-laskentataulu'!AQ:AQ),FALSE),0)</f>
        <v>23106872</v>
      </c>
      <c r="X108" s="177">
        <f>IFERROR(Vertailu[[#This Row],[Rahoitus ml. hark. kor. + alv 2025, €]]-Vertailu[[#This Row],[Rahoitus ml. hark. kor. + alv 2024, €]],0)</f>
        <v>-1183047</v>
      </c>
      <c r="Y108" s="172">
        <f>IFERROR(Vertailu[[#This Row],[Muutos, € 3]]/Vertailu[[#This Row],[Rahoitus ml. hark. kor. + alv 2024, €]],0)</f>
        <v>-4.8705267399203757E-2</v>
      </c>
      <c r="Z108" s="170">
        <f>IFERROR(VLOOKUP(Vertailu[[#This Row],[Y-tunnus]],'Suoritepäät. 2024 oikaistu'!$B:$N,COLUMN('Suoritepäät. 2024 oikaistu'!H:H),FALSE),0)</f>
        <v>15610561</v>
      </c>
      <c r="AA108" s="170">
        <f>IFERROR(VLOOKUP(Vertailu[[#This Row],[Y-tunnus]],'1.2 Ohjaus-laskentataulu'!A:AQ,COLUMN('1.2 Ohjaus-laskentataulu'!AL:AL),FALSE),0)</f>
        <v>14434083</v>
      </c>
      <c r="AB108" s="170">
        <f>Vertailu[[#This Row],[Perusrahoitus 2025, €]]-Vertailu[[#This Row],[Perusrahoitus 2024, €]]</f>
        <v>-1176478</v>
      </c>
      <c r="AC108" s="172">
        <f>IFERROR(Vertailu[[#This Row],[Perusrahoituksen muutos, €]]/Vertailu[[#This Row],[Perusrahoitus 2024, €]],0)</f>
        <v>-7.5364235788835526E-2</v>
      </c>
      <c r="AD108" s="170">
        <f>IFERROR(VLOOKUP(Vertailu[[#This Row],[Y-tunnus]],'Suoritepäät. 2024 oikaistu'!$O:$Y,COLUMN('Suoritepäät. 2024 oikaistu'!D:D),FALSE),0)</f>
        <v>5085138</v>
      </c>
      <c r="AE108" s="170">
        <f>IFERROR(VLOOKUP(Vertailu[[#This Row],[Y-tunnus]],'1.2 Ohjaus-laskentataulu'!A:AQ,COLUMN('1.2 Ohjaus-laskentataulu'!N:N),FALSE),0)</f>
        <v>5147457</v>
      </c>
      <c r="AF108" s="170">
        <f>Vertailu[[#This Row],[Suoritusrahoitus 2025, €]]-Vertailu[[#This Row],[Suoritusrahoitus 2024, €]]</f>
        <v>62319</v>
      </c>
      <c r="AG108" s="172">
        <f>IFERROR(Vertailu[[#This Row],[Suoritusrahoituksen muutos, €]]/Vertailu[[#This Row],[Suoritusrahoitus 2024, €]],0)</f>
        <v>1.2255124639685295E-2</v>
      </c>
      <c r="AH108" s="170">
        <f>IFERROR(VLOOKUP(Vertailu[[#This Row],[Y-tunnus]],'Suoritepäät. 2024 oikaistu'!$AB:$AL,COLUMN('Suoritepäät. 2024 oikaistu'!I:I),FALSE),0)</f>
        <v>2855957</v>
      </c>
      <c r="AI10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2711072</v>
      </c>
      <c r="AJ108" s="170">
        <f>Vertailu[[#This Row],[Vaikuttavuusrahoitus 2025, €]]-Vertailu[[#This Row],[Vaikuttavuusrahoitus 2024, €]]</f>
        <v>-144885</v>
      </c>
      <c r="AK108" s="172">
        <f>IFERROR(Vertailu[[#This Row],[Vaikuttavuusrahoituksen muutos, €]]/Vertailu[[#This Row],[Vaikuttavuusrahoitus 2024, €]],0)</f>
        <v>-5.0730805820955988E-2</v>
      </c>
    </row>
    <row r="109" spans="1:37" s="2" customFormat="1" ht="12.75" customHeight="1" x14ac:dyDescent="0.25">
      <c r="A109" s="4" t="s">
        <v>216</v>
      </c>
      <c r="B109" s="161" t="s">
        <v>146</v>
      </c>
      <c r="C109" s="161" t="s">
        <v>215</v>
      </c>
      <c r="D109" s="8" t="s">
        <v>326</v>
      </c>
      <c r="E10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4.7261476617679439E-2</v>
      </c>
      <c r="F10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1</v>
      </c>
      <c r="G10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</v>
      </c>
      <c r="H10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</v>
      </c>
      <c r="I10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</v>
      </c>
      <c r="J10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0</v>
      </c>
      <c r="K10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0</v>
      </c>
      <c r="L10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10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10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388306</v>
      </c>
      <c r="O109" s="170">
        <f>IFERROR(VLOOKUP(Vertailu[[#This Row],[Y-tunnus]],'1.2 Ohjaus-laskentataulu'!A:AQ,COLUMN('1.2 Ohjaus-laskentataulu'!AE:AE),FALSE),0)</f>
        <v>334840</v>
      </c>
      <c r="P109" s="170">
        <f>IFERROR(Vertailu[[#This Row],[Rahoitus pl. hark. kor. 2025 ilman alv, €]]-Vertailu[[#This Row],[Rahoitus pl. hark. kor. 2024 ilman alv, €]],0)</f>
        <v>-53466</v>
      </c>
      <c r="Q109" s="172">
        <f>IFERROR(Vertailu[[#This Row],[Muutos, € 1]]/Vertailu[[#This Row],[Rahoitus pl. hark. kor. 2024 ilman alv, €]],0)</f>
        <v>-0.13769037820687807</v>
      </c>
      <c r="R109" s="175">
        <f>IFERROR(VLOOKUP(Vertailu[[#This Row],[Y-tunnus]],'Suoritepäät. 2024 oikaistu'!$AB:$AL,COLUMN('Suoritepäät. 2024 oikaistu'!J:J),FALSE),0)</f>
        <v>6848306</v>
      </c>
      <c r="S109" s="176">
        <f>IFERROR(VLOOKUP(Vertailu[[#This Row],[Y-tunnus]],'1.2 Ohjaus-laskentataulu'!A:AQ,COLUMN('1.2 Ohjaus-laskentataulu'!AO:AO),FALSE),0)</f>
        <v>7084840</v>
      </c>
      <c r="T109" s="170">
        <f>IFERROR(Vertailu[[#This Row],[Rahoitus ml. hark. kor. 
2025 ilman alv, €]]-Vertailu[[#This Row],[Rahoitus ml. hark. kor. 
2024 ilman alv, €]],0)</f>
        <v>236534</v>
      </c>
      <c r="U109" s="174">
        <f>IFERROR(Vertailu[[#This Row],[Muutos, € 2]]/Vertailu[[#This Row],[Rahoitus ml. hark. kor. 
2024 ilman alv, €]],0)</f>
        <v>3.4539052431360399E-2</v>
      </c>
      <c r="V10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8016654</v>
      </c>
      <c r="W109" s="175">
        <f>IFERROR(VLOOKUP(Vertailu[[#This Row],[Y-tunnus]],'1.2 Ohjaus-laskentataulu'!A:AQ,COLUMN('1.2 Ohjaus-laskentataulu'!AQ:AQ),FALSE),0)</f>
        <v>8111727</v>
      </c>
      <c r="X109" s="177">
        <f>IFERROR(Vertailu[[#This Row],[Rahoitus ml. hark. kor. + alv 2025, €]]-Vertailu[[#This Row],[Rahoitus ml. hark. kor. + alv 2024, €]],0)</f>
        <v>95073</v>
      </c>
      <c r="Y109" s="172">
        <f>IFERROR(Vertailu[[#This Row],[Muutos, € 3]]/Vertailu[[#This Row],[Rahoitus ml. hark. kor. + alv 2024, €]],0)</f>
        <v>1.1859436617820851E-2</v>
      </c>
      <c r="Z109" s="170">
        <f>IFERROR(VLOOKUP(Vertailu[[#This Row],[Y-tunnus]],'Suoritepäät. 2024 oikaistu'!$B:$N,COLUMN('Suoritepäät. 2024 oikaistu'!H:H),FALSE),0)</f>
        <v>6848306</v>
      </c>
      <c r="AA109" s="170">
        <f>IFERROR(VLOOKUP(Vertailu[[#This Row],[Y-tunnus]],'1.2 Ohjaus-laskentataulu'!A:AQ,COLUMN('1.2 Ohjaus-laskentataulu'!AL:AL),FALSE),0)</f>
        <v>7084840</v>
      </c>
      <c r="AB109" s="170">
        <f>Vertailu[[#This Row],[Perusrahoitus 2025, €]]-Vertailu[[#This Row],[Perusrahoitus 2024, €]]</f>
        <v>236534</v>
      </c>
      <c r="AC109" s="172">
        <f>IFERROR(Vertailu[[#This Row],[Perusrahoituksen muutos, €]]/Vertailu[[#This Row],[Perusrahoitus 2024, €]],0)</f>
        <v>3.4539052431360399E-2</v>
      </c>
      <c r="AD109" s="170">
        <f>IFERROR(VLOOKUP(Vertailu[[#This Row],[Y-tunnus]],'Suoritepäät. 2024 oikaistu'!$O:$Y,COLUMN('Suoritepäät. 2024 oikaistu'!D:D),FALSE),0)</f>
        <v>0</v>
      </c>
      <c r="AE109" s="170">
        <f>IFERROR(VLOOKUP(Vertailu[[#This Row],[Y-tunnus]],'1.2 Ohjaus-laskentataulu'!A:AQ,COLUMN('1.2 Ohjaus-laskentataulu'!N:N),FALSE),0)</f>
        <v>0</v>
      </c>
      <c r="AF109" s="170">
        <f>Vertailu[[#This Row],[Suoritusrahoitus 2025, €]]-Vertailu[[#This Row],[Suoritusrahoitus 2024, €]]</f>
        <v>0</v>
      </c>
      <c r="AG109" s="172">
        <f>IFERROR(Vertailu[[#This Row],[Suoritusrahoituksen muutos, €]]/Vertailu[[#This Row],[Suoritusrahoitus 2024, €]],0)</f>
        <v>0</v>
      </c>
      <c r="AH109" s="170">
        <f>IFERROR(VLOOKUP(Vertailu[[#This Row],[Y-tunnus]],'Suoritepäät. 2024 oikaistu'!$AB:$AL,COLUMN('Suoritepäät. 2024 oikaistu'!I:I),FALSE),0)</f>
        <v>0</v>
      </c>
      <c r="AI10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0</v>
      </c>
      <c r="AJ109" s="170">
        <f>Vertailu[[#This Row],[Vaikuttavuusrahoitus 2025, €]]-Vertailu[[#This Row],[Vaikuttavuusrahoitus 2024, €]]</f>
        <v>0</v>
      </c>
      <c r="AK109" s="172">
        <f>IFERROR(Vertailu[[#This Row],[Vaikuttavuusrahoituksen muutos, €]]/Vertailu[[#This Row],[Vaikuttavuusrahoitus 2024, €]],0)</f>
        <v>0</v>
      </c>
    </row>
    <row r="110" spans="1:37" s="2" customFormat="1" ht="12.75" customHeight="1" x14ac:dyDescent="0.25">
      <c r="A110" s="4" t="s">
        <v>214</v>
      </c>
      <c r="B110" s="161" t="s">
        <v>101</v>
      </c>
      <c r="C110" s="161" t="s">
        <v>174</v>
      </c>
      <c r="D110" s="8" t="s">
        <v>326</v>
      </c>
      <c r="E11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0.32600264740716656</v>
      </c>
      <c r="F11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0.80594195830720761</v>
      </c>
      <c r="G11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0.12312455973309182</v>
      </c>
      <c r="H11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7.0933481959700576E-2</v>
      </c>
      <c r="I11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6.6860190582352166E-2</v>
      </c>
      <c r="J11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6.409512087503774E-4</v>
      </c>
      <c r="K11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3.4323401685980351E-3</v>
      </c>
      <c r="L11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11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11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330926</v>
      </c>
      <c r="O110" s="170">
        <f>IFERROR(VLOOKUP(Vertailu[[#This Row],[Y-tunnus]],'1.2 Ohjaus-laskentataulu'!A:AQ,COLUMN('1.2 Ohjaus-laskentataulu'!AE:AE),FALSE),0)</f>
        <v>335915</v>
      </c>
      <c r="P110" s="170">
        <f>IFERROR(Vertailu[[#This Row],[Rahoitus pl. hark. kor. 2025 ilman alv, €]]-Vertailu[[#This Row],[Rahoitus pl. hark. kor. 2024 ilman alv, €]],0)</f>
        <v>4989</v>
      </c>
      <c r="Q110" s="172">
        <f>IFERROR(Vertailu[[#This Row],[Muutos, € 1]]/Vertailu[[#This Row],[Rahoitus pl. hark. kor. 2024 ilman alv, €]],0)</f>
        <v>1.5075877990849917E-2</v>
      </c>
      <c r="R110" s="175">
        <f>IFERROR(VLOOKUP(Vertailu[[#This Row],[Y-tunnus]],'Suoritepäät. 2024 oikaistu'!$AB:$AL,COLUMN('Suoritepäät. 2024 oikaistu'!J:J),FALSE),0)</f>
        <v>655926</v>
      </c>
      <c r="S110" s="176">
        <f>IFERROR(VLOOKUP(Vertailu[[#This Row],[Y-tunnus]],'1.2 Ohjaus-laskentataulu'!A:AQ,COLUMN('1.2 Ohjaus-laskentataulu'!AO:AO),FALSE),0)</f>
        <v>645915</v>
      </c>
      <c r="T110" s="170">
        <f>IFERROR(Vertailu[[#This Row],[Rahoitus ml. hark. kor. 
2025 ilman alv, €]]-Vertailu[[#This Row],[Rahoitus ml. hark. kor. 
2024 ilman alv, €]],0)</f>
        <v>-10011</v>
      </c>
      <c r="U110" s="174">
        <f>IFERROR(Vertailu[[#This Row],[Muutos, € 2]]/Vertailu[[#This Row],[Rahoitus ml. hark. kor. 
2024 ilman alv, €]],0)</f>
        <v>-1.5262392404021186E-2</v>
      </c>
      <c r="V11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694484</v>
      </c>
      <c r="W110" s="175">
        <f>IFERROR(VLOOKUP(Vertailu[[#This Row],[Y-tunnus]],'1.2 Ohjaus-laskentataulu'!A:AQ,COLUMN('1.2 Ohjaus-laskentataulu'!AQ:AQ),FALSE),0)</f>
        <v>671451</v>
      </c>
      <c r="X110" s="177">
        <f>IFERROR(Vertailu[[#This Row],[Rahoitus ml. hark. kor. + alv 2025, €]]-Vertailu[[#This Row],[Rahoitus ml. hark. kor. + alv 2024, €]],0)</f>
        <v>-23033</v>
      </c>
      <c r="Y110" s="172">
        <f>IFERROR(Vertailu[[#This Row],[Muutos, € 3]]/Vertailu[[#This Row],[Rahoitus ml. hark. kor. + alv 2024, €]],0)</f>
        <v>-3.3165630885664751E-2</v>
      </c>
      <c r="Z110" s="170">
        <f>IFERROR(VLOOKUP(Vertailu[[#This Row],[Y-tunnus]],'Suoritepäät. 2024 oikaistu'!$B:$N,COLUMN('Suoritepäät. 2024 oikaistu'!H:H),FALSE),0)</f>
        <v>533143</v>
      </c>
      <c r="AA110" s="170">
        <f>IFERROR(VLOOKUP(Vertailu[[#This Row],[Y-tunnus]],'1.2 Ohjaus-laskentataulu'!A:AQ,COLUMN('1.2 Ohjaus-laskentataulu'!AL:AL),FALSE),0)</f>
        <v>520570</v>
      </c>
      <c r="AB110" s="170">
        <f>Vertailu[[#This Row],[Perusrahoitus 2025, €]]-Vertailu[[#This Row],[Perusrahoitus 2024, €]]</f>
        <v>-12573</v>
      </c>
      <c r="AC110" s="172">
        <f>IFERROR(Vertailu[[#This Row],[Perusrahoituksen muutos, €]]/Vertailu[[#This Row],[Perusrahoitus 2024, €]],0)</f>
        <v>-2.3582791108576872E-2</v>
      </c>
      <c r="AD110" s="170">
        <f>IFERROR(VLOOKUP(Vertailu[[#This Row],[Y-tunnus]],'Suoritepäät. 2024 oikaistu'!$O:$Y,COLUMN('Suoritepäät. 2024 oikaistu'!D:D),FALSE),0)</f>
        <v>78607</v>
      </c>
      <c r="AE110" s="170">
        <f>IFERROR(VLOOKUP(Vertailu[[#This Row],[Y-tunnus]],'1.2 Ohjaus-laskentataulu'!A:AQ,COLUMN('1.2 Ohjaus-laskentataulu'!N:N),FALSE),0)</f>
        <v>79528</v>
      </c>
      <c r="AF110" s="170">
        <f>Vertailu[[#This Row],[Suoritusrahoitus 2025, €]]-Vertailu[[#This Row],[Suoritusrahoitus 2024, €]]</f>
        <v>921</v>
      </c>
      <c r="AG110" s="172">
        <f>IFERROR(Vertailu[[#This Row],[Suoritusrahoituksen muutos, €]]/Vertailu[[#This Row],[Suoritusrahoitus 2024, €]],0)</f>
        <v>1.171651379648123E-2</v>
      </c>
      <c r="AH110" s="170">
        <f>IFERROR(VLOOKUP(Vertailu[[#This Row],[Y-tunnus]],'Suoritepäät. 2024 oikaistu'!$AB:$AL,COLUMN('Suoritepäät. 2024 oikaistu'!I:I),FALSE),0)</f>
        <v>44176</v>
      </c>
      <c r="AI11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45817</v>
      </c>
      <c r="AJ110" s="170">
        <f>Vertailu[[#This Row],[Vaikuttavuusrahoitus 2025, €]]-Vertailu[[#This Row],[Vaikuttavuusrahoitus 2024, €]]</f>
        <v>1641</v>
      </c>
      <c r="AK110" s="172">
        <f>IFERROR(Vertailu[[#This Row],[Vaikuttavuusrahoituksen muutos, €]]/Vertailu[[#This Row],[Vaikuttavuusrahoitus 2024, €]],0)</f>
        <v>3.7146867077145963E-2</v>
      </c>
    </row>
    <row r="111" spans="1:37" s="2" customFormat="1" ht="12.75" customHeight="1" x14ac:dyDescent="0.25">
      <c r="A111" s="4" t="s">
        <v>213</v>
      </c>
      <c r="B111" s="161" t="s">
        <v>130</v>
      </c>
      <c r="C111" s="161" t="s">
        <v>174</v>
      </c>
      <c r="D111" s="8" t="s">
        <v>326</v>
      </c>
      <c r="E11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0.53929031989683429</v>
      </c>
      <c r="F11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0.53929031989683429</v>
      </c>
      <c r="G11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0.26335445641573185</v>
      </c>
      <c r="H11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0.19735522368743386</v>
      </c>
      <c r="I11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0.13116186197429178</v>
      </c>
      <c r="J11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1.3381033598180735E-2</v>
      </c>
      <c r="K11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5.0579844789254501E-2</v>
      </c>
      <c r="L11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1.6454742524878553E-3</v>
      </c>
      <c r="M11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5.8700907321898208E-4</v>
      </c>
      <c r="N11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218297</v>
      </c>
      <c r="O111" s="170">
        <f>IFERROR(VLOOKUP(Vertailu[[#This Row],[Y-tunnus]],'1.2 Ohjaus-laskentataulu'!A:AQ,COLUMN('1.2 Ohjaus-laskentataulu'!AE:AE),FALSE),0)</f>
        <v>216351</v>
      </c>
      <c r="P111" s="170">
        <f>IFERROR(Vertailu[[#This Row],[Rahoitus pl. hark. kor. 2025 ilman alv, €]]-Vertailu[[#This Row],[Rahoitus pl. hark. kor. 2024 ilman alv, €]],0)</f>
        <v>-1946</v>
      </c>
      <c r="Q111" s="172">
        <f>IFERROR(Vertailu[[#This Row],[Muutos, € 1]]/Vertailu[[#This Row],[Rahoitus pl. hark. kor. 2024 ilman alv, €]],0)</f>
        <v>-8.9144605743551215E-3</v>
      </c>
      <c r="R111" s="175">
        <f>IFERROR(VLOOKUP(Vertailu[[#This Row],[Y-tunnus]],'Suoritepäät. 2024 oikaistu'!$AB:$AL,COLUMN('Suoritepäät. 2024 oikaistu'!J:J),FALSE),0)</f>
        <v>218297</v>
      </c>
      <c r="S111" s="176">
        <f>IFERROR(VLOOKUP(Vertailu[[#This Row],[Y-tunnus]],'1.2 Ohjaus-laskentataulu'!A:AQ,COLUMN('1.2 Ohjaus-laskentataulu'!AO:AO),FALSE),0)</f>
        <v>216351</v>
      </c>
      <c r="T111" s="170">
        <f>IFERROR(Vertailu[[#This Row],[Rahoitus ml. hark. kor. 
2025 ilman alv, €]]-Vertailu[[#This Row],[Rahoitus ml. hark. kor. 
2024 ilman alv, €]],0)</f>
        <v>-1946</v>
      </c>
      <c r="U111" s="174">
        <f>IFERROR(Vertailu[[#This Row],[Muutos, € 2]]/Vertailu[[#This Row],[Rahoitus ml. hark. kor. 
2024 ilman alv, €]],0)</f>
        <v>-8.9144605743551215E-3</v>
      </c>
      <c r="V11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233461</v>
      </c>
      <c r="W111" s="175">
        <f>IFERROR(VLOOKUP(Vertailu[[#This Row],[Y-tunnus]],'1.2 Ohjaus-laskentataulu'!A:AQ,COLUMN('1.2 Ohjaus-laskentataulu'!AQ:AQ),FALSE),0)</f>
        <v>230604</v>
      </c>
      <c r="X111" s="177">
        <f>IFERROR(Vertailu[[#This Row],[Rahoitus ml. hark. kor. + alv 2025, €]]-Vertailu[[#This Row],[Rahoitus ml. hark. kor. + alv 2024, €]],0)</f>
        <v>-2857</v>
      </c>
      <c r="Y111" s="172">
        <f>IFERROR(Vertailu[[#This Row],[Muutos, € 3]]/Vertailu[[#This Row],[Rahoitus ml. hark. kor. + alv 2024, €]],0)</f>
        <v>-1.2237590004326204E-2</v>
      </c>
      <c r="Z111" s="170">
        <f>IFERROR(VLOOKUP(Vertailu[[#This Row],[Y-tunnus]],'Suoritepäät. 2024 oikaistu'!$B:$N,COLUMN('Suoritepäät. 2024 oikaistu'!H:H),FALSE),0)</f>
        <v>142629</v>
      </c>
      <c r="AA111" s="170">
        <f>IFERROR(VLOOKUP(Vertailu[[#This Row],[Y-tunnus]],'1.2 Ohjaus-laskentataulu'!A:AQ,COLUMN('1.2 Ohjaus-laskentataulu'!AL:AL),FALSE),0)</f>
        <v>116676</v>
      </c>
      <c r="AB111" s="170">
        <f>Vertailu[[#This Row],[Perusrahoitus 2025, €]]-Vertailu[[#This Row],[Perusrahoitus 2024, €]]</f>
        <v>-25953</v>
      </c>
      <c r="AC111" s="172">
        <f>IFERROR(Vertailu[[#This Row],[Perusrahoituksen muutos, €]]/Vertailu[[#This Row],[Perusrahoitus 2024, €]],0)</f>
        <v>-0.18196159266348358</v>
      </c>
      <c r="AD111" s="170">
        <f>IFERROR(VLOOKUP(Vertailu[[#This Row],[Y-tunnus]],'Suoritepäät. 2024 oikaistu'!$O:$Y,COLUMN('Suoritepäät. 2024 oikaistu'!D:D),FALSE),0)</f>
        <v>49555</v>
      </c>
      <c r="AE111" s="170">
        <f>IFERROR(VLOOKUP(Vertailu[[#This Row],[Y-tunnus]],'1.2 Ohjaus-laskentataulu'!A:AQ,COLUMN('1.2 Ohjaus-laskentataulu'!N:N),FALSE),0)</f>
        <v>56977</v>
      </c>
      <c r="AF111" s="170">
        <f>Vertailu[[#This Row],[Suoritusrahoitus 2025, €]]-Vertailu[[#This Row],[Suoritusrahoitus 2024, €]]</f>
        <v>7422</v>
      </c>
      <c r="AG111" s="172">
        <f>IFERROR(Vertailu[[#This Row],[Suoritusrahoituksen muutos, €]]/Vertailu[[#This Row],[Suoritusrahoitus 2024, €]],0)</f>
        <v>0.1497729795177076</v>
      </c>
      <c r="AH111" s="170">
        <f>IFERROR(VLOOKUP(Vertailu[[#This Row],[Y-tunnus]],'Suoritepäät. 2024 oikaistu'!$AB:$AL,COLUMN('Suoritepäät. 2024 oikaistu'!I:I),FALSE),0)</f>
        <v>26113</v>
      </c>
      <c r="AI11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42698</v>
      </c>
      <c r="AJ111" s="170">
        <f>Vertailu[[#This Row],[Vaikuttavuusrahoitus 2025, €]]-Vertailu[[#This Row],[Vaikuttavuusrahoitus 2024, €]]</f>
        <v>16585</v>
      </c>
      <c r="AK111" s="172">
        <f>IFERROR(Vertailu[[#This Row],[Vaikuttavuusrahoituksen muutos, €]]/Vertailu[[#This Row],[Vaikuttavuusrahoitus 2024, €]],0)</f>
        <v>0.63512426760617313</v>
      </c>
    </row>
    <row r="112" spans="1:37" s="2" customFormat="1" ht="12.75" customHeight="1" x14ac:dyDescent="0.25">
      <c r="A112" s="4" t="s">
        <v>212</v>
      </c>
      <c r="B112" s="161" t="s">
        <v>467</v>
      </c>
      <c r="C112" s="161" t="s">
        <v>201</v>
      </c>
      <c r="D112" s="8" t="s">
        <v>326</v>
      </c>
      <c r="E11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0.68820124979794062</v>
      </c>
      <c r="F11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0.68820124979794062</v>
      </c>
      <c r="G11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0.18833595607608211</v>
      </c>
      <c r="H11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0.12346279412597731</v>
      </c>
      <c r="I11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9.1066279633654185E-2</v>
      </c>
      <c r="J11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2.1497740388534354E-3</v>
      </c>
      <c r="K11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7.8723730548758836E-3</v>
      </c>
      <c r="L11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1.767346369216783E-2</v>
      </c>
      <c r="M11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4.7009037064259726E-3</v>
      </c>
      <c r="N11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1463632</v>
      </c>
      <c r="O112" s="170">
        <f>IFERROR(VLOOKUP(Vertailu[[#This Row],[Y-tunnus]],'1.2 Ohjaus-laskentataulu'!A:AQ,COLUMN('1.2 Ohjaus-laskentataulu'!AE:AE),FALSE),0)</f>
        <v>1447594</v>
      </c>
      <c r="P112" s="170">
        <f>IFERROR(Vertailu[[#This Row],[Rahoitus pl. hark. kor. 2025 ilman alv, €]]-Vertailu[[#This Row],[Rahoitus pl. hark. kor. 2024 ilman alv, €]],0)</f>
        <v>-16038</v>
      </c>
      <c r="Q112" s="172">
        <f>IFERROR(Vertailu[[#This Row],[Muutos, € 1]]/Vertailu[[#This Row],[Rahoitus pl. hark. kor. 2024 ilman alv, €]],0)</f>
        <v>-1.0957672420389825E-2</v>
      </c>
      <c r="R112" s="175">
        <f>IFERROR(VLOOKUP(Vertailu[[#This Row],[Y-tunnus]],'Suoritepäät. 2024 oikaistu'!$AB:$AL,COLUMN('Suoritepäät. 2024 oikaistu'!J:J),FALSE),0)</f>
        <v>1464508</v>
      </c>
      <c r="S112" s="176">
        <f>IFERROR(VLOOKUP(Vertailu[[#This Row],[Y-tunnus]],'1.2 Ohjaus-laskentataulu'!A:AQ,COLUMN('1.2 Ohjaus-laskentataulu'!AO:AO),FALSE),0)</f>
        <v>1447594</v>
      </c>
      <c r="T112" s="170">
        <f>IFERROR(Vertailu[[#This Row],[Rahoitus ml. hark. kor. 
2025 ilman alv, €]]-Vertailu[[#This Row],[Rahoitus ml. hark. kor. 
2024 ilman alv, €]],0)</f>
        <v>-16914</v>
      </c>
      <c r="U112" s="174">
        <f>IFERROR(Vertailu[[#This Row],[Muutos, € 2]]/Vertailu[[#This Row],[Rahoitus ml. hark. kor. 
2024 ilman alv, €]],0)</f>
        <v>-1.1549271154544734E-2</v>
      </c>
      <c r="V11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1582332</v>
      </c>
      <c r="W112" s="175">
        <f>IFERROR(VLOOKUP(Vertailu[[#This Row],[Y-tunnus]],'1.2 Ohjaus-laskentataulu'!A:AQ,COLUMN('1.2 Ohjaus-laskentataulu'!AQ:AQ),FALSE),0)</f>
        <v>1568181</v>
      </c>
      <c r="X112" s="177">
        <f>IFERROR(Vertailu[[#This Row],[Rahoitus ml. hark. kor. + alv 2025, €]]-Vertailu[[#This Row],[Rahoitus ml. hark. kor. + alv 2024, €]],0)</f>
        <v>-14151</v>
      </c>
      <c r="Y112" s="172">
        <f>IFERROR(Vertailu[[#This Row],[Muutos, € 3]]/Vertailu[[#This Row],[Rahoitus ml. hark. kor. + alv 2024, €]],0)</f>
        <v>-8.9431295075875356E-3</v>
      </c>
      <c r="Z112" s="170">
        <f>IFERROR(VLOOKUP(Vertailu[[#This Row],[Y-tunnus]],'Suoritepäät. 2024 oikaistu'!$B:$N,COLUMN('Suoritepäät. 2024 oikaistu'!H:H),FALSE),0)</f>
        <v>1051827</v>
      </c>
      <c r="AA112" s="170">
        <f>IFERROR(VLOOKUP(Vertailu[[#This Row],[Y-tunnus]],'1.2 Ohjaus-laskentataulu'!A:AQ,COLUMN('1.2 Ohjaus-laskentataulu'!AL:AL),FALSE),0)</f>
        <v>996236</v>
      </c>
      <c r="AB112" s="170">
        <f>Vertailu[[#This Row],[Perusrahoitus 2025, €]]-Vertailu[[#This Row],[Perusrahoitus 2024, €]]</f>
        <v>-55591</v>
      </c>
      <c r="AC112" s="172">
        <f>IFERROR(Vertailu[[#This Row],[Perusrahoituksen muutos, €]]/Vertailu[[#This Row],[Perusrahoitus 2024, €]],0)</f>
        <v>-5.285184730949101E-2</v>
      </c>
      <c r="AD112" s="170">
        <f>IFERROR(VLOOKUP(Vertailu[[#This Row],[Y-tunnus]],'Suoritepäät. 2024 oikaistu'!$O:$Y,COLUMN('Suoritepäät. 2024 oikaistu'!D:D),FALSE),0)</f>
        <v>241558</v>
      </c>
      <c r="AE112" s="170">
        <f>IFERROR(VLOOKUP(Vertailu[[#This Row],[Y-tunnus]],'1.2 Ohjaus-laskentataulu'!A:AQ,COLUMN('1.2 Ohjaus-laskentataulu'!N:N),FALSE),0)</f>
        <v>272634</v>
      </c>
      <c r="AF112" s="170">
        <f>Vertailu[[#This Row],[Suoritusrahoitus 2025, €]]-Vertailu[[#This Row],[Suoritusrahoitus 2024, €]]</f>
        <v>31076</v>
      </c>
      <c r="AG112" s="172">
        <f>IFERROR(Vertailu[[#This Row],[Suoritusrahoituksen muutos, €]]/Vertailu[[#This Row],[Suoritusrahoitus 2024, €]],0)</f>
        <v>0.12864819215260931</v>
      </c>
      <c r="AH112" s="170">
        <f>IFERROR(VLOOKUP(Vertailu[[#This Row],[Y-tunnus]],'Suoritepäät. 2024 oikaistu'!$AB:$AL,COLUMN('Suoritepäät. 2024 oikaistu'!I:I),FALSE),0)</f>
        <v>171123</v>
      </c>
      <c r="AI11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178724</v>
      </c>
      <c r="AJ112" s="170">
        <f>Vertailu[[#This Row],[Vaikuttavuusrahoitus 2025, €]]-Vertailu[[#This Row],[Vaikuttavuusrahoitus 2024, €]]</f>
        <v>7601</v>
      </c>
      <c r="AK112" s="172">
        <f>IFERROR(Vertailu[[#This Row],[Vaikuttavuusrahoituksen muutos, €]]/Vertailu[[#This Row],[Vaikuttavuusrahoitus 2024, €]],0)</f>
        <v>4.4418342361926801E-2</v>
      </c>
    </row>
    <row r="113" spans="1:37" s="2" customFormat="1" ht="12.75" customHeight="1" x14ac:dyDescent="0.25">
      <c r="A113" s="4" t="s">
        <v>211</v>
      </c>
      <c r="B113" s="161" t="s">
        <v>103</v>
      </c>
      <c r="C113" s="161" t="s">
        <v>186</v>
      </c>
      <c r="D113" s="8" t="s">
        <v>326</v>
      </c>
      <c r="E11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0.65039986828397167</v>
      </c>
      <c r="F11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0.65124276095676181</v>
      </c>
      <c r="G11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0.22506273931127802</v>
      </c>
      <c r="H11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0.12369449973196013</v>
      </c>
      <c r="I11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8.6703873822338448E-2</v>
      </c>
      <c r="J11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4.5530252541883341E-3</v>
      </c>
      <c r="K11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1.7790935644582503E-2</v>
      </c>
      <c r="L11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1.0917707826427045E-2</v>
      </c>
      <c r="M11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3.7289571844237928E-3</v>
      </c>
      <c r="N11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3771147</v>
      </c>
      <c r="O113" s="170">
        <f>IFERROR(VLOOKUP(Vertailu[[#This Row],[Y-tunnus]],'1.2 Ohjaus-laskentataulu'!A:AQ,COLUMN('1.2 Ohjaus-laskentataulu'!AE:AE),FALSE),0)</f>
        <v>3556172</v>
      </c>
      <c r="P113" s="170">
        <f>IFERROR(Vertailu[[#This Row],[Rahoitus pl. hark. kor. 2025 ilman alv, €]]-Vertailu[[#This Row],[Rahoitus pl. hark. kor. 2024 ilman alv, €]],0)</f>
        <v>-214975</v>
      </c>
      <c r="Q113" s="172">
        <f>IFERROR(Vertailu[[#This Row],[Muutos, € 1]]/Vertailu[[#This Row],[Rahoitus pl. hark. kor. 2024 ilman alv, €]],0)</f>
        <v>-5.7005202926324536E-2</v>
      </c>
      <c r="R113" s="175">
        <f>IFERROR(VLOOKUP(Vertailu[[#This Row],[Y-tunnus]],'Suoritepäät. 2024 oikaistu'!$AB:$AL,COLUMN('Suoritepäät. 2024 oikaistu'!J:J),FALSE),0)</f>
        <v>3776612</v>
      </c>
      <c r="S113" s="176">
        <f>IFERROR(VLOOKUP(Vertailu[[#This Row],[Y-tunnus]],'1.2 Ohjaus-laskentataulu'!A:AQ,COLUMN('1.2 Ohjaus-laskentataulu'!AO:AO),FALSE),0)</f>
        <v>3559172</v>
      </c>
      <c r="T113" s="170">
        <f>IFERROR(Vertailu[[#This Row],[Rahoitus ml. hark. kor. 
2025 ilman alv, €]]-Vertailu[[#This Row],[Rahoitus ml. hark. kor. 
2024 ilman alv, €]],0)</f>
        <v>-217440</v>
      </c>
      <c r="U113" s="174">
        <f>IFERROR(Vertailu[[#This Row],[Muutos, € 2]]/Vertailu[[#This Row],[Rahoitus ml. hark. kor. 
2024 ilman alv, €]],0)</f>
        <v>-5.7575414154273724E-2</v>
      </c>
      <c r="V11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4420751</v>
      </c>
      <c r="W113" s="175">
        <f>IFERROR(VLOOKUP(Vertailu[[#This Row],[Y-tunnus]],'1.2 Ohjaus-laskentataulu'!A:AQ,COLUMN('1.2 Ohjaus-laskentataulu'!AQ:AQ),FALSE),0)</f>
        <v>3961414</v>
      </c>
      <c r="X113" s="177">
        <f>IFERROR(Vertailu[[#This Row],[Rahoitus ml. hark. kor. + alv 2025, €]]-Vertailu[[#This Row],[Rahoitus ml. hark. kor. + alv 2024, €]],0)</f>
        <v>-459337</v>
      </c>
      <c r="Y113" s="172">
        <f>IFERROR(Vertailu[[#This Row],[Muutos, € 3]]/Vertailu[[#This Row],[Rahoitus ml. hark. kor. + alv 2024, €]],0)</f>
        <v>-0.10390474378674573</v>
      </c>
      <c r="Z113" s="170">
        <f>IFERROR(VLOOKUP(Vertailu[[#This Row],[Y-tunnus]],'Suoritepäät. 2024 oikaistu'!$B:$N,COLUMN('Suoritepäät. 2024 oikaistu'!H:H),FALSE),0)</f>
        <v>2557774</v>
      </c>
      <c r="AA113" s="170">
        <f>IFERROR(VLOOKUP(Vertailu[[#This Row],[Y-tunnus]],'1.2 Ohjaus-laskentataulu'!A:AQ,COLUMN('1.2 Ohjaus-laskentataulu'!AL:AL),FALSE),0)</f>
        <v>2317885</v>
      </c>
      <c r="AB113" s="170">
        <f>Vertailu[[#This Row],[Perusrahoitus 2025, €]]-Vertailu[[#This Row],[Perusrahoitus 2024, €]]</f>
        <v>-239889</v>
      </c>
      <c r="AC113" s="172">
        <f>IFERROR(Vertailu[[#This Row],[Perusrahoituksen muutos, €]]/Vertailu[[#This Row],[Perusrahoitus 2024, €]],0)</f>
        <v>-9.3788192389163388E-2</v>
      </c>
      <c r="AD113" s="170">
        <f>IFERROR(VLOOKUP(Vertailu[[#This Row],[Y-tunnus]],'Suoritepäät. 2024 oikaistu'!$O:$Y,COLUMN('Suoritepäät. 2024 oikaistu'!D:D),FALSE),0)</f>
        <v>816130</v>
      </c>
      <c r="AE113" s="170">
        <f>IFERROR(VLOOKUP(Vertailu[[#This Row],[Y-tunnus]],'1.2 Ohjaus-laskentataulu'!A:AQ,COLUMN('1.2 Ohjaus-laskentataulu'!N:N),FALSE),0)</f>
        <v>801037</v>
      </c>
      <c r="AF113" s="170">
        <f>Vertailu[[#This Row],[Suoritusrahoitus 2025, €]]-Vertailu[[#This Row],[Suoritusrahoitus 2024, €]]</f>
        <v>-15093</v>
      </c>
      <c r="AG113" s="172">
        <f>IFERROR(Vertailu[[#This Row],[Suoritusrahoituksen muutos, €]]/Vertailu[[#This Row],[Suoritusrahoitus 2024, €]],0)</f>
        <v>-1.84933772805803E-2</v>
      </c>
      <c r="AH113" s="170">
        <f>IFERROR(VLOOKUP(Vertailu[[#This Row],[Y-tunnus]],'Suoritepäät. 2024 oikaistu'!$AB:$AL,COLUMN('Suoritepäät. 2024 oikaistu'!I:I),FALSE),0)</f>
        <v>402708</v>
      </c>
      <c r="AI11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440250</v>
      </c>
      <c r="AJ113" s="170">
        <f>Vertailu[[#This Row],[Vaikuttavuusrahoitus 2025, €]]-Vertailu[[#This Row],[Vaikuttavuusrahoitus 2024, €]]</f>
        <v>37542</v>
      </c>
      <c r="AK113" s="172">
        <f>IFERROR(Vertailu[[#This Row],[Vaikuttavuusrahoituksen muutos, €]]/Vertailu[[#This Row],[Vaikuttavuusrahoitus 2024, €]],0)</f>
        <v>9.3223874370511634E-2</v>
      </c>
    </row>
    <row r="114" spans="1:37" s="2" customFormat="1" ht="12.75" customHeight="1" x14ac:dyDescent="0.25">
      <c r="A114" s="4" t="s">
        <v>210</v>
      </c>
      <c r="B114" s="161" t="s">
        <v>104</v>
      </c>
      <c r="C114" s="161" t="s">
        <v>174</v>
      </c>
      <c r="D114" s="8" t="s">
        <v>326</v>
      </c>
      <c r="E11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0.57344468806697702</v>
      </c>
      <c r="F11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0.57644688267123267</v>
      </c>
      <c r="G11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0.24822795463483807</v>
      </c>
      <c r="H11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0.17532516269392925</v>
      </c>
      <c r="I11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8.9969267534567771E-2</v>
      </c>
      <c r="J11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9.0155903965798995E-3</v>
      </c>
      <c r="K11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4.3766993672374507E-2</v>
      </c>
      <c r="L11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2.2263774819392977E-2</v>
      </c>
      <c r="M11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1.0309536271014112E-2</v>
      </c>
      <c r="N11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2225389</v>
      </c>
      <c r="O114" s="170">
        <f>IFERROR(VLOOKUP(Vertailu[[#This Row],[Y-tunnus]],'1.2 Ohjaus-laskentataulu'!A:AQ,COLUMN('1.2 Ohjaus-laskentataulu'!AE:AE),FALSE),0)</f>
        <v>1992538</v>
      </c>
      <c r="P114" s="170">
        <f>IFERROR(Vertailu[[#This Row],[Rahoitus pl. hark. kor. 2025 ilman alv, €]]-Vertailu[[#This Row],[Rahoitus pl. hark. kor. 2024 ilman alv, €]],0)</f>
        <v>-232851</v>
      </c>
      <c r="Q114" s="172">
        <f>IFERROR(Vertailu[[#This Row],[Muutos, € 1]]/Vertailu[[#This Row],[Rahoitus pl. hark. kor. 2024 ilman alv, €]],0)</f>
        <v>-0.10463384154410757</v>
      </c>
      <c r="R114" s="175">
        <f>IFERROR(VLOOKUP(Vertailu[[#This Row],[Y-tunnus]],'Suoritepäät. 2024 oikaistu'!$AB:$AL,COLUMN('Suoritepäät. 2024 oikaistu'!J:J),FALSE),0)</f>
        <v>2233389</v>
      </c>
      <c r="S114" s="176">
        <f>IFERROR(VLOOKUP(Vertailu[[#This Row],[Y-tunnus]],'1.2 Ohjaus-laskentataulu'!A:AQ,COLUMN('1.2 Ohjaus-laskentataulu'!AO:AO),FALSE),0)</f>
        <v>1998538</v>
      </c>
      <c r="T114" s="170">
        <f>IFERROR(Vertailu[[#This Row],[Rahoitus ml. hark. kor. 
2025 ilman alv, €]]-Vertailu[[#This Row],[Rahoitus ml. hark. kor. 
2024 ilman alv, €]],0)</f>
        <v>-234851</v>
      </c>
      <c r="U114" s="174">
        <f>IFERROR(Vertailu[[#This Row],[Muutos, € 2]]/Vertailu[[#This Row],[Rahoitus ml. hark. kor. 
2024 ilman alv, €]],0)</f>
        <v>-0.10515454316287938</v>
      </c>
      <c r="V11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2334231</v>
      </c>
      <c r="W114" s="175">
        <f>IFERROR(VLOOKUP(Vertailu[[#This Row],[Y-tunnus]],'1.2 Ohjaus-laskentataulu'!A:AQ,COLUMN('1.2 Ohjaus-laskentataulu'!AQ:AQ),FALSE),0)</f>
        <v>2103830</v>
      </c>
      <c r="X114" s="177">
        <f>IFERROR(Vertailu[[#This Row],[Rahoitus ml. hark. kor. + alv 2025, €]]-Vertailu[[#This Row],[Rahoitus ml. hark. kor. + alv 2024, €]],0)</f>
        <v>-230401</v>
      </c>
      <c r="Y114" s="172">
        <f>IFERROR(Vertailu[[#This Row],[Muutos, € 3]]/Vertailu[[#This Row],[Rahoitus ml. hark. kor. + alv 2024, €]],0)</f>
        <v>-9.8705312370540879E-2</v>
      </c>
      <c r="Z114" s="170">
        <f>IFERROR(VLOOKUP(Vertailu[[#This Row],[Y-tunnus]],'Suoritepäät. 2024 oikaistu'!$B:$N,COLUMN('Suoritepäät. 2024 oikaistu'!H:H),FALSE),0)</f>
        <v>1345574</v>
      </c>
      <c r="AA114" s="170">
        <f>IFERROR(VLOOKUP(Vertailu[[#This Row],[Y-tunnus]],'1.2 Ohjaus-laskentataulu'!A:AQ,COLUMN('1.2 Ohjaus-laskentataulu'!AL:AL),FALSE),0)</f>
        <v>1152051</v>
      </c>
      <c r="AB114" s="170">
        <f>Vertailu[[#This Row],[Perusrahoitus 2025, €]]-Vertailu[[#This Row],[Perusrahoitus 2024, €]]</f>
        <v>-193523</v>
      </c>
      <c r="AC114" s="172">
        <f>IFERROR(Vertailu[[#This Row],[Perusrahoituksen muutos, €]]/Vertailu[[#This Row],[Perusrahoitus 2024, €]],0)</f>
        <v>-0.14382189311030089</v>
      </c>
      <c r="AD114" s="170">
        <f>IFERROR(VLOOKUP(Vertailu[[#This Row],[Y-tunnus]],'Suoritepäät. 2024 oikaistu'!$O:$Y,COLUMN('Suoritepäät. 2024 oikaistu'!D:D),FALSE),0)</f>
        <v>480243</v>
      </c>
      <c r="AE114" s="170">
        <f>IFERROR(VLOOKUP(Vertailu[[#This Row],[Y-tunnus]],'1.2 Ohjaus-laskentataulu'!A:AQ,COLUMN('1.2 Ohjaus-laskentataulu'!N:N),FALSE),0)</f>
        <v>496093</v>
      </c>
      <c r="AF114" s="170">
        <f>Vertailu[[#This Row],[Suoritusrahoitus 2025, €]]-Vertailu[[#This Row],[Suoritusrahoitus 2024, €]]</f>
        <v>15850</v>
      </c>
      <c r="AG114" s="172">
        <f>IFERROR(Vertailu[[#This Row],[Suoritusrahoituksen muutos, €]]/Vertailu[[#This Row],[Suoritusrahoitus 2024, €]],0)</f>
        <v>3.300412499505459E-2</v>
      </c>
      <c r="AH114" s="170">
        <f>IFERROR(VLOOKUP(Vertailu[[#This Row],[Y-tunnus]],'Suoritepäät. 2024 oikaistu'!$AB:$AL,COLUMN('Suoritepäät. 2024 oikaistu'!I:I),FALSE),0)</f>
        <v>407572</v>
      </c>
      <c r="AI11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350394</v>
      </c>
      <c r="AJ114" s="170">
        <f>Vertailu[[#This Row],[Vaikuttavuusrahoitus 2025, €]]-Vertailu[[#This Row],[Vaikuttavuusrahoitus 2024, €]]</f>
        <v>-57178</v>
      </c>
      <c r="AK114" s="172">
        <f>IFERROR(Vertailu[[#This Row],[Vaikuttavuusrahoituksen muutos, €]]/Vertailu[[#This Row],[Vaikuttavuusrahoitus 2024, €]],0)</f>
        <v>-0.14028932311346215</v>
      </c>
    </row>
    <row r="115" spans="1:37" s="2" customFormat="1" ht="12.75" customHeight="1" x14ac:dyDescent="0.25">
      <c r="A115" s="4" t="s">
        <v>209</v>
      </c>
      <c r="B115" s="161" t="s">
        <v>433</v>
      </c>
      <c r="C115" s="161" t="s">
        <v>200</v>
      </c>
      <c r="D115" s="8" t="s">
        <v>326</v>
      </c>
      <c r="E11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0.55172037778619176</v>
      </c>
      <c r="F11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0.553271504392713</v>
      </c>
      <c r="G11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0.26271245199457044</v>
      </c>
      <c r="H11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0.18401604361271656</v>
      </c>
      <c r="I11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0.12629288341561801</v>
      </c>
      <c r="J11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1.5701899525153613E-2</v>
      </c>
      <c r="K11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3.6774109587404978E-2</v>
      </c>
      <c r="L11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4.9915254197852709E-3</v>
      </c>
      <c r="M11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2.5562566475469632E-4</v>
      </c>
      <c r="N11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7090860</v>
      </c>
      <c r="O115" s="170">
        <f>IFERROR(VLOOKUP(Vertailu[[#This Row],[Y-tunnus]],'1.2 Ohjaus-laskentataulu'!A:AQ,COLUMN('1.2 Ohjaus-laskentataulu'!AE:AE),FALSE),0)</f>
        <v>6436927</v>
      </c>
      <c r="P115" s="170">
        <f>IFERROR(Vertailu[[#This Row],[Rahoitus pl. hark. kor. 2025 ilman alv, €]]-Vertailu[[#This Row],[Rahoitus pl. hark. kor. 2024 ilman alv, €]],0)</f>
        <v>-653933</v>
      </c>
      <c r="Q115" s="172">
        <f>IFERROR(Vertailu[[#This Row],[Muutos, € 1]]/Vertailu[[#This Row],[Rahoitus pl. hark. kor. 2024 ilman alv, €]],0)</f>
        <v>-9.2221958972536475E-2</v>
      </c>
      <c r="R115" s="175">
        <f>IFERROR(VLOOKUP(Vertailu[[#This Row],[Y-tunnus]],'Suoritepäät. 2024 oikaistu'!$AB:$AL,COLUMN('Suoritepäät. 2024 oikaistu'!J:J),FALSE),0)</f>
        <v>7095860</v>
      </c>
      <c r="S115" s="176">
        <f>IFERROR(VLOOKUP(Vertailu[[#This Row],[Y-tunnus]],'1.2 Ohjaus-laskentataulu'!A:AQ,COLUMN('1.2 Ohjaus-laskentataulu'!AO:AO),FALSE),0)</f>
        <v>6446927</v>
      </c>
      <c r="T115" s="170">
        <f>IFERROR(Vertailu[[#This Row],[Rahoitus ml. hark. kor. 
2025 ilman alv, €]]-Vertailu[[#This Row],[Rahoitus ml. hark. kor. 
2024 ilman alv, €]],0)</f>
        <v>-648933</v>
      </c>
      <c r="U115" s="174">
        <f>IFERROR(Vertailu[[#This Row],[Muutos, € 2]]/Vertailu[[#This Row],[Rahoitus ml. hark. kor. 
2024 ilman alv, €]],0)</f>
        <v>-9.1452339815047079E-2</v>
      </c>
      <c r="V11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7328771</v>
      </c>
      <c r="W115" s="175">
        <f>IFERROR(VLOOKUP(Vertailu[[#This Row],[Y-tunnus]],'1.2 Ohjaus-laskentataulu'!A:AQ,COLUMN('1.2 Ohjaus-laskentataulu'!AQ:AQ),FALSE),0)</f>
        <v>6698782</v>
      </c>
      <c r="X115" s="177">
        <f>IFERROR(Vertailu[[#This Row],[Rahoitus ml. hark. kor. + alv 2025, €]]-Vertailu[[#This Row],[Rahoitus ml. hark. kor. + alv 2024, €]],0)</f>
        <v>-629989</v>
      </c>
      <c r="Y115" s="172">
        <f>IFERROR(Vertailu[[#This Row],[Muutos, € 3]]/Vertailu[[#This Row],[Rahoitus ml. hark. kor. + alv 2024, €]],0)</f>
        <v>-8.5961070416854343E-2</v>
      </c>
      <c r="Z115" s="170">
        <f>IFERROR(VLOOKUP(Vertailu[[#This Row],[Y-tunnus]],'Suoritepäät. 2024 oikaistu'!$B:$N,COLUMN('Suoritepäät. 2024 oikaistu'!H:H),FALSE),0)</f>
        <v>4064127</v>
      </c>
      <c r="AA115" s="170">
        <f>IFERROR(VLOOKUP(Vertailu[[#This Row],[Y-tunnus]],'1.2 Ohjaus-laskentataulu'!A:AQ,COLUMN('1.2 Ohjaus-laskentataulu'!AL:AL),FALSE),0)</f>
        <v>3566901</v>
      </c>
      <c r="AB115" s="170">
        <f>Vertailu[[#This Row],[Perusrahoitus 2025, €]]-Vertailu[[#This Row],[Perusrahoitus 2024, €]]</f>
        <v>-497226</v>
      </c>
      <c r="AC115" s="172">
        <f>IFERROR(Vertailu[[#This Row],[Perusrahoituksen muutos, €]]/Vertailu[[#This Row],[Perusrahoitus 2024, €]],0)</f>
        <v>-0.12234509403864594</v>
      </c>
      <c r="AD115" s="170">
        <f>IFERROR(VLOOKUP(Vertailu[[#This Row],[Y-tunnus]],'Suoritepäät. 2024 oikaistu'!$O:$Y,COLUMN('Suoritepäät. 2024 oikaistu'!D:D),FALSE),0)</f>
        <v>1811899</v>
      </c>
      <c r="AE115" s="170">
        <f>IFERROR(VLOOKUP(Vertailu[[#This Row],[Y-tunnus]],'1.2 Ohjaus-laskentataulu'!A:AQ,COLUMN('1.2 Ohjaus-laskentataulu'!N:N),FALSE),0)</f>
        <v>1693688</v>
      </c>
      <c r="AF115" s="170">
        <f>Vertailu[[#This Row],[Suoritusrahoitus 2025, €]]-Vertailu[[#This Row],[Suoritusrahoitus 2024, €]]</f>
        <v>-118211</v>
      </c>
      <c r="AG115" s="172">
        <f>IFERROR(Vertailu[[#This Row],[Suoritusrahoituksen muutos, €]]/Vertailu[[#This Row],[Suoritusrahoitus 2024, €]],0)</f>
        <v>-6.5241495248907364E-2</v>
      </c>
      <c r="AH115" s="170">
        <f>IFERROR(VLOOKUP(Vertailu[[#This Row],[Y-tunnus]],'Suoritepäät. 2024 oikaistu'!$AB:$AL,COLUMN('Suoritepäät. 2024 oikaistu'!I:I),FALSE),0)</f>
        <v>1219834</v>
      </c>
      <c r="AI11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1186338</v>
      </c>
      <c r="AJ115" s="170">
        <f>Vertailu[[#This Row],[Vaikuttavuusrahoitus 2025, €]]-Vertailu[[#This Row],[Vaikuttavuusrahoitus 2024, €]]</f>
        <v>-33496</v>
      </c>
      <c r="AK115" s="172">
        <f>IFERROR(Vertailu[[#This Row],[Vaikuttavuusrahoituksen muutos, €]]/Vertailu[[#This Row],[Vaikuttavuusrahoitus 2024, €]],0)</f>
        <v>-2.7459473994002462E-2</v>
      </c>
    </row>
    <row r="116" spans="1:37" s="2" customFormat="1" ht="12.75" customHeight="1" x14ac:dyDescent="0.25">
      <c r="A116" s="4" t="s">
        <v>208</v>
      </c>
      <c r="B116" s="161" t="s">
        <v>556</v>
      </c>
      <c r="C116" s="161" t="s">
        <v>200</v>
      </c>
      <c r="D116" s="8" t="s">
        <v>325</v>
      </c>
      <c r="E11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0.70745359040580824</v>
      </c>
      <c r="F11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0.70745359040580824</v>
      </c>
      <c r="G11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0.21068473338908289</v>
      </c>
      <c r="H11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8.1861676205108869E-2</v>
      </c>
      <c r="I11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5.4973321941263503E-2</v>
      </c>
      <c r="J11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3.7915327692208916E-3</v>
      </c>
      <c r="K11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8.0606912891928329E-3</v>
      </c>
      <c r="L11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1.1217832550911831E-2</v>
      </c>
      <c r="M11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3.8182976545198164E-3</v>
      </c>
      <c r="N11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6364355</v>
      </c>
      <c r="O116" s="170">
        <f>IFERROR(VLOOKUP(Vertailu[[#This Row],[Y-tunnus]],'1.2 Ohjaus-laskentataulu'!A:AQ,COLUMN('1.2 Ohjaus-laskentataulu'!AE:AE),FALSE),0)</f>
        <v>6276881</v>
      </c>
      <c r="P116" s="170">
        <f>IFERROR(Vertailu[[#This Row],[Rahoitus pl. hark. kor. 2025 ilman alv, €]]-Vertailu[[#This Row],[Rahoitus pl. hark. kor. 2024 ilman alv, €]],0)</f>
        <v>-87474</v>
      </c>
      <c r="Q116" s="172">
        <f>IFERROR(Vertailu[[#This Row],[Muutos, € 1]]/Vertailu[[#This Row],[Rahoitus pl. hark. kor. 2024 ilman alv, €]],0)</f>
        <v>-1.3744362154530978E-2</v>
      </c>
      <c r="R116" s="175">
        <f>IFERROR(VLOOKUP(Vertailu[[#This Row],[Y-tunnus]],'Suoritepäät. 2024 oikaistu'!$AB:$AL,COLUMN('Suoritepäät. 2024 oikaistu'!J:J),FALSE),0)</f>
        <v>6391305</v>
      </c>
      <c r="S116" s="176">
        <f>IFERROR(VLOOKUP(Vertailu[[#This Row],[Y-tunnus]],'1.2 Ohjaus-laskentataulu'!A:AQ,COLUMN('1.2 Ohjaus-laskentataulu'!AO:AO),FALSE),0)</f>
        <v>6276881</v>
      </c>
      <c r="T116" s="170">
        <f>IFERROR(Vertailu[[#This Row],[Rahoitus ml. hark. kor. 
2025 ilman alv, €]]-Vertailu[[#This Row],[Rahoitus ml. hark. kor. 
2024 ilman alv, €]],0)</f>
        <v>-114424</v>
      </c>
      <c r="U116" s="174">
        <f>IFERROR(Vertailu[[#This Row],[Muutos, € 2]]/Vertailu[[#This Row],[Rahoitus ml. hark. kor. 
2024 ilman alv, €]],0)</f>
        <v>-1.7903073003087789E-2</v>
      </c>
      <c r="V11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6391305</v>
      </c>
      <c r="W116" s="175">
        <f>IFERROR(VLOOKUP(Vertailu[[#This Row],[Y-tunnus]],'1.2 Ohjaus-laskentataulu'!A:AQ,COLUMN('1.2 Ohjaus-laskentataulu'!AQ:AQ),FALSE),0)</f>
        <v>6276881</v>
      </c>
      <c r="X116" s="177">
        <f>IFERROR(Vertailu[[#This Row],[Rahoitus ml. hark. kor. + alv 2025, €]]-Vertailu[[#This Row],[Rahoitus ml. hark. kor. + alv 2024, €]],0)</f>
        <v>-114424</v>
      </c>
      <c r="Y116" s="172">
        <f>IFERROR(Vertailu[[#This Row],[Muutos, € 3]]/Vertailu[[#This Row],[Rahoitus ml. hark. kor. + alv 2024, €]],0)</f>
        <v>-1.7903073003087789E-2</v>
      </c>
      <c r="Z116" s="170">
        <f>IFERROR(VLOOKUP(Vertailu[[#This Row],[Y-tunnus]],'Suoritepäät. 2024 oikaistu'!$B:$N,COLUMN('Suoritepäät. 2024 oikaistu'!H:H),FALSE),0)</f>
        <v>4545356</v>
      </c>
      <c r="AA116" s="170">
        <f>IFERROR(VLOOKUP(Vertailu[[#This Row],[Y-tunnus]],'1.2 Ohjaus-laskentataulu'!A:AQ,COLUMN('1.2 Ohjaus-laskentataulu'!AL:AL),FALSE),0)</f>
        <v>4440602</v>
      </c>
      <c r="AB116" s="170">
        <f>Vertailu[[#This Row],[Perusrahoitus 2025, €]]-Vertailu[[#This Row],[Perusrahoitus 2024, €]]</f>
        <v>-104754</v>
      </c>
      <c r="AC116" s="172">
        <f>IFERROR(Vertailu[[#This Row],[Perusrahoituksen muutos, €]]/Vertailu[[#This Row],[Perusrahoitus 2024, €]],0)</f>
        <v>-2.3046379645510713E-2</v>
      </c>
      <c r="AD116" s="170">
        <f>IFERROR(VLOOKUP(Vertailu[[#This Row],[Y-tunnus]],'Suoritepäät. 2024 oikaistu'!$O:$Y,COLUMN('Suoritepäät. 2024 oikaistu'!D:D),FALSE),0)</f>
        <v>1264188</v>
      </c>
      <c r="AE116" s="170">
        <f>IFERROR(VLOOKUP(Vertailu[[#This Row],[Y-tunnus]],'1.2 Ohjaus-laskentataulu'!A:AQ,COLUMN('1.2 Ohjaus-laskentataulu'!N:N),FALSE),0)</f>
        <v>1322443</v>
      </c>
      <c r="AF116" s="170">
        <f>Vertailu[[#This Row],[Suoritusrahoitus 2025, €]]-Vertailu[[#This Row],[Suoritusrahoitus 2024, €]]</f>
        <v>58255</v>
      </c>
      <c r="AG116" s="172">
        <f>IFERROR(Vertailu[[#This Row],[Suoritusrahoituksen muutos, €]]/Vertailu[[#This Row],[Suoritusrahoitus 2024, €]],0)</f>
        <v>4.6080962641632417E-2</v>
      </c>
      <c r="AH116" s="170">
        <f>IFERROR(VLOOKUP(Vertailu[[#This Row],[Y-tunnus]],'Suoritepäät. 2024 oikaistu'!$AB:$AL,COLUMN('Suoritepäät. 2024 oikaistu'!I:I),FALSE),0)</f>
        <v>581761</v>
      </c>
      <c r="AI11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513836</v>
      </c>
      <c r="AJ116" s="170">
        <f>Vertailu[[#This Row],[Vaikuttavuusrahoitus 2025, €]]-Vertailu[[#This Row],[Vaikuttavuusrahoitus 2024, €]]</f>
        <v>-67925</v>
      </c>
      <c r="AK116" s="172">
        <f>IFERROR(Vertailu[[#This Row],[Vaikuttavuusrahoituksen muutos, €]]/Vertailu[[#This Row],[Vaikuttavuusrahoitus 2024, €]],0)</f>
        <v>-0.11675756882981156</v>
      </c>
    </row>
    <row r="117" spans="1:37" s="2" customFormat="1" ht="12.75" customHeight="1" x14ac:dyDescent="0.25">
      <c r="A117" s="4" t="s">
        <v>207</v>
      </c>
      <c r="B117" s="161" t="s">
        <v>106</v>
      </c>
      <c r="C117" s="161" t="s">
        <v>174</v>
      </c>
      <c r="D117" s="8" t="s">
        <v>326</v>
      </c>
      <c r="E11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0.70817961974396659</v>
      </c>
      <c r="F11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0.71043442779692678</v>
      </c>
      <c r="G11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0.19706753540373856</v>
      </c>
      <c r="H11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9.249803679933466E-2</v>
      </c>
      <c r="I11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7.0925767816344146E-2</v>
      </c>
      <c r="J11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3.704736354400323E-3</v>
      </c>
      <c r="K11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8.2725438527645034E-3</v>
      </c>
      <c r="L11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8.5238682272829169E-3</v>
      </c>
      <c r="M11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1.0711205485427653E-3</v>
      </c>
      <c r="N11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11707444</v>
      </c>
      <c r="O117" s="170">
        <f>IFERROR(VLOOKUP(Vertailu[[#This Row],[Y-tunnus]],'1.2 Ohjaus-laskentataulu'!A:AQ,COLUMN('1.2 Ohjaus-laskentataulu'!AE:AE),FALSE),0)</f>
        <v>11504915</v>
      </c>
      <c r="P117" s="170">
        <f>IFERROR(Vertailu[[#This Row],[Rahoitus pl. hark. kor. 2025 ilman alv, €]]-Vertailu[[#This Row],[Rahoitus pl. hark. kor. 2024 ilman alv, €]],0)</f>
        <v>-202529</v>
      </c>
      <c r="Q117" s="172">
        <f>IFERROR(Vertailu[[#This Row],[Muutos, € 1]]/Vertailu[[#This Row],[Rahoitus pl. hark. kor. 2024 ilman alv, €]],0)</f>
        <v>-1.7299164531557869E-2</v>
      </c>
      <c r="R117" s="175">
        <f>IFERROR(VLOOKUP(Vertailu[[#This Row],[Y-tunnus]],'Suoritepäät. 2024 oikaistu'!$AB:$AL,COLUMN('Suoritepäät. 2024 oikaistu'!J:J),FALSE),0)</f>
        <v>11732444</v>
      </c>
      <c r="S117" s="176">
        <f>IFERROR(VLOOKUP(Vertailu[[#This Row],[Y-tunnus]],'1.2 Ohjaus-laskentataulu'!A:AQ,COLUMN('1.2 Ohjaus-laskentataulu'!AO:AO),FALSE),0)</f>
        <v>11530915</v>
      </c>
      <c r="T117" s="170">
        <f>IFERROR(Vertailu[[#This Row],[Rahoitus ml. hark. kor. 
2025 ilman alv, €]]-Vertailu[[#This Row],[Rahoitus ml. hark. kor. 
2024 ilman alv, €]],0)</f>
        <v>-201529</v>
      </c>
      <c r="U117" s="174">
        <f>IFERROR(Vertailu[[#This Row],[Muutos, € 2]]/Vertailu[[#This Row],[Rahoitus ml. hark. kor. 
2024 ilman alv, €]],0)</f>
        <v>-1.7177068989206342E-2</v>
      </c>
      <c r="V11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12505222</v>
      </c>
      <c r="W117" s="175">
        <f>IFERROR(VLOOKUP(Vertailu[[#This Row],[Y-tunnus]],'1.2 Ohjaus-laskentataulu'!A:AQ,COLUMN('1.2 Ohjaus-laskentataulu'!AQ:AQ),FALSE),0)</f>
        <v>12396182</v>
      </c>
      <c r="X117" s="177">
        <f>IFERROR(Vertailu[[#This Row],[Rahoitus ml. hark. kor. + alv 2025, €]]-Vertailu[[#This Row],[Rahoitus ml. hark. kor. + alv 2024, €]],0)</f>
        <v>-109040</v>
      </c>
      <c r="Y117" s="172">
        <f>IFERROR(Vertailu[[#This Row],[Muutos, € 3]]/Vertailu[[#This Row],[Rahoitus ml. hark. kor. + alv 2024, €]],0)</f>
        <v>-8.7195573177349436E-3</v>
      </c>
      <c r="Z117" s="170">
        <f>IFERROR(VLOOKUP(Vertailu[[#This Row],[Y-tunnus]],'Suoritepäät. 2024 oikaistu'!$B:$N,COLUMN('Suoritepäät. 2024 oikaistu'!H:H),FALSE),0)</f>
        <v>8121416</v>
      </c>
      <c r="AA117" s="170">
        <f>IFERROR(VLOOKUP(Vertailu[[#This Row],[Y-tunnus]],'1.2 Ohjaus-laskentataulu'!A:AQ,COLUMN('1.2 Ohjaus-laskentataulu'!AL:AL),FALSE),0)</f>
        <v>8191959</v>
      </c>
      <c r="AB117" s="170">
        <f>Vertailu[[#This Row],[Perusrahoitus 2025, €]]-Vertailu[[#This Row],[Perusrahoitus 2024, €]]</f>
        <v>70543</v>
      </c>
      <c r="AC117" s="172">
        <f>IFERROR(Vertailu[[#This Row],[Perusrahoituksen muutos, €]]/Vertailu[[#This Row],[Perusrahoitus 2024, €]],0)</f>
        <v>8.6860468667040325E-3</v>
      </c>
      <c r="AD117" s="170">
        <f>IFERROR(VLOOKUP(Vertailu[[#This Row],[Y-tunnus]],'Suoritepäät. 2024 oikaistu'!$O:$Y,COLUMN('Suoritepäät. 2024 oikaistu'!D:D),FALSE),0)</f>
        <v>2523879</v>
      </c>
      <c r="AE117" s="170">
        <f>IFERROR(VLOOKUP(Vertailu[[#This Row],[Y-tunnus]],'1.2 Ohjaus-laskentataulu'!A:AQ,COLUMN('1.2 Ohjaus-laskentataulu'!N:N),FALSE),0)</f>
        <v>2272369</v>
      </c>
      <c r="AF117" s="170">
        <f>Vertailu[[#This Row],[Suoritusrahoitus 2025, €]]-Vertailu[[#This Row],[Suoritusrahoitus 2024, €]]</f>
        <v>-251510</v>
      </c>
      <c r="AG117" s="172">
        <f>IFERROR(Vertailu[[#This Row],[Suoritusrahoituksen muutos, €]]/Vertailu[[#This Row],[Suoritusrahoitus 2024, €]],0)</f>
        <v>-9.9652162405566985E-2</v>
      </c>
      <c r="AH117" s="170">
        <f>IFERROR(VLOOKUP(Vertailu[[#This Row],[Y-tunnus]],'Suoritepäät. 2024 oikaistu'!$AB:$AL,COLUMN('Suoritepäät. 2024 oikaistu'!I:I),FALSE),0)</f>
        <v>1087149</v>
      </c>
      <c r="AI11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1066587</v>
      </c>
      <c r="AJ117" s="170">
        <f>Vertailu[[#This Row],[Vaikuttavuusrahoitus 2025, €]]-Vertailu[[#This Row],[Vaikuttavuusrahoitus 2024, €]]</f>
        <v>-20562</v>
      </c>
      <c r="AK117" s="172">
        <f>IFERROR(Vertailu[[#This Row],[Vaikuttavuusrahoituksen muutos, €]]/Vertailu[[#This Row],[Vaikuttavuusrahoitus 2024, €]],0)</f>
        <v>-1.8913690763639576E-2</v>
      </c>
    </row>
    <row r="118" spans="1:37" s="2" customFormat="1" ht="12.75" customHeight="1" x14ac:dyDescent="0.25">
      <c r="A118" s="4" t="s">
        <v>206</v>
      </c>
      <c r="B118" s="161" t="s">
        <v>107</v>
      </c>
      <c r="C118" s="161" t="s">
        <v>180</v>
      </c>
      <c r="D118" s="8" t="s">
        <v>325</v>
      </c>
      <c r="E11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0.6840863360622752</v>
      </c>
      <c r="F11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0.68526994347340187</v>
      </c>
      <c r="G11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0.2029443168778679</v>
      </c>
      <c r="H11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0.11178573964873025</v>
      </c>
      <c r="I11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7.7386308278648591E-2</v>
      </c>
      <c r="J11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4.2231735380268143E-3</v>
      </c>
      <c r="K11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1.1225519572505921E-2</v>
      </c>
      <c r="L11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1.6170569041066195E-2</v>
      </c>
      <c r="M11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2.7801692184827149E-3</v>
      </c>
      <c r="N11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16650324</v>
      </c>
      <c r="O118" s="170">
        <f>IFERROR(VLOOKUP(Vertailu[[#This Row],[Y-tunnus]],'1.2 Ohjaus-laskentataulu'!A:AQ,COLUMN('1.2 Ohjaus-laskentataulu'!AE:AE),FALSE),0)</f>
        <v>16033620</v>
      </c>
      <c r="P118" s="170">
        <f>IFERROR(Vertailu[[#This Row],[Rahoitus pl. hark. kor. 2025 ilman alv, €]]-Vertailu[[#This Row],[Rahoitus pl. hark. kor. 2024 ilman alv, €]],0)</f>
        <v>-616704</v>
      </c>
      <c r="Q118" s="172">
        <f>IFERROR(Vertailu[[#This Row],[Muutos, € 1]]/Vertailu[[#This Row],[Rahoitus pl. hark. kor. 2024 ilman alv, €]],0)</f>
        <v>-3.7038558528951146E-2</v>
      </c>
      <c r="R118" s="175">
        <f>IFERROR(VLOOKUP(Vertailu[[#This Row],[Y-tunnus]],'Suoritepäät. 2024 oikaistu'!$AB:$AL,COLUMN('Suoritepäät. 2024 oikaistu'!J:J),FALSE),0)</f>
        <v>16814074</v>
      </c>
      <c r="S118" s="176">
        <f>IFERROR(VLOOKUP(Vertailu[[#This Row],[Y-tunnus]],'1.2 Ohjaus-laskentataulu'!A:AQ,COLUMN('1.2 Ohjaus-laskentataulu'!AO:AO),FALSE),0)</f>
        <v>16052620</v>
      </c>
      <c r="T118" s="170">
        <f>IFERROR(Vertailu[[#This Row],[Rahoitus ml. hark. kor. 
2025 ilman alv, €]]-Vertailu[[#This Row],[Rahoitus ml. hark. kor. 
2024 ilman alv, €]],0)</f>
        <v>-761454</v>
      </c>
      <c r="U118" s="174">
        <f>IFERROR(Vertailu[[#This Row],[Muutos, € 2]]/Vertailu[[#This Row],[Rahoitus ml. hark. kor. 
2024 ilman alv, €]],0)</f>
        <v>-4.5286704459609251E-2</v>
      </c>
      <c r="V11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16814074</v>
      </c>
      <c r="W118" s="175">
        <f>IFERROR(VLOOKUP(Vertailu[[#This Row],[Y-tunnus]],'1.2 Ohjaus-laskentataulu'!A:AQ,COLUMN('1.2 Ohjaus-laskentataulu'!AQ:AQ),FALSE),0)</f>
        <v>16052620</v>
      </c>
      <c r="X118" s="177">
        <f>IFERROR(Vertailu[[#This Row],[Rahoitus ml. hark. kor. + alv 2025, €]]-Vertailu[[#This Row],[Rahoitus ml. hark. kor. + alv 2024, €]],0)</f>
        <v>-761454</v>
      </c>
      <c r="Y118" s="172">
        <f>IFERROR(Vertailu[[#This Row],[Muutos, € 3]]/Vertailu[[#This Row],[Rahoitus ml. hark. kor. + alv 2024, €]],0)</f>
        <v>-4.5286704459609251E-2</v>
      </c>
      <c r="Z118" s="170">
        <f>IFERROR(VLOOKUP(Vertailu[[#This Row],[Y-tunnus]],'Suoritepäät. 2024 oikaistu'!$B:$N,COLUMN('Suoritepäät. 2024 oikaistu'!H:H),FALSE),0)</f>
        <v>11715338</v>
      </c>
      <c r="AA118" s="170">
        <f>IFERROR(VLOOKUP(Vertailu[[#This Row],[Y-tunnus]],'1.2 Ohjaus-laskentataulu'!A:AQ,COLUMN('1.2 Ohjaus-laskentataulu'!AL:AL),FALSE),0)</f>
        <v>11000378</v>
      </c>
      <c r="AB118" s="170">
        <f>Vertailu[[#This Row],[Perusrahoitus 2025, €]]-Vertailu[[#This Row],[Perusrahoitus 2024, €]]</f>
        <v>-714960</v>
      </c>
      <c r="AC118" s="172">
        <f>IFERROR(Vertailu[[#This Row],[Perusrahoituksen muutos, €]]/Vertailu[[#This Row],[Perusrahoitus 2024, €]],0)</f>
        <v>-6.1027688659089474E-2</v>
      </c>
      <c r="AD118" s="170">
        <f>IFERROR(VLOOKUP(Vertailu[[#This Row],[Y-tunnus]],'Suoritepäät. 2024 oikaistu'!$O:$Y,COLUMN('Suoritepäät. 2024 oikaistu'!D:D),FALSE),0)</f>
        <v>3240170</v>
      </c>
      <c r="AE118" s="170">
        <f>IFERROR(VLOOKUP(Vertailu[[#This Row],[Y-tunnus]],'1.2 Ohjaus-laskentataulu'!A:AQ,COLUMN('1.2 Ohjaus-laskentataulu'!N:N),FALSE),0)</f>
        <v>3257788</v>
      </c>
      <c r="AF118" s="170">
        <f>Vertailu[[#This Row],[Suoritusrahoitus 2025, €]]-Vertailu[[#This Row],[Suoritusrahoitus 2024, €]]</f>
        <v>17618</v>
      </c>
      <c r="AG118" s="172">
        <f>IFERROR(Vertailu[[#This Row],[Suoritusrahoituksen muutos, €]]/Vertailu[[#This Row],[Suoritusrahoitus 2024, €]],0)</f>
        <v>5.4373690269337721E-3</v>
      </c>
      <c r="AH118" s="170">
        <f>IFERROR(VLOOKUP(Vertailu[[#This Row],[Y-tunnus]],'Suoritepäät. 2024 oikaistu'!$AB:$AL,COLUMN('Suoritepäät. 2024 oikaistu'!I:I),FALSE),0)</f>
        <v>1858566</v>
      </c>
      <c r="AI11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1794454</v>
      </c>
      <c r="AJ118" s="170">
        <f>Vertailu[[#This Row],[Vaikuttavuusrahoitus 2025, €]]-Vertailu[[#This Row],[Vaikuttavuusrahoitus 2024, €]]</f>
        <v>-64112</v>
      </c>
      <c r="AK118" s="172">
        <f>IFERROR(Vertailu[[#This Row],[Vaikuttavuusrahoituksen muutos, €]]/Vertailu[[#This Row],[Vaikuttavuusrahoitus 2024, €]],0)</f>
        <v>-3.4495412054239664E-2</v>
      </c>
    </row>
    <row r="119" spans="1:37" s="2" customFormat="1" ht="12.75" customHeight="1" x14ac:dyDescent="0.25">
      <c r="A119" s="4" t="s">
        <v>205</v>
      </c>
      <c r="B119" s="161" t="s">
        <v>108</v>
      </c>
      <c r="C119" s="161" t="s">
        <v>183</v>
      </c>
      <c r="D119" s="8" t="s">
        <v>326</v>
      </c>
      <c r="E11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0.58022641490371507</v>
      </c>
      <c r="F11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0.59028597052132148</v>
      </c>
      <c r="G11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0.2530795195678171</v>
      </c>
      <c r="H11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0.15663450991086145</v>
      </c>
      <c r="I11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0.1008884590811898</v>
      </c>
      <c r="J11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6.3217121659786615E-3</v>
      </c>
      <c r="K11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2.0991287771617257E-2</v>
      </c>
      <c r="L11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2.1876485118106803E-2</v>
      </c>
      <c r="M11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6.5565657739689275E-3</v>
      </c>
      <c r="N11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25039747</v>
      </c>
      <c r="O119" s="170">
        <f>IFERROR(VLOOKUP(Vertailu[[#This Row],[Y-tunnus]],'1.2 Ohjaus-laskentataulu'!A:AQ,COLUMN('1.2 Ohjaus-laskentataulu'!AE:AE),FALSE),0)</f>
        <v>22732241</v>
      </c>
      <c r="P119" s="170">
        <f>IFERROR(Vertailu[[#This Row],[Rahoitus pl. hark. kor. 2025 ilman alv, €]]-Vertailu[[#This Row],[Rahoitus pl. hark. kor. 2024 ilman alv, €]],0)</f>
        <v>-2307506</v>
      </c>
      <c r="Q119" s="172">
        <f>IFERROR(Vertailu[[#This Row],[Muutos, € 1]]/Vertailu[[#This Row],[Rahoitus pl. hark. kor. 2024 ilman alv, €]],0)</f>
        <v>-9.2153726633100563E-2</v>
      </c>
      <c r="R119" s="175">
        <f>IFERROR(VLOOKUP(Vertailu[[#This Row],[Y-tunnus]],'Suoritepäät. 2024 oikaistu'!$AB:$AL,COLUMN('Suoritepäät. 2024 oikaistu'!J:J),FALSE),0)</f>
        <v>25296228</v>
      </c>
      <c r="S119" s="176">
        <f>IFERROR(VLOOKUP(Vertailu[[#This Row],[Y-tunnus]],'1.2 Ohjaus-laskentataulu'!A:AQ,COLUMN('1.2 Ohjaus-laskentataulu'!AO:AO),FALSE),0)</f>
        <v>22963241</v>
      </c>
      <c r="T119" s="170">
        <f>IFERROR(Vertailu[[#This Row],[Rahoitus ml. hark. kor. 
2025 ilman alv, €]]-Vertailu[[#This Row],[Rahoitus ml. hark. kor. 
2024 ilman alv, €]],0)</f>
        <v>-2332987</v>
      </c>
      <c r="U119" s="174">
        <f>IFERROR(Vertailu[[#This Row],[Muutos, € 2]]/Vertailu[[#This Row],[Rahoitus ml. hark. kor. 
2024 ilman alv, €]],0)</f>
        <v>-9.2226675060012905E-2</v>
      </c>
      <c r="V11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27005182</v>
      </c>
      <c r="W119" s="175">
        <f>IFERROR(VLOOKUP(Vertailu[[#This Row],[Y-tunnus]],'1.2 Ohjaus-laskentataulu'!A:AQ,COLUMN('1.2 Ohjaus-laskentataulu'!AQ:AQ),FALSE),0)</f>
        <v>24310382</v>
      </c>
      <c r="X119" s="177">
        <f>IFERROR(Vertailu[[#This Row],[Rahoitus ml. hark. kor. + alv 2025, €]]-Vertailu[[#This Row],[Rahoitus ml. hark. kor. + alv 2024, €]],0)</f>
        <v>-2694800</v>
      </c>
      <c r="Y119" s="172">
        <f>IFERROR(Vertailu[[#This Row],[Muutos, € 3]]/Vertailu[[#This Row],[Rahoitus ml. hark. kor. + alv 2024, €]],0)</f>
        <v>-9.9788255454082847E-2</v>
      </c>
      <c r="Z119" s="170">
        <f>IFERROR(VLOOKUP(Vertailu[[#This Row],[Y-tunnus]],'Suoritepäät. 2024 oikaistu'!$B:$N,COLUMN('Suoritepäät. 2024 oikaistu'!H:H),FALSE),0)</f>
        <v>15590810</v>
      </c>
      <c r="AA119" s="170">
        <f>IFERROR(VLOOKUP(Vertailu[[#This Row],[Y-tunnus]],'1.2 Ohjaus-laskentataulu'!A:AQ,COLUMN('1.2 Ohjaus-laskentataulu'!AL:AL),FALSE),0)</f>
        <v>13554879</v>
      </c>
      <c r="AB119" s="170">
        <f>Vertailu[[#This Row],[Perusrahoitus 2025, €]]-Vertailu[[#This Row],[Perusrahoitus 2024, €]]</f>
        <v>-2035931</v>
      </c>
      <c r="AC119" s="172">
        <f>IFERROR(Vertailu[[#This Row],[Perusrahoituksen muutos, €]]/Vertailu[[#This Row],[Perusrahoitus 2024, €]],0)</f>
        <v>-0.13058532558603433</v>
      </c>
      <c r="AD119" s="170">
        <f>IFERROR(VLOOKUP(Vertailu[[#This Row],[Y-tunnus]],'Suoritepäät. 2024 oikaistu'!$O:$Y,COLUMN('Suoritepäät. 2024 oikaistu'!D:D),FALSE),0)</f>
        <v>6181735</v>
      </c>
      <c r="AE119" s="170">
        <f>IFERROR(VLOOKUP(Vertailu[[#This Row],[Y-tunnus]],'1.2 Ohjaus-laskentataulu'!A:AQ,COLUMN('1.2 Ohjaus-laskentataulu'!N:N),FALSE),0)</f>
        <v>5811526</v>
      </c>
      <c r="AF119" s="170">
        <f>Vertailu[[#This Row],[Suoritusrahoitus 2025, €]]-Vertailu[[#This Row],[Suoritusrahoitus 2024, €]]</f>
        <v>-370209</v>
      </c>
      <c r="AG119" s="172">
        <f>IFERROR(Vertailu[[#This Row],[Suoritusrahoituksen muutos, €]]/Vertailu[[#This Row],[Suoritusrahoitus 2024, €]],0)</f>
        <v>-5.9887555839905786E-2</v>
      </c>
      <c r="AH119" s="170">
        <f>IFERROR(VLOOKUP(Vertailu[[#This Row],[Y-tunnus]],'Suoritepäät. 2024 oikaistu'!$AB:$AL,COLUMN('Suoritepäät. 2024 oikaistu'!I:I),FALSE),0)</f>
        <v>3523683</v>
      </c>
      <c r="AI11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3596836</v>
      </c>
      <c r="AJ119" s="170">
        <f>Vertailu[[#This Row],[Vaikuttavuusrahoitus 2025, €]]-Vertailu[[#This Row],[Vaikuttavuusrahoitus 2024, €]]</f>
        <v>73153</v>
      </c>
      <c r="AK119" s="172">
        <f>IFERROR(Vertailu[[#This Row],[Vaikuttavuusrahoituksen muutos, €]]/Vertailu[[#This Row],[Vaikuttavuusrahoitus 2024, €]],0)</f>
        <v>2.0760380545014976E-2</v>
      </c>
    </row>
    <row r="120" spans="1:37" s="2" customFormat="1" ht="12.75" customHeight="1" x14ac:dyDescent="0.25">
      <c r="A120" s="4" t="s">
        <v>204</v>
      </c>
      <c r="B120" s="161" t="s">
        <v>109</v>
      </c>
      <c r="C120" s="161" t="s">
        <v>183</v>
      </c>
      <c r="D120" s="8" t="s">
        <v>327</v>
      </c>
      <c r="E12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0.68389639532904734</v>
      </c>
      <c r="F12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0.68682223115998675</v>
      </c>
      <c r="G12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0.20734784520432842</v>
      </c>
      <c r="H12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0.10582992363568482</v>
      </c>
      <c r="I12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7.8644736359526707E-2</v>
      </c>
      <c r="J12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2.8842353904981214E-3</v>
      </c>
      <c r="K12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9.105819240214006E-3</v>
      </c>
      <c r="L12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1.2223122180019674E-2</v>
      </c>
      <c r="M12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2.9720104654263045E-3</v>
      </c>
      <c r="N12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99253158</v>
      </c>
      <c r="O120" s="170">
        <f>IFERROR(VLOOKUP(Vertailu[[#This Row],[Y-tunnus]],'1.2 Ohjaus-laskentataulu'!A:AQ,COLUMN('1.2 Ohjaus-laskentataulu'!AE:AE),FALSE),0)</f>
        <v>96782280</v>
      </c>
      <c r="P120" s="170">
        <f>IFERROR(Vertailu[[#This Row],[Rahoitus pl. hark. kor. 2025 ilman alv, €]]-Vertailu[[#This Row],[Rahoitus pl. hark. kor. 2024 ilman alv, €]],0)</f>
        <v>-2470878</v>
      </c>
      <c r="Q120" s="172">
        <f>IFERROR(Vertailu[[#This Row],[Muutos, € 1]]/Vertailu[[#This Row],[Rahoitus pl. hark. kor. 2024 ilman alv, €]],0)</f>
        <v>-2.4894704106039629E-2</v>
      </c>
      <c r="R120" s="175">
        <f>IFERROR(VLOOKUP(Vertailu[[#This Row],[Y-tunnus]],'Suoritepäät. 2024 oikaistu'!$AB:$AL,COLUMN('Suoritepäät. 2024 oikaistu'!J:J),FALSE),0)</f>
        <v>99873080</v>
      </c>
      <c r="S120" s="176">
        <f>IFERROR(VLOOKUP(Vertailu[[#This Row],[Y-tunnus]],'1.2 Ohjaus-laskentataulu'!A:AQ,COLUMN('1.2 Ohjaus-laskentataulu'!AO:AO),FALSE),0)</f>
        <v>97066280</v>
      </c>
      <c r="T120" s="170">
        <f>IFERROR(Vertailu[[#This Row],[Rahoitus ml. hark. kor. 
2025 ilman alv, €]]-Vertailu[[#This Row],[Rahoitus ml. hark. kor. 
2024 ilman alv, €]],0)</f>
        <v>-2806800</v>
      </c>
      <c r="U120" s="174">
        <f>IFERROR(Vertailu[[#This Row],[Muutos, € 2]]/Vertailu[[#This Row],[Rahoitus ml. hark. kor. 
2024 ilman alv, €]],0)</f>
        <v>-2.8103669176919345E-2</v>
      </c>
      <c r="V12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99873080</v>
      </c>
      <c r="W120" s="175">
        <f>IFERROR(VLOOKUP(Vertailu[[#This Row],[Y-tunnus]],'1.2 Ohjaus-laskentataulu'!A:AQ,COLUMN('1.2 Ohjaus-laskentataulu'!AQ:AQ),FALSE),0)</f>
        <v>97066280</v>
      </c>
      <c r="X120" s="177">
        <f>IFERROR(Vertailu[[#This Row],[Rahoitus ml. hark. kor. + alv 2025, €]]-Vertailu[[#This Row],[Rahoitus ml. hark. kor. + alv 2024, €]],0)</f>
        <v>-2806800</v>
      </c>
      <c r="Y120" s="172">
        <f>IFERROR(Vertailu[[#This Row],[Muutos, € 3]]/Vertailu[[#This Row],[Rahoitus ml. hark. kor. + alv 2024, €]],0)</f>
        <v>-2.8103669176919345E-2</v>
      </c>
      <c r="Z120" s="170">
        <f>IFERROR(VLOOKUP(Vertailu[[#This Row],[Y-tunnus]],'Suoritepäät. 2024 oikaistu'!$B:$N,COLUMN('Suoritepäät. 2024 oikaistu'!H:H),FALSE),0)</f>
        <v>68399430</v>
      </c>
      <c r="AA120" s="170">
        <f>IFERROR(VLOOKUP(Vertailu[[#This Row],[Y-tunnus]],'1.2 Ohjaus-laskentataulu'!A:AQ,COLUMN('1.2 Ohjaus-laskentataulu'!AL:AL),FALSE),0)</f>
        <v>66667279</v>
      </c>
      <c r="AB120" s="170">
        <f>Vertailu[[#This Row],[Perusrahoitus 2025, €]]-Vertailu[[#This Row],[Perusrahoitus 2024, €]]</f>
        <v>-1732151</v>
      </c>
      <c r="AC120" s="172">
        <f>IFERROR(Vertailu[[#This Row],[Perusrahoituksen muutos, €]]/Vertailu[[#This Row],[Perusrahoitus 2024, €]],0)</f>
        <v>-2.5324056063040293E-2</v>
      </c>
      <c r="AD120" s="170">
        <f>IFERROR(VLOOKUP(Vertailu[[#This Row],[Y-tunnus]],'Suoritepäät. 2024 oikaistu'!$O:$Y,COLUMN('Suoritepäät. 2024 oikaistu'!D:D),FALSE),0)</f>
        <v>20992160</v>
      </c>
      <c r="AE120" s="170">
        <f>IFERROR(VLOOKUP(Vertailu[[#This Row],[Y-tunnus]],'1.2 Ohjaus-laskentataulu'!A:AQ,COLUMN('1.2 Ohjaus-laskentataulu'!N:N),FALSE),0)</f>
        <v>20126484</v>
      </c>
      <c r="AF120" s="170">
        <f>Vertailu[[#This Row],[Suoritusrahoitus 2025, €]]-Vertailu[[#This Row],[Suoritusrahoitus 2024, €]]</f>
        <v>-865676</v>
      </c>
      <c r="AG120" s="172">
        <f>IFERROR(Vertailu[[#This Row],[Suoritusrahoituksen muutos, €]]/Vertailu[[#This Row],[Suoritusrahoitus 2024, €]],0)</f>
        <v>-4.1238062209891693E-2</v>
      </c>
      <c r="AH120" s="170">
        <f>IFERROR(VLOOKUP(Vertailu[[#This Row],[Y-tunnus]],'Suoritepäät. 2024 oikaistu'!$AB:$AL,COLUMN('Suoritepäät. 2024 oikaistu'!I:I),FALSE),0)</f>
        <v>10481490</v>
      </c>
      <c r="AI12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10272517</v>
      </c>
      <c r="AJ120" s="170">
        <f>Vertailu[[#This Row],[Vaikuttavuusrahoitus 2025, €]]-Vertailu[[#This Row],[Vaikuttavuusrahoitus 2024, €]]</f>
        <v>-208973</v>
      </c>
      <c r="AK120" s="172">
        <f>IFERROR(Vertailu[[#This Row],[Vaikuttavuusrahoituksen muutos, €]]/Vertailu[[#This Row],[Vaikuttavuusrahoitus 2024, €]],0)</f>
        <v>-1.9937337153400899E-2</v>
      </c>
    </row>
    <row r="121" spans="1:37" s="2" customFormat="1" ht="12.75" customHeight="1" x14ac:dyDescent="0.25">
      <c r="A121" s="4" t="s">
        <v>203</v>
      </c>
      <c r="B121" s="161" t="s">
        <v>110</v>
      </c>
      <c r="C121" s="161" t="s">
        <v>183</v>
      </c>
      <c r="D121" s="8" t="s">
        <v>326</v>
      </c>
      <c r="E12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0.70564551496959305</v>
      </c>
      <c r="F12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0.70564551496959305</v>
      </c>
      <c r="G12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0.19653316505535631</v>
      </c>
      <c r="H12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9.7821319975050683E-2</v>
      </c>
      <c r="I12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8.8588365429596139E-2</v>
      </c>
      <c r="J12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9.5630944955559026E-4</v>
      </c>
      <c r="K12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8.2766450958989546E-3</v>
      </c>
      <c r="L12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12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12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841003</v>
      </c>
      <c r="O121" s="170">
        <f>IFERROR(VLOOKUP(Vertailu[[#This Row],[Y-tunnus]],'1.2 Ohjaus-laskentataulu'!A:AQ,COLUMN('1.2 Ohjaus-laskentataulu'!AE:AE),FALSE),0)</f>
        <v>820864</v>
      </c>
      <c r="P121" s="170">
        <f>IFERROR(Vertailu[[#This Row],[Rahoitus pl. hark. kor. 2025 ilman alv, €]]-Vertailu[[#This Row],[Rahoitus pl. hark. kor. 2024 ilman alv, €]],0)</f>
        <v>-20139</v>
      </c>
      <c r="Q121" s="172">
        <f>IFERROR(Vertailu[[#This Row],[Muutos, € 1]]/Vertailu[[#This Row],[Rahoitus pl. hark. kor. 2024 ilman alv, €]],0)</f>
        <v>-2.3946406849916113E-2</v>
      </c>
      <c r="R121" s="175">
        <f>IFERROR(VLOOKUP(Vertailu[[#This Row],[Y-tunnus]],'Suoritepäät. 2024 oikaistu'!$AB:$AL,COLUMN('Suoritepäät. 2024 oikaistu'!J:J),FALSE),0)</f>
        <v>841003</v>
      </c>
      <c r="S121" s="176">
        <f>IFERROR(VLOOKUP(Vertailu[[#This Row],[Y-tunnus]],'1.2 Ohjaus-laskentataulu'!A:AQ,COLUMN('1.2 Ohjaus-laskentataulu'!AO:AO),FALSE),0)</f>
        <v>820864</v>
      </c>
      <c r="T121" s="170">
        <f>IFERROR(Vertailu[[#This Row],[Rahoitus ml. hark. kor. 
2025 ilman alv, €]]-Vertailu[[#This Row],[Rahoitus ml. hark. kor. 
2024 ilman alv, €]],0)</f>
        <v>-20139</v>
      </c>
      <c r="U121" s="174">
        <f>IFERROR(Vertailu[[#This Row],[Muutos, € 2]]/Vertailu[[#This Row],[Rahoitus ml. hark. kor. 
2024 ilman alv, €]],0)</f>
        <v>-2.3946406849916113E-2</v>
      </c>
      <c r="V12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875967</v>
      </c>
      <c r="W121" s="175">
        <f>IFERROR(VLOOKUP(Vertailu[[#This Row],[Y-tunnus]],'1.2 Ohjaus-laskentataulu'!A:AQ,COLUMN('1.2 Ohjaus-laskentataulu'!AQ:AQ),FALSE),0)</f>
        <v>869462</v>
      </c>
      <c r="X121" s="177">
        <f>IFERROR(Vertailu[[#This Row],[Rahoitus ml. hark. kor. + alv 2025, €]]-Vertailu[[#This Row],[Rahoitus ml. hark. kor. + alv 2024, €]],0)</f>
        <v>-6505</v>
      </c>
      <c r="Y121" s="172">
        <f>IFERROR(Vertailu[[#This Row],[Muutos, € 3]]/Vertailu[[#This Row],[Rahoitus ml. hark. kor. + alv 2024, €]],0)</f>
        <v>-7.4260788363031942E-3</v>
      </c>
      <c r="Z121" s="170">
        <f>IFERROR(VLOOKUP(Vertailu[[#This Row],[Y-tunnus]],'Suoritepäät. 2024 oikaistu'!$B:$N,COLUMN('Suoritepäät. 2024 oikaistu'!H:H),FALSE),0)</f>
        <v>592354</v>
      </c>
      <c r="AA121" s="170">
        <f>IFERROR(VLOOKUP(Vertailu[[#This Row],[Y-tunnus]],'1.2 Ohjaus-laskentataulu'!A:AQ,COLUMN('1.2 Ohjaus-laskentataulu'!AL:AL),FALSE),0)</f>
        <v>579239</v>
      </c>
      <c r="AB121" s="170">
        <f>Vertailu[[#This Row],[Perusrahoitus 2025, €]]-Vertailu[[#This Row],[Perusrahoitus 2024, €]]</f>
        <v>-13115</v>
      </c>
      <c r="AC121" s="172">
        <f>IFERROR(Vertailu[[#This Row],[Perusrahoituksen muutos, €]]/Vertailu[[#This Row],[Perusrahoitus 2024, €]],0)</f>
        <v>-2.2140476809475416E-2</v>
      </c>
      <c r="AD121" s="170">
        <f>IFERROR(VLOOKUP(Vertailu[[#This Row],[Y-tunnus]],'Suoritepäät. 2024 oikaistu'!$O:$Y,COLUMN('Suoritepäät. 2024 oikaistu'!D:D),FALSE),0)</f>
        <v>188274</v>
      </c>
      <c r="AE121" s="170">
        <f>IFERROR(VLOOKUP(Vertailu[[#This Row],[Y-tunnus]],'1.2 Ohjaus-laskentataulu'!A:AQ,COLUMN('1.2 Ohjaus-laskentataulu'!N:N),FALSE),0)</f>
        <v>161327</v>
      </c>
      <c r="AF121" s="170">
        <f>Vertailu[[#This Row],[Suoritusrahoitus 2025, €]]-Vertailu[[#This Row],[Suoritusrahoitus 2024, €]]</f>
        <v>-26947</v>
      </c>
      <c r="AG121" s="172">
        <f>IFERROR(Vertailu[[#This Row],[Suoritusrahoituksen muutos, €]]/Vertailu[[#This Row],[Suoritusrahoitus 2024, €]],0)</f>
        <v>-0.14312650711197511</v>
      </c>
      <c r="AH121" s="170">
        <f>IFERROR(VLOOKUP(Vertailu[[#This Row],[Y-tunnus]],'Suoritepäät. 2024 oikaistu'!$AB:$AL,COLUMN('Suoritepäät. 2024 oikaistu'!I:I),FALSE),0)</f>
        <v>60375</v>
      </c>
      <c r="AI12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80298</v>
      </c>
      <c r="AJ121" s="170">
        <f>Vertailu[[#This Row],[Vaikuttavuusrahoitus 2025, €]]-Vertailu[[#This Row],[Vaikuttavuusrahoitus 2024, €]]</f>
        <v>19923</v>
      </c>
      <c r="AK121" s="172">
        <f>IFERROR(Vertailu[[#This Row],[Vaikuttavuusrahoituksen muutos, €]]/Vertailu[[#This Row],[Vaikuttavuusrahoitus 2024, €]],0)</f>
        <v>0.32998757763975156</v>
      </c>
    </row>
    <row r="122" spans="1:37" s="2" customFormat="1" ht="12.75" customHeight="1" x14ac:dyDescent="0.25">
      <c r="A122" s="4" t="s">
        <v>202</v>
      </c>
      <c r="B122" s="161" t="s">
        <v>111</v>
      </c>
      <c r="C122" s="161" t="s">
        <v>201</v>
      </c>
      <c r="D122" s="8" t="s">
        <v>326</v>
      </c>
      <c r="E12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0.70089291941716125</v>
      </c>
      <c r="F12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0.70244285765212255</v>
      </c>
      <c r="G12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0.18299345771071024</v>
      </c>
      <c r="H12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0.11456368463716721</v>
      </c>
      <c r="I12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8.2193999569117174E-2</v>
      </c>
      <c r="J12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4.1522845314614209E-3</v>
      </c>
      <c r="K12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8.4076399555477709E-3</v>
      </c>
      <c r="L12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1.5291690626128548E-2</v>
      </c>
      <c r="M12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4.5180699549122964E-3</v>
      </c>
      <c r="N12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1339020</v>
      </c>
      <c r="O122" s="170">
        <f>IFERROR(VLOOKUP(Vertailu[[#This Row],[Y-tunnus]],'1.2 Ohjaus-laskentataulu'!A:AQ,COLUMN('1.2 Ohjaus-laskentataulu'!AE:AE),FALSE),0)</f>
        <v>1288374</v>
      </c>
      <c r="P122" s="170">
        <f>IFERROR(Vertailu[[#This Row],[Rahoitus pl. hark. kor. 2025 ilman alv, €]]-Vertailu[[#This Row],[Rahoitus pl. hark. kor. 2024 ilman alv, €]],0)</f>
        <v>-50646</v>
      </c>
      <c r="Q122" s="172">
        <f>IFERROR(Vertailu[[#This Row],[Muutos, € 1]]/Vertailu[[#This Row],[Rahoitus pl. hark. kor. 2024 ilman alv, €]],0)</f>
        <v>-3.7823184119729354E-2</v>
      </c>
      <c r="R122" s="175">
        <f>IFERROR(VLOOKUP(Vertailu[[#This Row],[Y-tunnus]],'Suoritepäät. 2024 oikaistu'!$AB:$AL,COLUMN('Suoritepäät. 2024 oikaistu'!J:J),FALSE),0)</f>
        <v>1339020</v>
      </c>
      <c r="S122" s="176">
        <f>IFERROR(VLOOKUP(Vertailu[[#This Row],[Y-tunnus]],'1.2 Ohjaus-laskentataulu'!A:AQ,COLUMN('1.2 Ohjaus-laskentataulu'!AO:AO),FALSE),0)</f>
        <v>1290374</v>
      </c>
      <c r="T122" s="170">
        <f>IFERROR(Vertailu[[#This Row],[Rahoitus ml. hark. kor. 
2025 ilman alv, €]]-Vertailu[[#This Row],[Rahoitus ml. hark. kor. 
2024 ilman alv, €]],0)</f>
        <v>-48646</v>
      </c>
      <c r="U122" s="174">
        <f>IFERROR(Vertailu[[#This Row],[Muutos, € 2]]/Vertailu[[#This Row],[Rahoitus ml. hark. kor. 
2024 ilman alv, €]],0)</f>
        <v>-3.6329554450269599E-2</v>
      </c>
      <c r="V12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1398818</v>
      </c>
      <c r="W122" s="175">
        <f>IFERROR(VLOOKUP(Vertailu[[#This Row],[Y-tunnus]],'1.2 Ohjaus-laskentataulu'!A:AQ,COLUMN('1.2 Ohjaus-laskentataulu'!AQ:AQ),FALSE),0)</f>
        <v>1360638</v>
      </c>
      <c r="X122" s="177">
        <f>IFERROR(Vertailu[[#This Row],[Rahoitus ml. hark. kor. + alv 2025, €]]-Vertailu[[#This Row],[Rahoitus ml. hark. kor. + alv 2024, €]],0)</f>
        <v>-38180</v>
      </c>
      <c r="Y122" s="172">
        <f>IFERROR(Vertailu[[#This Row],[Muutos, € 3]]/Vertailu[[#This Row],[Rahoitus ml. hark. kor. + alv 2024, €]],0)</f>
        <v>-2.7294472904981205E-2</v>
      </c>
      <c r="Z122" s="170">
        <f>IFERROR(VLOOKUP(Vertailu[[#This Row],[Y-tunnus]],'Suoritepäät. 2024 oikaistu'!$B:$N,COLUMN('Suoritepäät. 2024 oikaistu'!H:H),FALSE),0)</f>
        <v>924700</v>
      </c>
      <c r="AA122" s="170">
        <f>IFERROR(VLOOKUP(Vertailu[[#This Row],[Y-tunnus]],'1.2 Ohjaus-laskentataulu'!A:AQ,COLUMN('1.2 Ohjaus-laskentataulu'!AL:AL),FALSE),0)</f>
        <v>906414</v>
      </c>
      <c r="AB122" s="170">
        <f>Vertailu[[#This Row],[Perusrahoitus 2025, €]]-Vertailu[[#This Row],[Perusrahoitus 2024, €]]</f>
        <v>-18286</v>
      </c>
      <c r="AC122" s="172">
        <f>IFERROR(Vertailu[[#This Row],[Perusrahoituksen muutos, €]]/Vertailu[[#This Row],[Perusrahoitus 2024, €]],0)</f>
        <v>-1.9775062182329405E-2</v>
      </c>
      <c r="AD122" s="170">
        <f>IFERROR(VLOOKUP(Vertailu[[#This Row],[Y-tunnus]],'Suoritepäät. 2024 oikaistu'!$O:$Y,COLUMN('Suoritepäät. 2024 oikaistu'!D:D),FALSE),0)</f>
        <v>283107</v>
      </c>
      <c r="AE122" s="170">
        <f>IFERROR(VLOOKUP(Vertailu[[#This Row],[Y-tunnus]],'1.2 Ohjaus-laskentataulu'!A:AQ,COLUMN('1.2 Ohjaus-laskentataulu'!N:N),FALSE),0)</f>
        <v>236130</v>
      </c>
      <c r="AF122" s="170">
        <f>Vertailu[[#This Row],[Suoritusrahoitus 2025, €]]-Vertailu[[#This Row],[Suoritusrahoitus 2024, €]]</f>
        <v>-46977</v>
      </c>
      <c r="AG122" s="172">
        <f>IFERROR(Vertailu[[#This Row],[Suoritusrahoituksen muutos, €]]/Vertailu[[#This Row],[Suoritusrahoitus 2024, €]],0)</f>
        <v>-0.16593372823702698</v>
      </c>
      <c r="AH122" s="170">
        <f>IFERROR(VLOOKUP(Vertailu[[#This Row],[Y-tunnus]],'Suoritepäät. 2024 oikaistu'!$AB:$AL,COLUMN('Suoritepäät. 2024 oikaistu'!I:I),FALSE),0)</f>
        <v>131213</v>
      </c>
      <c r="AI12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147830</v>
      </c>
      <c r="AJ122" s="170">
        <f>Vertailu[[#This Row],[Vaikuttavuusrahoitus 2025, €]]-Vertailu[[#This Row],[Vaikuttavuusrahoitus 2024, €]]</f>
        <v>16617</v>
      </c>
      <c r="AK122" s="172">
        <f>IFERROR(Vertailu[[#This Row],[Vaikuttavuusrahoituksen muutos, €]]/Vertailu[[#This Row],[Vaikuttavuusrahoitus 2024, €]],0)</f>
        <v>0.12664141510368637</v>
      </c>
    </row>
    <row r="123" spans="1:37" s="2" customFormat="1" ht="12.75" customHeight="1" x14ac:dyDescent="0.25">
      <c r="A123" s="4" t="s">
        <v>198</v>
      </c>
      <c r="B123" s="161" t="s">
        <v>112</v>
      </c>
      <c r="C123" s="161" t="s">
        <v>178</v>
      </c>
      <c r="D123" s="8" t="s">
        <v>326</v>
      </c>
      <c r="E12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0.68238418961207792</v>
      </c>
      <c r="F12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0.6828030033974174</v>
      </c>
      <c r="G12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0.22808556868211027</v>
      </c>
      <c r="H12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8.9111427920472289E-2</v>
      </c>
      <c r="I12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6.9246671268034118E-2</v>
      </c>
      <c r="J12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2.5924573312515495E-3</v>
      </c>
      <c r="K12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9.2888709450449306E-3</v>
      </c>
      <c r="L12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6.8174507977564981E-3</v>
      </c>
      <c r="M12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1.1659775783851882E-3</v>
      </c>
      <c r="N12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2688642</v>
      </c>
      <c r="O123" s="170">
        <f>IFERROR(VLOOKUP(Vertailu[[#This Row],[Y-tunnus]],'1.2 Ohjaus-laskentataulu'!A:AQ,COLUMN('1.2 Ohjaus-laskentataulu'!AE:AE),FALSE),0)</f>
        <v>2386696</v>
      </c>
      <c r="P123" s="170">
        <f>IFERROR(Vertailu[[#This Row],[Rahoitus pl. hark. kor. 2025 ilman alv, €]]-Vertailu[[#This Row],[Rahoitus pl. hark. kor. 2024 ilman alv, €]],0)</f>
        <v>-301946</v>
      </c>
      <c r="Q123" s="172">
        <f>IFERROR(Vertailu[[#This Row],[Muutos, € 1]]/Vertailu[[#This Row],[Rahoitus pl. hark. kor. 2024 ilman alv, €]],0)</f>
        <v>-0.11230427851681257</v>
      </c>
      <c r="R123" s="175">
        <f>IFERROR(VLOOKUP(Vertailu[[#This Row],[Y-tunnus]],'Suoritepäät. 2024 oikaistu'!$AB:$AL,COLUMN('Suoritepäät. 2024 oikaistu'!J:J),FALSE),0)</f>
        <v>2688642</v>
      </c>
      <c r="S123" s="176">
        <f>IFERROR(VLOOKUP(Vertailu[[#This Row],[Y-tunnus]],'1.2 Ohjaus-laskentataulu'!A:AQ,COLUMN('1.2 Ohjaus-laskentataulu'!AO:AO),FALSE),0)</f>
        <v>2387696</v>
      </c>
      <c r="T123" s="170">
        <f>IFERROR(Vertailu[[#This Row],[Rahoitus ml. hark. kor. 
2025 ilman alv, €]]-Vertailu[[#This Row],[Rahoitus ml. hark. kor. 
2024 ilman alv, €]],0)</f>
        <v>-300946</v>
      </c>
      <c r="U123" s="174">
        <f>IFERROR(Vertailu[[#This Row],[Muutos, € 2]]/Vertailu[[#This Row],[Rahoitus ml. hark. kor. 
2024 ilman alv, €]],0)</f>
        <v>-0.11193234353997297</v>
      </c>
      <c r="V12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2875100</v>
      </c>
      <c r="W123" s="175">
        <f>IFERROR(VLOOKUP(Vertailu[[#This Row],[Y-tunnus]],'1.2 Ohjaus-laskentataulu'!A:AQ,COLUMN('1.2 Ohjaus-laskentataulu'!AQ:AQ),FALSE),0)</f>
        <v>2632711</v>
      </c>
      <c r="X123" s="177">
        <f>IFERROR(Vertailu[[#This Row],[Rahoitus ml. hark. kor. + alv 2025, €]]-Vertailu[[#This Row],[Rahoitus ml. hark. kor. + alv 2024, €]],0)</f>
        <v>-242389</v>
      </c>
      <c r="Y123" s="172">
        <f>IFERROR(Vertailu[[#This Row],[Muutos, € 3]]/Vertailu[[#This Row],[Rahoitus ml. hark. kor. + alv 2024, €]],0)</f>
        <v>-8.4306284998782649E-2</v>
      </c>
      <c r="Z123" s="170">
        <f>IFERROR(VLOOKUP(Vertailu[[#This Row],[Y-tunnus]],'Suoritepäät. 2024 oikaistu'!$B:$N,COLUMN('Suoritepäät. 2024 oikaistu'!H:H),FALSE),0)</f>
        <v>1892394</v>
      </c>
      <c r="AA123" s="170">
        <f>IFERROR(VLOOKUP(Vertailu[[#This Row],[Y-tunnus]],'1.2 Ohjaus-laskentataulu'!A:AQ,COLUMN('1.2 Ohjaus-laskentataulu'!AL:AL),FALSE),0)</f>
        <v>1630326</v>
      </c>
      <c r="AB123" s="170">
        <f>Vertailu[[#This Row],[Perusrahoitus 2025, €]]-Vertailu[[#This Row],[Perusrahoitus 2024, €]]</f>
        <v>-262068</v>
      </c>
      <c r="AC123" s="172">
        <f>IFERROR(Vertailu[[#This Row],[Perusrahoituksen muutos, €]]/Vertailu[[#This Row],[Perusrahoitus 2024, €]],0)</f>
        <v>-0.13848490324953472</v>
      </c>
      <c r="AD123" s="170">
        <f>IFERROR(VLOOKUP(Vertailu[[#This Row],[Y-tunnus]],'Suoritepäät. 2024 oikaistu'!$O:$Y,COLUMN('Suoritepäät. 2024 oikaistu'!D:D),FALSE),0)</f>
        <v>532601</v>
      </c>
      <c r="AE123" s="170">
        <f>IFERROR(VLOOKUP(Vertailu[[#This Row],[Y-tunnus]],'1.2 Ohjaus-laskentataulu'!A:AQ,COLUMN('1.2 Ohjaus-laskentataulu'!N:N),FALSE),0)</f>
        <v>544599</v>
      </c>
      <c r="AF123" s="170">
        <f>Vertailu[[#This Row],[Suoritusrahoitus 2025, €]]-Vertailu[[#This Row],[Suoritusrahoitus 2024, €]]</f>
        <v>11998</v>
      </c>
      <c r="AG123" s="172">
        <f>IFERROR(Vertailu[[#This Row],[Suoritusrahoituksen muutos, €]]/Vertailu[[#This Row],[Suoritusrahoitus 2024, €]],0)</f>
        <v>2.2527182637659335E-2</v>
      </c>
      <c r="AH123" s="170">
        <f>IFERROR(VLOOKUP(Vertailu[[#This Row],[Y-tunnus]],'Suoritepäät. 2024 oikaistu'!$AB:$AL,COLUMN('Suoritepäät. 2024 oikaistu'!I:I),FALSE),0)</f>
        <v>263647</v>
      </c>
      <c r="AI12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212771</v>
      </c>
      <c r="AJ123" s="170">
        <f>Vertailu[[#This Row],[Vaikuttavuusrahoitus 2025, €]]-Vertailu[[#This Row],[Vaikuttavuusrahoitus 2024, €]]</f>
        <v>-50876</v>
      </c>
      <c r="AK123" s="172">
        <f>IFERROR(Vertailu[[#This Row],[Vaikuttavuusrahoituksen muutos, €]]/Vertailu[[#This Row],[Vaikuttavuusrahoitus 2024, €]],0)</f>
        <v>-0.19297014568722573</v>
      </c>
    </row>
    <row r="124" spans="1:37" s="2" customFormat="1" ht="12.75" customHeight="1" x14ac:dyDescent="0.25">
      <c r="A124" s="4" t="s">
        <v>199</v>
      </c>
      <c r="B124" s="161" t="s">
        <v>113</v>
      </c>
      <c r="C124" s="161" t="s">
        <v>178</v>
      </c>
      <c r="D124" s="8" t="s">
        <v>326</v>
      </c>
      <c r="E12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0.68591293039560752</v>
      </c>
      <c r="F12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0.68995159658571159</v>
      </c>
      <c r="G12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0.21851405354867501</v>
      </c>
      <c r="H12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9.1534349865613387E-2</v>
      </c>
      <c r="I12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5.0043112761579363E-2</v>
      </c>
      <c r="J12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1.0920553378041369E-2</v>
      </c>
      <c r="K12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1.4159563662504822E-2</v>
      </c>
      <c r="L12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1.3828393034916288E-2</v>
      </c>
      <c r="M12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2.5827270285715439E-3</v>
      </c>
      <c r="N12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415130</v>
      </c>
      <c r="O124" s="170">
        <f>IFERROR(VLOOKUP(Vertailu[[#This Row],[Y-tunnus]],'1.2 Ohjaus-laskentataulu'!A:AQ,COLUMN('1.2 Ohjaus-laskentataulu'!AE:AE),FALSE),0)</f>
        <v>493213</v>
      </c>
      <c r="P124" s="170">
        <f>IFERROR(Vertailu[[#This Row],[Rahoitus pl. hark. kor. 2025 ilman alv, €]]-Vertailu[[#This Row],[Rahoitus pl. hark. kor. 2024 ilman alv, €]],0)</f>
        <v>78083</v>
      </c>
      <c r="Q124" s="172">
        <f>IFERROR(Vertailu[[#This Row],[Muutos, € 1]]/Vertailu[[#This Row],[Rahoitus pl. hark. kor. 2024 ilman alv, €]],0)</f>
        <v>0.18809288656565412</v>
      </c>
      <c r="R124" s="175">
        <f>IFERROR(VLOOKUP(Vertailu[[#This Row],[Y-tunnus]],'Suoritepäät. 2024 oikaistu'!$AB:$AL,COLUMN('Suoritepäät. 2024 oikaistu'!J:J),FALSE),0)</f>
        <v>415130</v>
      </c>
      <c r="S124" s="176">
        <f>IFERROR(VLOOKUP(Vertailu[[#This Row],[Y-tunnus]],'1.2 Ohjaus-laskentataulu'!A:AQ,COLUMN('1.2 Ohjaus-laskentataulu'!AO:AO),FALSE),0)</f>
        <v>495213</v>
      </c>
      <c r="T124" s="170">
        <f>IFERROR(Vertailu[[#This Row],[Rahoitus ml. hark. kor. 
2025 ilman alv, €]]-Vertailu[[#This Row],[Rahoitus ml. hark. kor. 
2024 ilman alv, €]],0)</f>
        <v>80083</v>
      </c>
      <c r="U124" s="174">
        <f>IFERROR(Vertailu[[#This Row],[Muutos, € 2]]/Vertailu[[#This Row],[Rahoitus ml. hark. kor. 
2024 ilman alv, €]],0)</f>
        <v>0.19291065449377304</v>
      </c>
      <c r="V12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577031</v>
      </c>
      <c r="W124" s="175">
        <f>IFERROR(VLOOKUP(Vertailu[[#This Row],[Y-tunnus]],'1.2 Ohjaus-laskentataulu'!A:AQ,COLUMN('1.2 Ohjaus-laskentataulu'!AQ:AQ),FALSE),0)</f>
        <v>665496</v>
      </c>
      <c r="X124" s="177">
        <f>IFERROR(Vertailu[[#This Row],[Rahoitus ml. hark. kor. + alv 2025, €]]-Vertailu[[#This Row],[Rahoitus ml. hark. kor. + alv 2024, €]],0)</f>
        <v>88465</v>
      </c>
      <c r="Y124" s="172">
        <f>IFERROR(Vertailu[[#This Row],[Muutos, € 3]]/Vertailu[[#This Row],[Rahoitus ml. hark. kor. + alv 2024, €]],0)</f>
        <v>0.15331065402032126</v>
      </c>
      <c r="Z124" s="170">
        <f>IFERROR(VLOOKUP(Vertailu[[#This Row],[Y-tunnus]],'Suoritepäät. 2024 oikaistu'!$B:$N,COLUMN('Suoritepäät. 2024 oikaistu'!H:H),FALSE),0)</f>
        <v>265467</v>
      </c>
      <c r="AA124" s="170">
        <f>IFERROR(VLOOKUP(Vertailu[[#This Row],[Y-tunnus]],'1.2 Ohjaus-laskentataulu'!A:AQ,COLUMN('1.2 Ohjaus-laskentataulu'!AL:AL),FALSE),0)</f>
        <v>341673</v>
      </c>
      <c r="AB124" s="170">
        <f>Vertailu[[#This Row],[Perusrahoitus 2025, €]]-Vertailu[[#This Row],[Perusrahoitus 2024, €]]</f>
        <v>76206</v>
      </c>
      <c r="AC124" s="172">
        <f>IFERROR(Vertailu[[#This Row],[Perusrahoituksen muutos, €]]/Vertailu[[#This Row],[Perusrahoitus 2024, €]],0)</f>
        <v>0.28706392884991355</v>
      </c>
      <c r="AD124" s="170">
        <f>IFERROR(VLOOKUP(Vertailu[[#This Row],[Y-tunnus]],'Suoritepäät. 2024 oikaistu'!$O:$Y,COLUMN('Suoritepäät. 2024 oikaistu'!D:D),FALSE),0)</f>
        <v>118916</v>
      </c>
      <c r="AE124" s="170">
        <f>IFERROR(VLOOKUP(Vertailu[[#This Row],[Y-tunnus]],'1.2 Ohjaus-laskentataulu'!A:AQ,COLUMN('1.2 Ohjaus-laskentataulu'!N:N),FALSE),0)</f>
        <v>108211</v>
      </c>
      <c r="AF124" s="170">
        <f>Vertailu[[#This Row],[Suoritusrahoitus 2025, €]]-Vertailu[[#This Row],[Suoritusrahoitus 2024, €]]</f>
        <v>-10705</v>
      </c>
      <c r="AG124" s="172">
        <f>IFERROR(Vertailu[[#This Row],[Suoritusrahoituksen muutos, €]]/Vertailu[[#This Row],[Suoritusrahoitus 2024, €]],0)</f>
        <v>-9.0021527801136939E-2</v>
      </c>
      <c r="AH124" s="170">
        <f>IFERROR(VLOOKUP(Vertailu[[#This Row],[Y-tunnus]],'Suoritepäät. 2024 oikaistu'!$AB:$AL,COLUMN('Suoritepäät. 2024 oikaistu'!I:I),FALSE),0)</f>
        <v>30747</v>
      </c>
      <c r="AI12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45329</v>
      </c>
      <c r="AJ124" s="170">
        <f>Vertailu[[#This Row],[Vaikuttavuusrahoitus 2025, €]]-Vertailu[[#This Row],[Vaikuttavuusrahoitus 2024, €]]</f>
        <v>14582</v>
      </c>
      <c r="AK124" s="172">
        <f>IFERROR(Vertailu[[#This Row],[Vaikuttavuusrahoituksen muutos, €]]/Vertailu[[#This Row],[Vaikuttavuusrahoitus 2024, €]],0)</f>
        <v>0.47425765115295804</v>
      </c>
    </row>
    <row r="125" spans="1:37" s="2" customFormat="1" ht="12.75" customHeight="1" x14ac:dyDescent="0.25">
      <c r="A125" s="4" t="s">
        <v>196</v>
      </c>
      <c r="B125" s="161" t="s">
        <v>114</v>
      </c>
      <c r="C125" s="161" t="s">
        <v>187</v>
      </c>
      <c r="D125" s="8" t="s">
        <v>326</v>
      </c>
      <c r="E12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0.5875586675086244</v>
      </c>
      <c r="F12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0.63025521181637034</v>
      </c>
      <c r="G12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0.23317895934628202</v>
      </c>
      <c r="H12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0.13656582883734769</v>
      </c>
      <c r="I12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9.2558144814818138E-2</v>
      </c>
      <c r="J12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5.539876623930024E-3</v>
      </c>
      <c r="K12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1.7503380566667857E-2</v>
      </c>
      <c r="L12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1.7201963295542938E-2</v>
      </c>
      <c r="M12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3.7624635363887227E-3</v>
      </c>
      <c r="N12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12037322</v>
      </c>
      <c r="O125" s="170">
        <f>IFERROR(VLOOKUP(Vertailu[[#This Row],[Y-tunnus]],'1.2 Ohjaus-laskentataulu'!A:AQ,COLUMN('1.2 Ohjaus-laskentataulu'!AE:AE),FALSE),0)</f>
        <v>11300234</v>
      </c>
      <c r="P125" s="170">
        <f>IFERROR(Vertailu[[#This Row],[Rahoitus pl. hark. kor. 2025 ilman alv, €]]-Vertailu[[#This Row],[Rahoitus pl. hark. kor. 2024 ilman alv, €]],0)</f>
        <v>-737088</v>
      </c>
      <c r="Q125" s="172">
        <f>IFERROR(Vertailu[[#This Row],[Muutos, € 1]]/Vertailu[[#This Row],[Rahoitus pl. hark. kor. 2024 ilman alv, €]],0)</f>
        <v>-6.1233553443199411E-2</v>
      </c>
      <c r="R125" s="175">
        <f>IFERROR(VLOOKUP(Vertailu[[#This Row],[Y-tunnus]],'Suoritepäät. 2024 oikaistu'!$AB:$AL,COLUMN('Suoritepäät. 2024 oikaistu'!J:J),FALSE),0)</f>
        <v>12469322</v>
      </c>
      <c r="S125" s="176">
        <f>IFERROR(VLOOKUP(Vertailu[[#This Row],[Y-tunnus]],'1.2 Ohjaus-laskentataulu'!A:AQ,COLUMN('1.2 Ohjaus-laskentataulu'!AO:AO),FALSE),0)</f>
        <v>11804234</v>
      </c>
      <c r="T125" s="170">
        <f>IFERROR(Vertailu[[#This Row],[Rahoitus ml. hark. kor. 
2025 ilman alv, €]]-Vertailu[[#This Row],[Rahoitus ml. hark. kor. 
2024 ilman alv, €]],0)</f>
        <v>-665088</v>
      </c>
      <c r="U125" s="174">
        <f>IFERROR(Vertailu[[#This Row],[Muutos, € 2]]/Vertailu[[#This Row],[Rahoitus ml. hark. kor. 
2024 ilman alv, €]],0)</f>
        <v>-5.3337944115967172E-2</v>
      </c>
      <c r="V12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13115623</v>
      </c>
      <c r="W125" s="175">
        <f>IFERROR(VLOOKUP(Vertailu[[#This Row],[Y-tunnus]],'1.2 Ohjaus-laskentataulu'!A:AQ,COLUMN('1.2 Ohjaus-laskentataulu'!AQ:AQ),FALSE),0)</f>
        <v>12484844</v>
      </c>
      <c r="X125" s="177">
        <f>IFERROR(Vertailu[[#This Row],[Rahoitus ml. hark. kor. + alv 2025, €]]-Vertailu[[#This Row],[Rahoitus ml. hark. kor. + alv 2024, €]],0)</f>
        <v>-630779</v>
      </c>
      <c r="Y125" s="172">
        <f>IFERROR(Vertailu[[#This Row],[Muutos, € 3]]/Vertailu[[#This Row],[Rahoitus ml. hark. kor. + alv 2024, €]],0)</f>
        <v>-4.8093712361204646E-2</v>
      </c>
      <c r="Z125" s="170">
        <f>IFERROR(VLOOKUP(Vertailu[[#This Row],[Y-tunnus]],'Suoritepäät. 2024 oikaistu'!$B:$N,COLUMN('Suoritepäät. 2024 oikaistu'!H:H),FALSE),0)</f>
        <v>8383740</v>
      </c>
      <c r="AA125" s="170">
        <f>IFERROR(VLOOKUP(Vertailu[[#This Row],[Y-tunnus]],'1.2 Ohjaus-laskentataulu'!A:AQ,COLUMN('1.2 Ohjaus-laskentataulu'!AL:AL),FALSE),0)</f>
        <v>7439680</v>
      </c>
      <c r="AB125" s="170">
        <f>Vertailu[[#This Row],[Perusrahoitus 2025, €]]-Vertailu[[#This Row],[Perusrahoitus 2024, €]]</f>
        <v>-944060</v>
      </c>
      <c r="AC125" s="172">
        <f>IFERROR(Vertailu[[#This Row],[Perusrahoituksen muutos, €]]/Vertailu[[#This Row],[Perusrahoitus 2024, €]],0)</f>
        <v>-0.11260606841338114</v>
      </c>
      <c r="AD125" s="170">
        <f>IFERROR(VLOOKUP(Vertailu[[#This Row],[Y-tunnus]],'Suoritepäät. 2024 oikaistu'!$O:$Y,COLUMN('Suoritepäät. 2024 oikaistu'!D:D),FALSE),0)</f>
        <v>2612946</v>
      </c>
      <c r="AE125" s="170">
        <f>IFERROR(VLOOKUP(Vertailu[[#This Row],[Y-tunnus]],'1.2 Ohjaus-laskentataulu'!A:AQ,COLUMN('1.2 Ohjaus-laskentataulu'!N:N),FALSE),0)</f>
        <v>2752499</v>
      </c>
      <c r="AF125" s="170">
        <f>Vertailu[[#This Row],[Suoritusrahoitus 2025, €]]-Vertailu[[#This Row],[Suoritusrahoitus 2024, €]]</f>
        <v>139553</v>
      </c>
      <c r="AG125" s="172">
        <f>IFERROR(Vertailu[[#This Row],[Suoritusrahoituksen muutos, €]]/Vertailu[[#This Row],[Suoritusrahoitus 2024, €]],0)</f>
        <v>5.3408298525878452E-2</v>
      </c>
      <c r="AH125" s="170">
        <f>IFERROR(VLOOKUP(Vertailu[[#This Row],[Y-tunnus]],'Suoritepäät. 2024 oikaistu'!$AB:$AL,COLUMN('Suoritepäät. 2024 oikaistu'!I:I),FALSE),0)</f>
        <v>1472636</v>
      </c>
      <c r="AI12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1612055</v>
      </c>
      <c r="AJ125" s="170">
        <f>Vertailu[[#This Row],[Vaikuttavuusrahoitus 2025, €]]-Vertailu[[#This Row],[Vaikuttavuusrahoitus 2024, €]]</f>
        <v>139419</v>
      </c>
      <c r="AK125" s="172">
        <f>IFERROR(Vertailu[[#This Row],[Vaikuttavuusrahoituksen muutos, €]]/Vertailu[[#This Row],[Vaikuttavuusrahoitus 2024, €]],0)</f>
        <v>9.4673089616171269E-2</v>
      </c>
    </row>
    <row r="126" spans="1:37" s="2" customFormat="1" ht="12.75" customHeight="1" x14ac:dyDescent="0.25">
      <c r="A126" s="4" t="s">
        <v>195</v>
      </c>
      <c r="B126" s="161" t="s">
        <v>115</v>
      </c>
      <c r="C126" s="161" t="s">
        <v>187</v>
      </c>
      <c r="D126" s="8" t="s">
        <v>326</v>
      </c>
      <c r="E12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0.74414786371835473</v>
      </c>
      <c r="F12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0.74480751020720481</v>
      </c>
      <c r="G12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0.156039047114261</v>
      </c>
      <c r="H12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9.915344267853414E-2</v>
      </c>
      <c r="I12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6.8762539467473988E-2</v>
      </c>
      <c r="J12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4.338165133923079E-3</v>
      </c>
      <c r="K12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8.6727022121574834E-3</v>
      </c>
      <c r="L12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1.4464068561017465E-2</v>
      </c>
      <c r="M12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2.9159673039621335E-3</v>
      </c>
      <c r="N12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3280178</v>
      </c>
      <c r="O126" s="170">
        <f>IFERROR(VLOOKUP(Vertailu[[#This Row],[Y-tunnus]],'1.2 Ohjaus-laskentataulu'!A:AQ,COLUMN('1.2 Ohjaus-laskentataulu'!AE:AE),FALSE),0)</f>
        <v>3029927</v>
      </c>
      <c r="P126" s="170">
        <f>IFERROR(Vertailu[[#This Row],[Rahoitus pl. hark. kor. 2025 ilman alv, €]]-Vertailu[[#This Row],[Rahoitus pl. hark. kor. 2024 ilman alv, €]],0)</f>
        <v>-250251</v>
      </c>
      <c r="Q126" s="172">
        <f>IFERROR(Vertailu[[#This Row],[Muutos, € 1]]/Vertailu[[#This Row],[Rahoitus pl. hark. kor. 2024 ilman alv, €]],0)</f>
        <v>-7.6291896354405156E-2</v>
      </c>
      <c r="R126" s="175">
        <f>IFERROR(VLOOKUP(Vertailu[[#This Row],[Y-tunnus]],'Suoritepäät. 2024 oikaistu'!$AB:$AL,COLUMN('Suoritepäät. 2024 oikaistu'!J:J),FALSE),0)</f>
        <v>3284042</v>
      </c>
      <c r="S126" s="176">
        <f>IFERROR(VLOOKUP(Vertailu[[#This Row],[Y-tunnus]],'1.2 Ohjaus-laskentataulu'!A:AQ,COLUMN('1.2 Ohjaus-laskentataulu'!AO:AO),FALSE),0)</f>
        <v>3031927</v>
      </c>
      <c r="T126" s="170">
        <f>IFERROR(Vertailu[[#This Row],[Rahoitus ml. hark. kor. 
2025 ilman alv, €]]-Vertailu[[#This Row],[Rahoitus ml. hark. kor. 
2024 ilman alv, €]],0)</f>
        <v>-252115</v>
      </c>
      <c r="U126" s="174">
        <f>IFERROR(Vertailu[[#This Row],[Muutos, € 2]]/Vertailu[[#This Row],[Rahoitus ml. hark. kor. 
2024 ilman alv, €]],0)</f>
        <v>-7.6769724625933525E-2</v>
      </c>
      <c r="V12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3428576</v>
      </c>
      <c r="W126" s="175">
        <f>IFERROR(VLOOKUP(Vertailu[[#This Row],[Y-tunnus]],'1.2 Ohjaus-laskentataulu'!A:AQ,COLUMN('1.2 Ohjaus-laskentataulu'!AQ:AQ),FALSE),0)</f>
        <v>3172987</v>
      </c>
      <c r="X126" s="177">
        <f>IFERROR(Vertailu[[#This Row],[Rahoitus ml. hark. kor. + alv 2025, €]]-Vertailu[[#This Row],[Rahoitus ml. hark. kor. + alv 2024, €]],0)</f>
        <v>-255589</v>
      </c>
      <c r="Y126" s="172">
        <f>IFERROR(Vertailu[[#This Row],[Muutos, € 3]]/Vertailu[[#This Row],[Rahoitus ml. hark. kor. + alv 2024, €]],0)</f>
        <v>-7.4546692271076978E-2</v>
      </c>
      <c r="Z126" s="170">
        <f>IFERROR(VLOOKUP(Vertailu[[#This Row],[Y-tunnus]],'Suoritepäät. 2024 oikaistu'!$B:$N,COLUMN('Suoritepäät. 2024 oikaistu'!H:H),FALSE),0)</f>
        <v>2461315</v>
      </c>
      <c r="AA126" s="170">
        <f>IFERROR(VLOOKUP(Vertailu[[#This Row],[Y-tunnus]],'1.2 Ohjaus-laskentataulu'!A:AQ,COLUMN('1.2 Ohjaus-laskentataulu'!AL:AL),FALSE),0)</f>
        <v>2258202</v>
      </c>
      <c r="AB126" s="170">
        <f>Vertailu[[#This Row],[Perusrahoitus 2025, €]]-Vertailu[[#This Row],[Perusrahoitus 2024, €]]</f>
        <v>-203113</v>
      </c>
      <c r="AC126" s="172">
        <f>IFERROR(Vertailu[[#This Row],[Perusrahoituksen muutos, €]]/Vertailu[[#This Row],[Perusrahoitus 2024, €]],0)</f>
        <v>-8.2522147713722141E-2</v>
      </c>
      <c r="AD126" s="170">
        <f>IFERROR(VLOOKUP(Vertailu[[#This Row],[Y-tunnus]],'Suoritepäät. 2024 oikaistu'!$O:$Y,COLUMN('Suoritepäät. 2024 oikaistu'!D:D),FALSE),0)</f>
        <v>546234</v>
      </c>
      <c r="AE126" s="170">
        <f>IFERROR(VLOOKUP(Vertailu[[#This Row],[Y-tunnus]],'1.2 Ohjaus-laskentataulu'!A:AQ,COLUMN('1.2 Ohjaus-laskentataulu'!N:N),FALSE),0)</f>
        <v>473099</v>
      </c>
      <c r="AF126" s="170">
        <f>Vertailu[[#This Row],[Suoritusrahoitus 2025, €]]-Vertailu[[#This Row],[Suoritusrahoitus 2024, €]]</f>
        <v>-73135</v>
      </c>
      <c r="AG126" s="172">
        <f>IFERROR(Vertailu[[#This Row],[Suoritusrahoituksen muutos, €]]/Vertailu[[#This Row],[Suoritusrahoitus 2024, €]],0)</f>
        <v>-0.13388950523035914</v>
      </c>
      <c r="AH126" s="170">
        <f>IFERROR(VLOOKUP(Vertailu[[#This Row],[Y-tunnus]],'Suoritepäät. 2024 oikaistu'!$AB:$AL,COLUMN('Suoritepäät. 2024 oikaistu'!I:I),FALSE),0)</f>
        <v>276493</v>
      </c>
      <c r="AI12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300626</v>
      </c>
      <c r="AJ126" s="170">
        <f>Vertailu[[#This Row],[Vaikuttavuusrahoitus 2025, €]]-Vertailu[[#This Row],[Vaikuttavuusrahoitus 2024, €]]</f>
        <v>24133</v>
      </c>
      <c r="AK126" s="172">
        <f>IFERROR(Vertailu[[#This Row],[Vaikuttavuusrahoituksen muutos, €]]/Vertailu[[#This Row],[Vaikuttavuusrahoitus 2024, €]],0)</f>
        <v>8.72824990144416E-2</v>
      </c>
    </row>
    <row r="127" spans="1:37" s="2" customFormat="1" ht="12.75" customHeight="1" x14ac:dyDescent="0.25">
      <c r="A127" s="4" t="s">
        <v>194</v>
      </c>
      <c r="B127" s="161" t="s">
        <v>116</v>
      </c>
      <c r="C127" s="161" t="s">
        <v>187</v>
      </c>
      <c r="D127" s="8" t="s">
        <v>327</v>
      </c>
      <c r="E12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0.67176481145400879</v>
      </c>
      <c r="F12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0.67349089714804</v>
      </c>
      <c r="G12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0.21991375612829772</v>
      </c>
      <c r="H12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0.10659534672366229</v>
      </c>
      <c r="I12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8.3413543234121146E-2</v>
      </c>
      <c r="J12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2.5847722295333137E-3</v>
      </c>
      <c r="K12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1.0839263345257229E-2</v>
      </c>
      <c r="L12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8.0221887494022152E-3</v>
      </c>
      <c r="M12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1.7355791653483859E-3</v>
      </c>
      <c r="N12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50381512</v>
      </c>
      <c r="O127" s="170">
        <f>IFERROR(VLOOKUP(Vertailu[[#This Row],[Y-tunnus]],'1.2 Ohjaus-laskentataulu'!A:AQ,COLUMN('1.2 Ohjaus-laskentataulu'!AE:AE),FALSE),0)</f>
        <v>48581023</v>
      </c>
      <c r="P127" s="170">
        <f>IFERROR(Vertailu[[#This Row],[Rahoitus pl. hark. kor. 2025 ilman alv, €]]-Vertailu[[#This Row],[Rahoitus pl. hark. kor. 2024 ilman alv, €]],0)</f>
        <v>-1800489</v>
      </c>
      <c r="Q127" s="172">
        <f>IFERROR(Vertailu[[#This Row],[Muutos, € 1]]/Vertailu[[#This Row],[Rahoitus pl. hark. kor. 2024 ilman alv, €]],0)</f>
        <v>-3.5737097370162292E-2</v>
      </c>
      <c r="R127" s="175">
        <f>IFERROR(VLOOKUP(Vertailu[[#This Row],[Y-tunnus]],'Suoritepäät. 2024 oikaistu'!$AB:$AL,COLUMN('Suoritepäät. 2024 oikaistu'!J:J),FALSE),0)</f>
        <v>50648180</v>
      </c>
      <c r="S127" s="176">
        <f>IFERROR(VLOOKUP(Vertailu[[#This Row],[Y-tunnus]],'1.2 Ohjaus-laskentataulu'!A:AQ,COLUMN('1.2 Ohjaus-laskentataulu'!AO:AO),FALSE),0)</f>
        <v>48665023</v>
      </c>
      <c r="T127" s="170">
        <f>IFERROR(Vertailu[[#This Row],[Rahoitus ml. hark. kor. 
2025 ilman alv, €]]-Vertailu[[#This Row],[Rahoitus ml. hark. kor. 
2024 ilman alv, €]],0)</f>
        <v>-1983157</v>
      </c>
      <c r="U127" s="174">
        <f>IFERROR(Vertailu[[#This Row],[Muutos, € 2]]/Vertailu[[#This Row],[Rahoitus ml. hark. kor. 
2024 ilman alv, €]],0)</f>
        <v>-3.915554320017027E-2</v>
      </c>
      <c r="V12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50648180</v>
      </c>
      <c r="W127" s="175">
        <f>IFERROR(VLOOKUP(Vertailu[[#This Row],[Y-tunnus]],'1.2 Ohjaus-laskentataulu'!A:AQ,COLUMN('1.2 Ohjaus-laskentataulu'!AQ:AQ),FALSE),0)</f>
        <v>48665023</v>
      </c>
      <c r="X127" s="177">
        <f>IFERROR(Vertailu[[#This Row],[Rahoitus ml. hark. kor. + alv 2025, €]]-Vertailu[[#This Row],[Rahoitus ml. hark. kor. + alv 2024, €]],0)</f>
        <v>-1983157</v>
      </c>
      <c r="Y127" s="172">
        <f>IFERROR(Vertailu[[#This Row],[Muutos, € 3]]/Vertailu[[#This Row],[Rahoitus ml. hark. kor. + alv 2024, €]],0)</f>
        <v>-3.915554320017027E-2</v>
      </c>
      <c r="Z127" s="170">
        <f>IFERROR(VLOOKUP(Vertailu[[#This Row],[Y-tunnus]],'Suoritepäät. 2024 oikaistu'!$B:$N,COLUMN('Suoritepäät. 2024 oikaistu'!H:H),FALSE),0)</f>
        <v>33847961</v>
      </c>
      <c r="AA127" s="170">
        <f>IFERROR(VLOOKUP(Vertailu[[#This Row],[Y-tunnus]],'1.2 Ohjaus-laskentataulu'!A:AQ,COLUMN('1.2 Ohjaus-laskentataulu'!AL:AL),FALSE),0)</f>
        <v>32775450</v>
      </c>
      <c r="AB127" s="170">
        <f>Vertailu[[#This Row],[Perusrahoitus 2025, €]]-Vertailu[[#This Row],[Perusrahoitus 2024, €]]</f>
        <v>-1072511</v>
      </c>
      <c r="AC127" s="172">
        <f>IFERROR(Vertailu[[#This Row],[Perusrahoituksen muutos, €]]/Vertailu[[#This Row],[Perusrahoitus 2024, €]],0)</f>
        <v>-3.1686133176530192E-2</v>
      </c>
      <c r="AD127" s="170">
        <f>IFERROR(VLOOKUP(Vertailu[[#This Row],[Y-tunnus]],'Suoritepäät. 2024 oikaistu'!$O:$Y,COLUMN('Suoritepäät. 2024 oikaistu'!D:D),FALSE),0)</f>
        <v>11167518</v>
      </c>
      <c r="AE127" s="170">
        <f>IFERROR(VLOOKUP(Vertailu[[#This Row],[Y-tunnus]],'1.2 Ohjaus-laskentataulu'!A:AQ,COLUMN('1.2 Ohjaus-laskentataulu'!N:N),FALSE),0)</f>
        <v>10702108</v>
      </c>
      <c r="AF127" s="170">
        <f>Vertailu[[#This Row],[Suoritusrahoitus 2025, €]]-Vertailu[[#This Row],[Suoritusrahoitus 2024, €]]</f>
        <v>-465410</v>
      </c>
      <c r="AG127" s="172">
        <f>IFERROR(Vertailu[[#This Row],[Suoritusrahoituksen muutos, €]]/Vertailu[[#This Row],[Suoritusrahoitus 2024, €]],0)</f>
        <v>-4.1675330185274827E-2</v>
      </c>
      <c r="AH127" s="170">
        <f>IFERROR(VLOOKUP(Vertailu[[#This Row],[Y-tunnus]],'Suoritepäät. 2024 oikaistu'!$AB:$AL,COLUMN('Suoritepäät. 2024 oikaistu'!I:I),FALSE),0)</f>
        <v>5632701</v>
      </c>
      <c r="AI12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5187465</v>
      </c>
      <c r="AJ127" s="170">
        <f>Vertailu[[#This Row],[Vaikuttavuusrahoitus 2025, €]]-Vertailu[[#This Row],[Vaikuttavuusrahoitus 2024, €]]</f>
        <v>-445236</v>
      </c>
      <c r="AK127" s="172">
        <f>IFERROR(Vertailu[[#This Row],[Vaikuttavuusrahoituksen muutos, €]]/Vertailu[[#This Row],[Vaikuttavuusrahoitus 2024, €]],0)</f>
        <v>-7.9044848998730807E-2</v>
      </c>
    </row>
    <row r="128" spans="1:37" s="2" customFormat="1" ht="12.75" customHeight="1" x14ac:dyDescent="0.25">
      <c r="A128" s="4" t="s">
        <v>381</v>
      </c>
      <c r="B128" s="161" t="s">
        <v>538</v>
      </c>
      <c r="C128" s="161" t="s">
        <v>187</v>
      </c>
      <c r="D128" s="8" t="s">
        <v>326</v>
      </c>
      <c r="E12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0.59782939897378717</v>
      </c>
      <c r="F12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0.59782939897378717</v>
      </c>
      <c r="G12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0.32470272670725947</v>
      </c>
      <c r="H12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7.7467874318953356E-2</v>
      </c>
      <c r="I12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6.4827411344389227E-2</v>
      </c>
      <c r="J12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3.7320874260384639E-3</v>
      </c>
      <c r="K12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5.5499416907675691E-3</v>
      </c>
      <c r="L128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2.3716622320017972E-3</v>
      </c>
      <c r="M12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9.8677162575629639E-4</v>
      </c>
      <c r="N12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1515720</v>
      </c>
      <c r="O128" s="170">
        <f>IFERROR(VLOOKUP(Vertailu[[#This Row],[Y-tunnus]],'1.2 Ohjaus-laskentataulu'!A:AQ,COLUMN('1.2 Ohjaus-laskentataulu'!AE:AE),FALSE),0)</f>
        <v>1348843</v>
      </c>
      <c r="P128" s="170">
        <f>IFERROR(Vertailu[[#This Row],[Rahoitus pl. hark. kor. 2025 ilman alv, €]]-Vertailu[[#This Row],[Rahoitus pl. hark. kor. 2024 ilman alv, €]],0)</f>
        <v>-166877</v>
      </c>
      <c r="Q128" s="172">
        <f>IFERROR(Vertailu[[#This Row],[Muutos, € 1]]/Vertailu[[#This Row],[Rahoitus pl. hark. kor. 2024 ilman alv, €]],0)</f>
        <v>-0.11009751141371757</v>
      </c>
      <c r="R128" s="175">
        <f>IFERROR(VLOOKUP(Vertailu[[#This Row],[Y-tunnus]],'Suoritepäät. 2024 oikaistu'!$AB:$AL,COLUMN('Suoritepäät. 2024 oikaistu'!J:J),FALSE),0)</f>
        <v>1515720</v>
      </c>
      <c r="S128" s="176">
        <f>IFERROR(VLOOKUP(Vertailu[[#This Row],[Y-tunnus]],'1.2 Ohjaus-laskentataulu'!A:AQ,COLUMN('1.2 Ohjaus-laskentataulu'!AO:AO),FALSE),0)</f>
        <v>1348843</v>
      </c>
      <c r="T128" s="170">
        <f>IFERROR(Vertailu[[#This Row],[Rahoitus ml. hark. kor. 
2025 ilman alv, €]]-Vertailu[[#This Row],[Rahoitus ml. hark. kor. 
2024 ilman alv, €]],0)</f>
        <v>-166877</v>
      </c>
      <c r="U128" s="174">
        <f>IFERROR(Vertailu[[#This Row],[Muutos, € 2]]/Vertailu[[#This Row],[Rahoitus ml. hark. kor. 
2024 ilman alv, €]],0)</f>
        <v>-0.11009751141371757</v>
      </c>
      <c r="V12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1600650</v>
      </c>
      <c r="W128" s="175">
        <f>IFERROR(VLOOKUP(Vertailu[[#This Row],[Y-tunnus]],'1.2 Ohjaus-laskentataulu'!A:AQ,COLUMN('1.2 Ohjaus-laskentataulu'!AQ:AQ),FALSE),0)</f>
        <v>1449668</v>
      </c>
      <c r="X128" s="177">
        <f>IFERROR(Vertailu[[#This Row],[Rahoitus ml. hark. kor. + alv 2025, €]]-Vertailu[[#This Row],[Rahoitus ml. hark. kor. + alv 2024, €]],0)</f>
        <v>-150982</v>
      </c>
      <c r="Y128" s="172">
        <f>IFERROR(Vertailu[[#This Row],[Muutos, € 3]]/Vertailu[[#This Row],[Rahoitus ml. hark. kor. + alv 2024, €]],0)</f>
        <v>-9.432543029394308E-2</v>
      </c>
      <c r="Z128" s="170">
        <f>IFERROR(VLOOKUP(Vertailu[[#This Row],[Y-tunnus]],'Suoritepäät. 2024 oikaistu'!$B:$N,COLUMN('Suoritepäät. 2024 oikaistu'!H:H),FALSE),0)</f>
        <v>861234</v>
      </c>
      <c r="AA128" s="170">
        <f>IFERROR(VLOOKUP(Vertailu[[#This Row],[Y-tunnus]],'1.2 Ohjaus-laskentataulu'!A:AQ,COLUMN('1.2 Ohjaus-laskentataulu'!AL:AL),FALSE),0)</f>
        <v>806378</v>
      </c>
      <c r="AB128" s="170">
        <f>Vertailu[[#This Row],[Perusrahoitus 2025, €]]-Vertailu[[#This Row],[Perusrahoitus 2024, €]]</f>
        <v>-54856</v>
      </c>
      <c r="AC128" s="172">
        <f>IFERROR(Vertailu[[#This Row],[Perusrahoituksen muutos, €]]/Vertailu[[#This Row],[Perusrahoitus 2024, €]],0)</f>
        <v>-6.369465209223045E-2</v>
      </c>
      <c r="AD128" s="170">
        <f>IFERROR(VLOOKUP(Vertailu[[#This Row],[Y-tunnus]],'Suoritepäät. 2024 oikaistu'!$O:$Y,COLUMN('Suoritepäät. 2024 oikaistu'!D:D),FALSE),0)</f>
        <v>530956</v>
      </c>
      <c r="AE128" s="170">
        <f>IFERROR(VLOOKUP(Vertailu[[#This Row],[Y-tunnus]],'1.2 Ohjaus-laskentataulu'!A:AQ,COLUMN('1.2 Ohjaus-laskentataulu'!N:N),FALSE),0)</f>
        <v>437973</v>
      </c>
      <c r="AF128" s="170">
        <f>Vertailu[[#This Row],[Suoritusrahoitus 2025, €]]-Vertailu[[#This Row],[Suoritusrahoitus 2024, €]]</f>
        <v>-92983</v>
      </c>
      <c r="AG128" s="172">
        <f>IFERROR(Vertailu[[#This Row],[Suoritusrahoituksen muutos, €]]/Vertailu[[#This Row],[Suoritusrahoitus 2024, €]],0)</f>
        <v>-0.17512373906689066</v>
      </c>
      <c r="AH128" s="170">
        <f>IFERROR(VLOOKUP(Vertailu[[#This Row],[Y-tunnus]],'Suoritepäät. 2024 oikaistu'!$AB:$AL,COLUMN('Suoritepäät. 2024 oikaistu'!I:I),FALSE),0)</f>
        <v>123530</v>
      </c>
      <c r="AI12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104492</v>
      </c>
      <c r="AJ128" s="170">
        <f>Vertailu[[#This Row],[Vaikuttavuusrahoitus 2025, €]]-Vertailu[[#This Row],[Vaikuttavuusrahoitus 2024, €]]</f>
        <v>-19038</v>
      </c>
      <c r="AK128" s="172">
        <f>IFERROR(Vertailu[[#This Row],[Vaikuttavuusrahoituksen muutos, €]]/Vertailu[[#This Row],[Vaikuttavuusrahoitus 2024, €]],0)</f>
        <v>-0.15411640896948109</v>
      </c>
    </row>
    <row r="129" spans="1:37" s="2" customFormat="1" ht="12.75" customHeight="1" x14ac:dyDescent="0.25">
      <c r="A129" s="4" t="s">
        <v>193</v>
      </c>
      <c r="B129" s="161" t="s">
        <v>117</v>
      </c>
      <c r="C129" s="161" t="s">
        <v>187</v>
      </c>
      <c r="D129" s="8" t="s">
        <v>326</v>
      </c>
      <c r="E129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0.69602126317610957</v>
      </c>
      <c r="F129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0.69769315939482368</v>
      </c>
      <c r="G129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0.1731733384381898</v>
      </c>
      <c r="H129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0.12913350216698649</v>
      </c>
      <c r="I129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0.10014616552692109</v>
      </c>
      <c r="J129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2.7005303672779815E-3</v>
      </c>
      <c r="K129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1.0388327154980182E-2</v>
      </c>
      <c r="L129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1.3661899951222427E-2</v>
      </c>
      <c r="M129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2.2365791665848135E-3</v>
      </c>
      <c r="N129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2612348</v>
      </c>
      <c r="O129" s="170">
        <f>IFERROR(VLOOKUP(Vertailu[[#This Row],[Y-tunnus]],'1.2 Ohjaus-laskentataulu'!A:AQ,COLUMN('1.2 Ohjaus-laskentataulu'!AE:AE),FALSE),0)</f>
        <v>2388493</v>
      </c>
      <c r="P129" s="170">
        <f>IFERROR(Vertailu[[#This Row],[Rahoitus pl. hark. kor. 2025 ilman alv, €]]-Vertailu[[#This Row],[Rahoitus pl. hark. kor. 2024 ilman alv, €]],0)</f>
        <v>-223855</v>
      </c>
      <c r="Q129" s="172">
        <f>IFERROR(Vertailu[[#This Row],[Muutos, € 1]]/Vertailu[[#This Row],[Rahoitus pl. hark. kor. 2024 ilman alv, €]],0)</f>
        <v>-8.5691110066499557E-2</v>
      </c>
      <c r="R129" s="175">
        <f>IFERROR(VLOOKUP(Vertailu[[#This Row],[Y-tunnus]],'Suoritepäät. 2024 oikaistu'!$AB:$AL,COLUMN('Suoritepäät. 2024 oikaistu'!J:J),FALSE),0)</f>
        <v>2612640</v>
      </c>
      <c r="S129" s="176">
        <f>IFERROR(VLOOKUP(Vertailu[[#This Row],[Y-tunnus]],'1.2 Ohjaus-laskentataulu'!A:AQ,COLUMN('1.2 Ohjaus-laskentataulu'!AO:AO),FALSE),0)</f>
        <v>2392493</v>
      </c>
      <c r="T129" s="170">
        <f>IFERROR(Vertailu[[#This Row],[Rahoitus ml. hark. kor. 
2025 ilman alv, €]]-Vertailu[[#This Row],[Rahoitus ml. hark. kor. 
2024 ilman alv, €]],0)</f>
        <v>-220147</v>
      </c>
      <c r="U129" s="174">
        <f>IFERROR(Vertailu[[#This Row],[Muutos, € 2]]/Vertailu[[#This Row],[Rahoitus ml. hark. kor. 
2024 ilman alv, €]],0)</f>
        <v>-8.426227876783636E-2</v>
      </c>
      <c r="V129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2709240</v>
      </c>
      <c r="W129" s="175">
        <f>IFERROR(VLOOKUP(Vertailu[[#This Row],[Y-tunnus]],'1.2 Ohjaus-laskentataulu'!A:AQ,COLUMN('1.2 Ohjaus-laskentataulu'!AQ:AQ),FALSE),0)</f>
        <v>2510850</v>
      </c>
      <c r="X129" s="177">
        <f>IFERROR(Vertailu[[#This Row],[Rahoitus ml. hark. kor. + alv 2025, €]]-Vertailu[[#This Row],[Rahoitus ml. hark. kor. + alv 2024, €]],0)</f>
        <v>-198390</v>
      </c>
      <c r="Y129" s="172">
        <f>IFERROR(Vertailu[[#This Row],[Muutos, € 3]]/Vertailu[[#This Row],[Rahoitus ml. hark. kor. + alv 2024, €]],0)</f>
        <v>-7.3227178101607837E-2</v>
      </c>
      <c r="Z129" s="170">
        <f>IFERROR(VLOOKUP(Vertailu[[#This Row],[Y-tunnus]],'Suoritepäät. 2024 oikaistu'!$B:$N,COLUMN('Suoritepäät. 2024 oikaistu'!H:H),FALSE),0)</f>
        <v>1780084</v>
      </c>
      <c r="AA129" s="170">
        <f>IFERROR(VLOOKUP(Vertailu[[#This Row],[Y-tunnus]],'1.2 Ohjaus-laskentataulu'!A:AQ,COLUMN('1.2 Ohjaus-laskentataulu'!AL:AL),FALSE),0)</f>
        <v>1669226</v>
      </c>
      <c r="AB129" s="170">
        <f>Vertailu[[#This Row],[Perusrahoitus 2025, €]]-Vertailu[[#This Row],[Perusrahoitus 2024, €]]</f>
        <v>-110858</v>
      </c>
      <c r="AC129" s="172">
        <f>IFERROR(Vertailu[[#This Row],[Perusrahoituksen muutos, €]]/Vertailu[[#This Row],[Perusrahoitus 2024, €]],0)</f>
        <v>-6.2276836374013808E-2</v>
      </c>
      <c r="AD129" s="170">
        <f>IFERROR(VLOOKUP(Vertailu[[#This Row],[Y-tunnus]],'Suoritepäät. 2024 oikaistu'!$O:$Y,COLUMN('Suoritepäät. 2024 oikaistu'!D:D),FALSE),0)</f>
        <v>516406</v>
      </c>
      <c r="AE129" s="170">
        <f>IFERROR(VLOOKUP(Vertailu[[#This Row],[Y-tunnus]],'1.2 Ohjaus-laskentataulu'!A:AQ,COLUMN('1.2 Ohjaus-laskentataulu'!N:N),FALSE),0)</f>
        <v>414316</v>
      </c>
      <c r="AF129" s="170">
        <f>Vertailu[[#This Row],[Suoritusrahoitus 2025, €]]-Vertailu[[#This Row],[Suoritusrahoitus 2024, €]]</f>
        <v>-102090</v>
      </c>
      <c r="AG129" s="172">
        <f>IFERROR(Vertailu[[#This Row],[Suoritusrahoituksen muutos, €]]/Vertailu[[#This Row],[Suoritusrahoitus 2024, €]],0)</f>
        <v>-0.19769328783941317</v>
      </c>
      <c r="AH129" s="170">
        <f>IFERROR(VLOOKUP(Vertailu[[#This Row],[Y-tunnus]],'Suoritepäät. 2024 oikaistu'!$AB:$AL,COLUMN('Suoritepäät. 2024 oikaistu'!I:I),FALSE),0)</f>
        <v>316150</v>
      </c>
      <c r="AI129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308951</v>
      </c>
      <c r="AJ129" s="170">
        <f>Vertailu[[#This Row],[Vaikuttavuusrahoitus 2025, €]]-Vertailu[[#This Row],[Vaikuttavuusrahoitus 2024, €]]</f>
        <v>-7199</v>
      </c>
      <c r="AK129" s="172">
        <f>IFERROR(Vertailu[[#This Row],[Vaikuttavuusrahoituksen muutos, €]]/Vertailu[[#This Row],[Vaikuttavuusrahoitus 2024, €]],0)</f>
        <v>-2.2770836628182824E-2</v>
      </c>
    </row>
    <row r="130" spans="1:37" s="2" customFormat="1" ht="12.75" customHeight="1" x14ac:dyDescent="0.25">
      <c r="A130" s="4" t="s">
        <v>252</v>
      </c>
      <c r="B130" s="161" t="s">
        <v>131</v>
      </c>
      <c r="C130" s="161" t="s">
        <v>187</v>
      </c>
      <c r="D130" s="8" t="s">
        <v>326</v>
      </c>
      <c r="E130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0.64343663262967588</v>
      </c>
      <c r="F130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0.64343663262967588</v>
      </c>
      <c r="G130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0.16213490871126277</v>
      </c>
      <c r="H130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0.19442845865906139</v>
      </c>
      <c r="I130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0.17351226095592168</v>
      </c>
      <c r="J130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0</v>
      </c>
      <c r="K130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2.0916197703139721E-2</v>
      </c>
      <c r="L130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0</v>
      </c>
      <c r="M130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0</v>
      </c>
      <c r="N130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251960</v>
      </c>
      <c r="O130" s="170">
        <f>IFERROR(VLOOKUP(Vertailu[[#This Row],[Y-tunnus]],'1.2 Ohjaus-laskentataulu'!A:AQ,COLUMN('1.2 Ohjaus-laskentataulu'!AE:AE),FALSE),0)</f>
        <v>196355</v>
      </c>
      <c r="P130" s="170">
        <f>IFERROR(Vertailu[[#This Row],[Rahoitus pl. hark. kor. 2025 ilman alv, €]]-Vertailu[[#This Row],[Rahoitus pl. hark. kor. 2024 ilman alv, €]],0)</f>
        <v>-55605</v>
      </c>
      <c r="Q130" s="172">
        <f>IFERROR(Vertailu[[#This Row],[Muutos, € 1]]/Vertailu[[#This Row],[Rahoitus pl. hark. kor. 2024 ilman alv, €]],0)</f>
        <v>-0.22068979203048103</v>
      </c>
      <c r="R130" s="175">
        <f>IFERROR(VLOOKUP(Vertailu[[#This Row],[Y-tunnus]],'Suoritepäät. 2024 oikaistu'!$AB:$AL,COLUMN('Suoritepäät. 2024 oikaistu'!J:J),FALSE),0)</f>
        <v>251960</v>
      </c>
      <c r="S130" s="176">
        <f>IFERROR(VLOOKUP(Vertailu[[#This Row],[Y-tunnus]],'1.2 Ohjaus-laskentataulu'!A:AQ,COLUMN('1.2 Ohjaus-laskentataulu'!AO:AO),FALSE),0)</f>
        <v>196355</v>
      </c>
      <c r="T130" s="170">
        <f>IFERROR(Vertailu[[#This Row],[Rahoitus ml. hark. kor. 
2025 ilman alv, €]]-Vertailu[[#This Row],[Rahoitus ml. hark. kor. 
2024 ilman alv, €]],0)</f>
        <v>-55605</v>
      </c>
      <c r="U130" s="174">
        <f>IFERROR(Vertailu[[#This Row],[Muutos, € 2]]/Vertailu[[#This Row],[Rahoitus ml. hark. kor. 
2024 ilman alv, €]],0)</f>
        <v>-0.22068979203048103</v>
      </c>
      <c r="V130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264486</v>
      </c>
      <c r="W130" s="175">
        <f>IFERROR(VLOOKUP(Vertailu[[#This Row],[Y-tunnus]],'1.2 Ohjaus-laskentataulu'!A:AQ,COLUMN('1.2 Ohjaus-laskentataulu'!AQ:AQ),FALSE),0)</f>
        <v>210552</v>
      </c>
      <c r="X130" s="177">
        <f>IFERROR(Vertailu[[#This Row],[Rahoitus ml. hark. kor. + alv 2025, €]]-Vertailu[[#This Row],[Rahoitus ml. hark. kor. + alv 2024, €]],0)</f>
        <v>-53934</v>
      </c>
      <c r="Y130" s="172">
        <f>IFERROR(Vertailu[[#This Row],[Muutos, € 3]]/Vertailu[[#This Row],[Rahoitus ml. hark. kor. + alv 2024, €]],0)</f>
        <v>-0.20392005626006671</v>
      </c>
      <c r="Z130" s="170">
        <f>IFERROR(VLOOKUP(Vertailu[[#This Row],[Y-tunnus]],'Suoritepäät. 2024 oikaistu'!$B:$N,COLUMN('Suoritepäät. 2024 oikaistu'!H:H),FALSE),0)</f>
        <v>138534</v>
      </c>
      <c r="AA130" s="170">
        <f>IFERROR(VLOOKUP(Vertailu[[#This Row],[Y-tunnus]],'1.2 Ohjaus-laskentataulu'!A:AQ,COLUMN('1.2 Ohjaus-laskentataulu'!AL:AL),FALSE),0)</f>
        <v>126342</v>
      </c>
      <c r="AB130" s="170">
        <f>Vertailu[[#This Row],[Perusrahoitus 2025, €]]-Vertailu[[#This Row],[Perusrahoitus 2024, €]]</f>
        <v>-12192</v>
      </c>
      <c r="AC130" s="172">
        <f>IFERROR(Vertailu[[#This Row],[Perusrahoituksen muutos, €]]/Vertailu[[#This Row],[Perusrahoitus 2024, €]],0)</f>
        <v>-8.8007276192126116E-2</v>
      </c>
      <c r="AD130" s="170">
        <f>IFERROR(VLOOKUP(Vertailu[[#This Row],[Y-tunnus]],'Suoritepäät. 2024 oikaistu'!$O:$Y,COLUMN('Suoritepäät. 2024 oikaistu'!D:D),FALSE),0)</f>
        <v>62632</v>
      </c>
      <c r="AE130" s="170">
        <f>IFERROR(VLOOKUP(Vertailu[[#This Row],[Y-tunnus]],'1.2 Ohjaus-laskentataulu'!A:AQ,COLUMN('1.2 Ohjaus-laskentataulu'!N:N),FALSE),0)</f>
        <v>31836</v>
      </c>
      <c r="AF130" s="170">
        <f>Vertailu[[#This Row],[Suoritusrahoitus 2025, €]]-Vertailu[[#This Row],[Suoritusrahoitus 2024, €]]</f>
        <v>-30796</v>
      </c>
      <c r="AG130" s="172">
        <f>IFERROR(Vertailu[[#This Row],[Suoritusrahoituksen muutos, €]]/Vertailu[[#This Row],[Suoritusrahoitus 2024, €]],0)</f>
        <v>-0.4916975348064887</v>
      </c>
      <c r="AH130" s="170">
        <f>IFERROR(VLOOKUP(Vertailu[[#This Row],[Y-tunnus]],'Suoritepäät. 2024 oikaistu'!$AB:$AL,COLUMN('Suoritepäät. 2024 oikaistu'!I:I),FALSE),0)</f>
        <v>50794</v>
      </c>
      <c r="AI130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38177</v>
      </c>
      <c r="AJ130" s="170">
        <f>Vertailu[[#This Row],[Vaikuttavuusrahoitus 2025, €]]-Vertailu[[#This Row],[Vaikuttavuusrahoitus 2024, €]]</f>
        <v>-12617</v>
      </c>
      <c r="AK130" s="172">
        <f>IFERROR(Vertailu[[#This Row],[Vaikuttavuusrahoituksen muutos, €]]/Vertailu[[#This Row],[Vaikuttavuusrahoitus 2024, €]],0)</f>
        <v>-0.24839547978107651</v>
      </c>
    </row>
    <row r="131" spans="1:37" s="2" customFormat="1" ht="12.75" customHeight="1" x14ac:dyDescent="0.25">
      <c r="A131" s="4" t="s">
        <v>192</v>
      </c>
      <c r="B131" s="161" t="s">
        <v>118</v>
      </c>
      <c r="C131" s="161" t="s">
        <v>174</v>
      </c>
      <c r="D131" s="8" t="s">
        <v>326</v>
      </c>
      <c r="E131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0.60966495087155304</v>
      </c>
      <c r="F131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0.65158285326245702</v>
      </c>
      <c r="G131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0.23347346776426808</v>
      </c>
      <c r="H131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0.11494367897327487</v>
      </c>
      <c r="I131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6.934711469762754E-2</v>
      </c>
      <c r="J131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5.3600355250895942E-3</v>
      </c>
      <c r="K131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1.5296374873264882E-2</v>
      </c>
      <c r="L131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1.9629887544248339E-2</v>
      </c>
      <c r="M131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5.3102663330445209E-3</v>
      </c>
      <c r="N131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15225495</v>
      </c>
      <c r="O131" s="170">
        <f>IFERROR(VLOOKUP(Vertailu[[#This Row],[Y-tunnus]],'1.2 Ohjaus-laskentataulu'!A:AQ,COLUMN('1.2 Ohjaus-laskentataulu'!AE:AE),FALSE),0)</f>
        <v>14399378</v>
      </c>
      <c r="P131" s="170">
        <f>IFERROR(Vertailu[[#This Row],[Rahoitus pl. hark. kor. 2025 ilman alv, €]]-Vertailu[[#This Row],[Rahoitus pl. hark. kor. 2024 ilman alv, €]],0)</f>
        <v>-826117</v>
      </c>
      <c r="Q131" s="172">
        <f>IFERROR(Vertailu[[#This Row],[Muutos, € 1]]/Vertailu[[#This Row],[Rahoitus pl. hark. kor. 2024 ilman alv, €]],0)</f>
        <v>-5.425879421325875E-2</v>
      </c>
      <c r="R131" s="175">
        <f>IFERROR(VLOOKUP(Vertailu[[#This Row],[Y-tunnus]],'Suoritepäät. 2024 oikaistu'!$AB:$AL,COLUMN('Suoritepäät. 2024 oikaistu'!J:J),FALSE),0)</f>
        <v>15389723</v>
      </c>
      <c r="S131" s="176">
        <f>IFERROR(VLOOKUP(Vertailu[[#This Row],[Y-tunnus]],'1.2 Ohjaus-laskentataulu'!A:AQ,COLUMN('1.2 Ohjaus-laskentataulu'!AO:AO),FALSE),0)</f>
        <v>15029378</v>
      </c>
      <c r="T131" s="170">
        <f>IFERROR(Vertailu[[#This Row],[Rahoitus ml. hark. kor. 
2025 ilman alv, €]]-Vertailu[[#This Row],[Rahoitus ml. hark. kor. 
2024 ilman alv, €]],0)</f>
        <v>-360345</v>
      </c>
      <c r="U131" s="174">
        <f>IFERROR(Vertailu[[#This Row],[Muutos, € 2]]/Vertailu[[#This Row],[Rahoitus ml. hark. kor. 
2024 ilman alv, €]],0)</f>
        <v>-2.3414651452790931E-2</v>
      </c>
      <c r="V131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16483436</v>
      </c>
      <c r="W131" s="175">
        <f>IFERROR(VLOOKUP(Vertailu[[#This Row],[Y-tunnus]],'1.2 Ohjaus-laskentataulu'!A:AQ,COLUMN('1.2 Ohjaus-laskentataulu'!AQ:AQ),FALSE),0)</f>
        <v>16079620</v>
      </c>
      <c r="X131" s="177">
        <f>IFERROR(Vertailu[[#This Row],[Rahoitus ml. hark. kor. + alv 2025, €]]-Vertailu[[#This Row],[Rahoitus ml. hark. kor. + alv 2024, €]],0)</f>
        <v>-403816</v>
      </c>
      <c r="Y131" s="172">
        <f>IFERROR(Vertailu[[#This Row],[Muutos, € 3]]/Vertailu[[#This Row],[Rahoitus ml. hark. kor. + alv 2024, €]],0)</f>
        <v>-2.4498290283652024E-2</v>
      </c>
      <c r="Z131" s="170">
        <f>IFERROR(VLOOKUP(Vertailu[[#This Row],[Y-tunnus]],'Suoritepäät. 2024 oikaistu'!$B:$N,COLUMN('Suoritepäät. 2024 oikaistu'!H:H),FALSE),0)</f>
        <v>10246532</v>
      </c>
      <c r="AA131" s="170">
        <f>IFERROR(VLOOKUP(Vertailu[[#This Row],[Y-tunnus]],'1.2 Ohjaus-laskentataulu'!A:AQ,COLUMN('1.2 Ohjaus-laskentataulu'!AL:AL),FALSE),0)</f>
        <v>9792885</v>
      </c>
      <c r="AB131" s="170">
        <f>Vertailu[[#This Row],[Perusrahoitus 2025, €]]-Vertailu[[#This Row],[Perusrahoitus 2024, €]]</f>
        <v>-453647</v>
      </c>
      <c r="AC131" s="172">
        <f>IFERROR(Vertailu[[#This Row],[Perusrahoituksen muutos, €]]/Vertailu[[#This Row],[Perusrahoitus 2024, €]],0)</f>
        <v>-4.4273223369623985E-2</v>
      </c>
      <c r="AD131" s="170">
        <f>IFERROR(VLOOKUP(Vertailu[[#This Row],[Y-tunnus]],'Suoritepäät. 2024 oikaistu'!$O:$Y,COLUMN('Suoritepäät. 2024 oikaistu'!D:D),FALSE),0)</f>
        <v>3654286</v>
      </c>
      <c r="AE131" s="170">
        <f>IFERROR(VLOOKUP(Vertailu[[#This Row],[Y-tunnus]],'1.2 Ohjaus-laskentataulu'!A:AQ,COLUMN('1.2 Ohjaus-laskentataulu'!N:N),FALSE),0)</f>
        <v>3508961</v>
      </c>
      <c r="AF131" s="170">
        <f>Vertailu[[#This Row],[Suoritusrahoitus 2025, €]]-Vertailu[[#This Row],[Suoritusrahoitus 2024, €]]</f>
        <v>-145325</v>
      </c>
      <c r="AG131" s="172">
        <f>IFERROR(Vertailu[[#This Row],[Suoritusrahoituksen muutos, €]]/Vertailu[[#This Row],[Suoritusrahoitus 2024, €]],0)</f>
        <v>-3.9768370620143031E-2</v>
      </c>
      <c r="AH131" s="170">
        <f>IFERROR(VLOOKUP(Vertailu[[#This Row],[Y-tunnus]],'Suoritepäät. 2024 oikaistu'!$AB:$AL,COLUMN('Suoritepäät. 2024 oikaistu'!I:I),FALSE),0)</f>
        <v>1488905</v>
      </c>
      <c r="AI131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1727532</v>
      </c>
      <c r="AJ131" s="170">
        <f>Vertailu[[#This Row],[Vaikuttavuusrahoitus 2025, €]]-Vertailu[[#This Row],[Vaikuttavuusrahoitus 2024, €]]</f>
        <v>238627</v>
      </c>
      <c r="AK131" s="172">
        <f>IFERROR(Vertailu[[#This Row],[Vaikuttavuusrahoituksen muutos, €]]/Vertailu[[#This Row],[Vaikuttavuusrahoitus 2024, €]],0)</f>
        <v>0.1602701314052945</v>
      </c>
    </row>
    <row r="132" spans="1:37" s="2" customFormat="1" ht="12.75" customHeight="1" x14ac:dyDescent="0.25">
      <c r="A132" s="4" t="s">
        <v>191</v>
      </c>
      <c r="B132" s="161" t="s">
        <v>119</v>
      </c>
      <c r="C132" s="161" t="s">
        <v>180</v>
      </c>
      <c r="D132" s="8" t="s">
        <v>327</v>
      </c>
      <c r="E132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0.68356752985610536</v>
      </c>
      <c r="F132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0.6849063269692125</v>
      </c>
      <c r="G132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0.21388916470588673</v>
      </c>
      <c r="H132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0.10120450832490077</v>
      </c>
      <c r="I132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7.9488586940554801E-2</v>
      </c>
      <c r="J132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3.2000597996043856E-3</v>
      </c>
      <c r="K132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8.1352378466043457E-3</v>
      </c>
      <c r="L132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9.4793157705465383E-3</v>
      </c>
      <c r="M132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9.0130796759069697E-4</v>
      </c>
      <c r="N132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26880343</v>
      </c>
      <c r="O132" s="170">
        <f>IFERROR(VLOOKUP(Vertailu[[#This Row],[Y-tunnus]],'1.2 Ohjaus-laskentataulu'!A:AQ,COLUMN('1.2 Ohjaus-laskentataulu'!AE:AE),FALSE),0)</f>
        <v>26853810</v>
      </c>
      <c r="P132" s="170">
        <f>IFERROR(Vertailu[[#This Row],[Rahoitus pl. hark. kor. 2025 ilman alv, €]]-Vertailu[[#This Row],[Rahoitus pl. hark. kor. 2024 ilman alv, €]],0)</f>
        <v>-26533</v>
      </c>
      <c r="Q132" s="172">
        <f>IFERROR(Vertailu[[#This Row],[Muutos, € 1]]/Vertailu[[#This Row],[Rahoitus pl. hark. kor. 2024 ilman alv, €]],0)</f>
        <v>-9.8707817828068639E-4</v>
      </c>
      <c r="R132" s="175">
        <f>IFERROR(VLOOKUP(Vertailu[[#This Row],[Y-tunnus]],'Suoritepäät. 2024 oikaistu'!$AB:$AL,COLUMN('Suoritepäät. 2024 oikaistu'!J:J),FALSE),0)</f>
        <v>26941662</v>
      </c>
      <c r="S132" s="176">
        <f>IFERROR(VLOOKUP(Vertailu[[#This Row],[Y-tunnus]],'1.2 Ohjaus-laskentataulu'!A:AQ,COLUMN('1.2 Ohjaus-laskentataulu'!AO:AO),FALSE),0)</f>
        <v>26889810</v>
      </c>
      <c r="T132" s="170">
        <f>IFERROR(Vertailu[[#This Row],[Rahoitus ml. hark. kor. 
2025 ilman alv, €]]-Vertailu[[#This Row],[Rahoitus ml. hark. kor. 
2024 ilman alv, €]],0)</f>
        <v>-51852</v>
      </c>
      <c r="U132" s="174">
        <f>IFERROR(Vertailu[[#This Row],[Muutos, € 2]]/Vertailu[[#This Row],[Rahoitus ml. hark. kor. 
2024 ilman alv, €]],0)</f>
        <v>-1.9246028697116012E-3</v>
      </c>
      <c r="V132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26941662</v>
      </c>
      <c r="W132" s="175">
        <f>IFERROR(VLOOKUP(Vertailu[[#This Row],[Y-tunnus]],'1.2 Ohjaus-laskentataulu'!A:AQ,COLUMN('1.2 Ohjaus-laskentataulu'!AQ:AQ),FALSE),0)</f>
        <v>26889810</v>
      </c>
      <c r="X132" s="177">
        <f>IFERROR(Vertailu[[#This Row],[Rahoitus ml. hark. kor. + alv 2025, €]]-Vertailu[[#This Row],[Rahoitus ml. hark. kor. + alv 2024, €]],0)</f>
        <v>-51852</v>
      </c>
      <c r="Y132" s="172">
        <f>IFERROR(Vertailu[[#This Row],[Muutos, € 3]]/Vertailu[[#This Row],[Rahoitus ml. hark. kor. + alv 2024, €]],0)</f>
        <v>-1.9246028697116012E-3</v>
      </c>
      <c r="Z132" s="170">
        <f>IFERROR(VLOOKUP(Vertailu[[#This Row],[Y-tunnus]],'Suoritepäät. 2024 oikaistu'!$B:$N,COLUMN('Suoritepäät. 2024 oikaistu'!H:H),FALSE),0)</f>
        <v>18693859</v>
      </c>
      <c r="AA132" s="170">
        <f>IFERROR(VLOOKUP(Vertailu[[#This Row],[Y-tunnus]],'1.2 Ohjaus-laskentataulu'!A:AQ,COLUMN('1.2 Ohjaus-laskentataulu'!AL:AL),FALSE),0)</f>
        <v>18417001</v>
      </c>
      <c r="AB132" s="170">
        <f>Vertailu[[#This Row],[Perusrahoitus 2025, €]]-Vertailu[[#This Row],[Perusrahoitus 2024, €]]</f>
        <v>-276858</v>
      </c>
      <c r="AC132" s="172">
        <f>IFERROR(Vertailu[[#This Row],[Perusrahoituksen muutos, €]]/Vertailu[[#This Row],[Perusrahoitus 2024, €]],0)</f>
        <v>-1.4810104216577219E-2</v>
      </c>
      <c r="AD132" s="170">
        <f>IFERROR(VLOOKUP(Vertailu[[#This Row],[Y-tunnus]],'Suoritepäät. 2024 oikaistu'!$O:$Y,COLUMN('Suoritepäät. 2024 oikaistu'!D:D),FALSE),0)</f>
        <v>5500995</v>
      </c>
      <c r="AE132" s="170">
        <f>IFERROR(VLOOKUP(Vertailu[[#This Row],[Y-tunnus]],'1.2 Ohjaus-laskentataulu'!A:AQ,COLUMN('1.2 Ohjaus-laskentataulu'!N:N),FALSE),0)</f>
        <v>5751439</v>
      </c>
      <c r="AF132" s="170">
        <f>Vertailu[[#This Row],[Suoritusrahoitus 2025, €]]-Vertailu[[#This Row],[Suoritusrahoitus 2024, €]]</f>
        <v>250444</v>
      </c>
      <c r="AG132" s="172">
        <f>IFERROR(Vertailu[[#This Row],[Suoritusrahoituksen muutos, €]]/Vertailu[[#This Row],[Suoritusrahoitus 2024, €]],0)</f>
        <v>4.5527036472492705E-2</v>
      </c>
      <c r="AH132" s="170">
        <f>IFERROR(VLOOKUP(Vertailu[[#This Row],[Y-tunnus]],'Suoritepäät. 2024 oikaistu'!$AB:$AL,COLUMN('Suoritepäät. 2024 oikaistu'!I:I),FALSE),0)</f>
        <v>2746808</v>
      </c>
      <c r="AI132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2721370</v>
      </c>
      <c r="AJ132" s="170">
        <f>Vertailu[[#This Row],[Vaikuttavuusrahoitus 2025, €]]-Vertailu[[#This Row],[Vaikuttavuusrahoitus 2024, €]]</f>
        <v>-25438</v>
      </c>
      <c r="AK132" s="172">
        <f>IFERROR(Vertailu[[#This Row],[Vaikuttavuusrahoituksen muutos, €]]/Vertailu[[#This Row],[Vaikuttavuusrahoitus 2024, €]],0)</f>
        <v>-9.2609312336355502E-3</v>
      </c>
    </row>
    <row r="133" spans="1:37" s="2" customFormat="1" ht="12.75" customHeight="1" x14ac:dyDescent="0.25">
      <c r="A133" s="4" t="s">
        <v>190</v>
      </c>
      <c r="B133" s="161" t="s">
        <v>120</v>
      </c>
      <c r="C133" s="161" t="s">
        <v>183</v>
      </c>
      <c r="D133" s="8" t="s">
        <v>325</v>
      </c>
      <c r="E133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0.68599904504820519</v>
      </c>
      <c r="F133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0.68726149312439222</v>
      </c>
      <c r="G133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0.20259036310261042</v>
      </c>
      <c r="H133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0.11014814377299741</v>
      </c>
      <c r="I133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7.5612704375690121E-2</v>
      </c>
      <c r="J133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5.0405944687641037E-3</v>
      </c>
      <c r="K133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1.1888653883177563E-2</v>
      </c>
      <c r="L133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1.4760723256502847E-2</v>
      </c>
      <c r="M133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2.8454677888627732E-3</v>
      </c>
      <c r="N133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11341081</v>
      </c>
      <c r="O133" s="170">
        <f>IFERROR(VLOOKUP(Vertailu[[#This Row],[Y-tunnus]],'1.2 Ohjaus-laskentataulu'!A:AQ,COLUMN('1.2 Ohjaus-laskentataulu'!AE:AE),FALSE),0)</f>
        <v>11075565</v>
      </c>
      <c r="P133" s="170">
        <f>IFERROR(Vertailu[[#This Row],[Rahoitus pl. hark. kor. 2025 ilman alv, €]]-Vertailu[[#This Row],[Rahoitus pl. hark. kor. 2024 ilman alv, €]],0)</f>
        <v>-265516</v>
      </c>
      <c r="Q133" s="172">
        <f>IFERROR(Vertailu[[#This Row],[Muutos, € 1]]/Vertailu[[#This Row],[Rahoitus pl. hark. kor. 2024 ilman alv, €]],0)</f>
        <v>-2.3411877580276519E-2</v>
      </c>
      <c r="R133" s="175">
        <f>IFERROR(VLOOKUP(Vertailu[[#This Row],[Y-tunnus]],'Suoritepäät. 2024 oikaistu'!$AB:$AL,COLUMN('Suoritepäät. 2024 oikaistu'!J:J),FALSE),0)</f>
        <v>11419176</v>
      </c>
      <c r="S133" s="176">
        <f>IFERROR(VLOOKUP(Vertailu[[#This Row],[Y-tunnus]],'1.2 Ohjaus-laskentataulu'!A:AQ,COLUMN('1.2 Ohjaus-laskentataulu'!AO:AO),FALSE),0)</f>
        <v>11089565</v>
      </c>
      <c r="T133" s="170">
        <f>IFERROR(Vertailu[[#This Row],[Rahoitus ml. hark. kor. 
2025 ilman alv, €]]-Vertailu[[#This Row],[Rahoitus ml. hark. kor. 
2024 ilman alv, €]],0)</f>
        <v>-329611</v>
      </c>
      <c r="U133" s="174">
        <f>IFERROR(Vertailu[[#This Row],[Muutos, € 2]]/Vertailu[[#This Row],[Rahoitus ml. hark. kor. 
2024 ilman alv, €]],0)</f>
        <v>-2.8864692163427554E-2</v>
      </c>
      <c r="V133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11419176</v>
      </c>
      <c r="W133" s="175">
        <f>IFERROR(VLOOKUP(Vertailu[[#This Row],[Y-tunnus]],'1.2 Ohjaus-laskentataulu'!A:AQ,COLUMN('1.2 Ohjaus-laskentataulu'!AQ:AQ),FALSE),0)</f>
        <v>11089565</v>
      </c>
      <c r="X133" s="177">
        <f>IFERROR(Vertailu[[#This Row],[Rahoitus ml. hark. kor. + alv 2025, €]]-Vertailu[[#This Row],[Rahoitus ml. hark. kor. + alv 2024, €]],0)</f>
        <v>-329611</v>
      </c>
      <c r="Y133" s="172">
        <f>IFERROR(Vertailu[[#This Row],[Muutos, € 3]]/Vertailu[[#This Row],[Rahoitus ml. hark. kor. + alv 2024, €]],0)</f>
        <v>-2.8864692163427554E-2</v>
      </c>
      <c r="Z133" s="170">
        <f>IFERROR(VLOOKUP(Vertailu[[#This Row],[Y-tunnus]],'Suoritepäät. 2024 oikaistu'!$B:$N,COLUMN('Suoritepäät. 2024 oikaistu'!H:H),FALSE),0)</f>
        <v>7866051</v>
      </c>
      <c r="AA133" s="170">
        <f>IFERROR(VLOOKUP(Vertailu[[#This Row],[Y-tunnus]],'1.2 Ohjaus-laskentataulu'!A:AQ,COLUMN('1.2 Ohjaus-laskentataulu'!AL:AL),FALSE),0)</f>
        <v>7621431</v>
      </c>
      <c r="AB133" s="170">
        <f>Vertailu[[#This Row],[Perusrahoitus 2025, €]]-Vertailu[[#This Row],[Perusrahoitus 2024, €]]</f>
        <v>-244620</v>
      </c>
      <c r="AC133" s="172">
        <f>IFERROR(Vertailu[[#This Row],[Perusrahoituksen muutos, €]]/Vertailu[[#This Row],[Perusrahoitus 2024, €]],0)</f>
        <v>-3.1098196541059803E-2</v>
      </c>
      <c r="AD133" s="170">
        <f>IFERROR(VLOOKUP(Vertailu[[#This Row],[Y-tunnus]],'Suoritepäät. 2024 oikaistu'!$O:$Y,COLUMN('Suoritepäät. 2024 oikaistu'!D:D),FALSE),0)</f>
        <v>2302151</v>
      </c>
      <c r="AE133" s="170">
        <f>IFERROR(VLOOKUP(Vertailu[[#This Row],[Y-tunnus]],'1.2 Ohjaus-laskentataulu'!A:AQ,COLUMN('1.2 Ohjaus-laskentataulu'!N:N),FALSE),0)</f>
        <v>2246639</v>
      </c>
      <c r="AF133" s="170">
        <f>Vertailu[[#This Row],[Suoritusrahoitus 2025, €]]-Vertailu[[#This Row],[Suoritusrahoitus 2024, €]]</f>
        <v>-55512</v>
      </c>
      <c r="AG133" s="172">
        <f>IFERROR(Vertailu[[#This Row],[Suoritusrahoituksen muutos, €]]/Vertailu[[#This Row],[Suoritusrahoitus 2024, €]],0)</f>
        <v>-2.4113101182329049E-2</v>
      </c>
      <c r="AH133" s="170">
        <f>IFERROR(VLOOKUP(Vertailu[[#This Row],[Y-tunnus]],'Suoritepäät. 2024 oikaistu'!$AB:$AL,COLUMN('Suoritepäät. 2024 oikaistu'!I:I),FALSE),0)</f>
        <v>1250974</v>
      </c>
      <c r="AI133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1221495</v>
      </c>
      <c r="AJ133" s="170">
        <f>Vertailu[[#This Row],[Vaikuttavuusrahoitus 2025, €]]-Vertailu[[#This Row],[Vaikuttavuusrahoitus 2024, €]]</f>
        <v>-29479</v>
      </c>
      <c r="AK133" s="172">
        <f>IFERROR(Vertailu[[#This Row],[Vaikuttavuusrahoituksen muutos, €]]/Vertailu[[#This Row],[Vaikuttavuusrahoitus 2024, €]],0)</f>
        <v>-2.3564838278013773E-2</v>
      </c>
    </row>
    <row r="134" spans="1:37" s="2" customFormat="1" ht="12.75" customHeight="1" x14ac:dyDescent="0.25">
      <c r="A134" s="4" t="s">
        <v>189</v>
      </c>
      <c r="B134" s="161" t="s">
        <v>499</v>
      </c>
      <c r="C134" s="161" t="s">
        <v>188</v>
      </c>
      <c r="D134" s="8" t="s">
        <v>326</v>
      </c>
      <c r="E134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0.59805292855439884</v>
      </c>
      <c r="F134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0.59805292855439884</v>
      </c>
      <c r="G134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0.22449336406262418</v>
      </c>
      <c r="H134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0.17745370738297703</v>
      </c>
      <c r="I134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0.13368036239370579</v>
      </c>
      <c r="J134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7.2399268854804102E-3</v>
      </c>
      <c r="K134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1.6864022888023522E-2</v>
      </c>
      <c r="L134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1.1054597472780736E-2</v>
      </c>
      <c r="M134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8.6147977429865685E-3</v>
      </c>
      <c r="N134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146086</v>
      </c>
      <c r="O134" s="170">
        <f>IFERROR(VLOOKUP(Vertailu[[#This Row],[Y-tunnus]],'1.2 Ohjaus-laskentataulu'!A:AQ,COLUMN('1.2 Ohjaus-laskentataulu'!AE:AE),FALSE),0)</f>
        <v>125830</v>
      </c>
      <c r="P134" s="170">
        <f>IFERROR(Vertailu[[#This Row],[Rahoitus pl. hark. kor. 2025 ilman alv, €]]-Vertailu[[#This Row],[Rahoitus pl. hark. kor. 2024 ilman alv, €]],0)</f>
        <v>-20256</v>
      </c>
      <c r="Q134" s="172">
        <f>IFERROR(Vertailu[[#This Row],[Muutos, € 1]]/Vertailu[[#This Row],[Rahoitus pl. hark. kor. 2024 ilman alv, €]],0)</f>
        <v>-0.13865805073723697</v>
      </c>
      <c r="R134" s="175">
        <f>IFERROR(VLOOKUP(Vertailu[[#This Row],[Y-tunnus]],'Suoritepäät. 2024 oikaistu'!$AB:$AL,COLUMN('Suoritepäät. 2024 oikaistu'!J:J),FALSE),0)</f>
        <v>146086</v>
      </c>
      <c r="S134" s="176">
        <f>IFERROR(VLOOKUP(Vertailu[[#This Row],[Y-tunnus]],'1.2 Ohjaus-laskentataulu'!A:AQ,COLUMN('1.2 Ohjaus-laskentataulu'!AO:AO),FALSE),0)</f>
        <v>125830</v>
      </c>
      <c r="T134" s="170">
        <f>IFERROR(Vertailu[[#This Row],[Rahoitus ml. hark. kor. 
2025 ilman alv, €]]-Vertailu[[#This Row],[Rahoitus ml. hark. kor. 
2024 ilman alv, €]],0)</f>
        <v>-20256</v>
      </c>
      <c r="U134" s="174">
        <f>IFERROR(Vertailu[[#This Row],[Muutos, € 2]]/Vertailu[[#This Row],[Rahoitus ml. hark. kor. 
2024 ilman alv, €]],0)</f>
        <v>-0.13865805073723697</v>
      </c>
      <c r="V134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146086</v>
      </c>
      <c r="W134" s="175">
        <f>IFERROR(VLOOKUP(Vertailu[[#This Row],[Y-tunnus]],'1.2 Ohjaus-laskentataulu'!A:AQ,COLUMN('1.2 Ohjaus-laskentataulu'!AQ:AQ),FALSE),0)</f>
        <v>125830</v>
      </c>
      <c r="X134" s="177">
        <f>IFERROR(Vertailu[[#This Row],[Rahoitus ml. hark. kor. + alv 2025, €]]-Vertailu[[#This Row],[Rahoitus ml. hark. kor. + alv 2024, €]],0)</f>
        <v>-20256</v>
      </c>
      <c r="Y134" s="172">
        <f>IFERROR(Vertailu[[#This Row],[Muutos, € 3]]/Vertailu[[#This Row],[Rahoitus ml. hark. kor. + alv 2024, €]],0)</f>
        <v>-0.13865805073723697</v>
      </c>
      <c r="Z134" s="170">
        <f>IFERROR(VLOOKUP(Vertailu[[#This Row],[Y-tunnus]],'Suoritepäät. 2024 oikaistu'!$B:$N,COLUMN('Suoritepäät. 2024 oikaistu'!H:H),FALSE),0)</f>
        <v>83940</v>
      </c>
      <c r="AA134" s="170">
        <f>IFERROR(VLOOKUP(Vertailu[[#This Row],[Y-tunnus]],'1.2 Ohjaus-laskentataulu'!A:AQ,COLUMN('1.2 Ohjaus-laskentataulu'!AL:AL),FALSE),0)</f>
        <v>75253</v>
      </c>
      <c r="AB134" s="170">
        <f>Vertailu[[#This Row],[Perusrahoitus 2025, €]]-Vertailu[[#This Row],[Perusrahoitus 2024, €]]</f>
        <v>-8687</v>
      </c>
      <c r="AC134" s="172">
        <f>IFERROR(Vertailu[[#This Row],[Perusrahoituksen muutos, €]]/Vertailu[[#This Row],[Perusrahoitus 2024, €]],0)</f>
        <v>-0.10349058851560639</v>
      </c>
      <c r="AD134" s="170">
        <f>IFERROR(VLOOKUP(Vertailu[[#This Row],[Y-tunnus]],'Suoritepäät. 2024 oikaistu'!$O:$Y,COLUMN('Suoritepäät. 2024 oikaistu'!D:D),FALSE),0)</f>
        <v>34332</v>
      </c>
      <c r="AE134" s="170">
        <f>IFERROR(VLOOKUP(Vertailu[[#This Row],[Y-tunnus]],'1.2 Ohjaus-laskentataulu'!A:AQ,COLUMN('1.2 Ohjaus-laskentataulu'!N:N),FALSE),0)</f>
        <v>28248</v>
      </c>
      <c r="AF134" s="170">
        <f>Vertailu[[#This Row],[Suoritusrahoitus 2025, €]]-Vertailu[[#This Row],[Suoritusrahoitus 2024, €]]</f>
        <v>-6084</v>
      </c>
      <c r="AG134" s="172">
        <f>IFERROR(Vertailu[[#This Row],[Suoritusrahoituksen muutos, €]]/Vertailu[[#This Row],[Suoritusrahoitus 2024, €]],0)</f>
        <v>-0.17721076546662007</v>
      </c>
      <c r="AH134" s="170">
        <f>IFERROR(VLOOKUP(Vertailu[[#This Row],[Y-tunnus]],'Suoritepäät. 2024 oikaistu'!$AB:$AL,COLUMN('Suoritepäät. 2024 oikaistu'!I:I),FALSE),0)</f>
        <v>27814</v>
      </c>
      <c r="AI134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22329</v>
      </c>
      <c r="AJ134" s="170">
        <f>Vertailu[[#This Row],[Vaikuttavuusrahoitus 2025, €]]-Vertailu[[#This Row],[Vaikuttavuusrahoitus 2024, €]]</f>
        <v>-5485</v>
      </c>
      <c r="AK134" s="172">
        <f>IFERROR(Vertailu[[#This Row],[Vaikuttavuusrahoituksen muutos, €]]/Vertailu[[#This Row],[Vaikuttavuusrahoitus 2024, €]],0)</f>
        <v>-0.19720284748687711</v>
      </c>
    </row>
    <row r="135" spans="1:37" s="2" customFormat="1" ht="12.75" customHeight="1" x14ac:dyDescent="0.25">
      <c r="A135" s="4" t="s">
        <v>185</v>
      </c>
      <c r="B135" s="161" t="s">
        <v>122</v>
      </c>
      <c r="C135" s="161" t="s">
        <v>174</v>
      </c>
      <c r="D135" s="8" t="s">
        <v>327</v>
      </c>
      <c r="E135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0.68556232947609819</v>
      </c>
      <c r="F135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0.68556232947609819</v>
      </c>
      <c r="G135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0.21601900899630758</v>
      </c>
      <c r="H135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9.8418661527594195E-2</v>
      </c>
      <c r="I135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7.3764384725816548E-2</v>
      </c>
      <c r="J135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4.8208801471880452E-3</v>
      </c>
      <c r="K135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1.0960128503016198E-2</v>
      </c>
      <c r="L135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6.678470314295133E-3</v>
      </c>
      <c r="M135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2.1947978372782668E-3</v>
      </c>
      <c r="N135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38456549</v>
      </c>
      <c r="O135" s="170">
        <f>IFERROR(VLOOKUP(Vertailu[[#This Row],[Y-tunnus]],'1.2 Ohjaus-laskentataulu'!A:AQ,COLUMN('1.2 Ohjaus-laskentataulu'!AE:AE),FALSE),0)</f>
        <v>38670532</v>
      </c>
      <c r="P135" s="170">
        <f>IFERROR(Vertailu[[#This Row],[Rahoitus pl. hark. kor. 2025 ilman alv, €]]-Vertailu[[#This Row],[Rahoitus pl. hark. kor. 2024 ilman alv, €]],0)</f>
        <v>213983</v>
      </c>
      <c r="Q135" s="172">
        <f>IFERROR(Vertailu[[#This Row],[Muutos, € 1]]/Vertailu[[#This Row],[Rahoitus pl. hark. kor. 2024 ilman alv, €]],0)</f>
        <v>5.5642798317654552E-3</v>
      </c>
      <c r="R135" s="175">
        <f>IFERROR(VLOOKUP(Vertailu[[#This Row],[Y-tunnus]],'Suoritepäät. 2024 oikaistu'!$AB:$AL,COLUMN('Suoritepäät. 2024 oikaistu'!J:J),FALSE),0)</f>
        <v>38456549</v>
      </c>
      <c r="S135" s="176">
        <f>IFERROR(VLOOKUP(Vertailu[[#This Row],[Y-tunnus]],'1.2 Ohjaus-laskentataulu'!A:AQ,COLUMN('1.2 Ohjaus-laskentataulu'!AO:AO),FALSE),0)</f>
        <v>38670532</v>
      </c>
      <c r="T135" s="170">
        <f>IFERROR(Vertailu[[#This Row],[Rahoitus ml. hark. kor. 
2025 ilman alv, €]]-Vertailu[[#This Row],[Rahoitus ml. hark. kor. 
2024 ilman alv, €]],0)</f>
        <v>213983</v>
      </c>
      <c r="U135" s="174">
        <f>IFERROR(Vertailu[[#This Row],[Muutos, € 2]]/Vertailu[[#This Row],[Rahoitus ml. hark. kor. 
2024 ilman alv, €]],0)</f>
        <v>5.5642798317654552E-3</v>
      </c>
      <c r="V135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38456549</v>
      </c>
      <c r="W135" s="175">
        <f>IFERROR(VLOOKUP(Vertailu[[#This Row],[Y-tunnus]],'1.2 Ohjaus-laskentataulu'!A:AQ,COLUMN('1.2 Ohjaus-laskentataulu'!AQ:AQ),FALSE),0)</f>
        <v>38670532</v>
      </c>
      <c r="X135" s="177">
        <f>IFERROR(Vertailu[[#This Row],[Rahoitus ml. hark. kor. + alv 2025, €]]-Vertailu[[#This Row],[Rahoitus ml. hark. kor. + alv 2024, €]],0)</f>
        <v>213983</v>
      </c>
      <c r="Y135" s="172">
        <f>IFERROR(Vertailu[[#This Row],[Muutos, € 3]]/Vertailu[[#This Row],[Rahoitus ml. hark. kor. + alv 2024, €]],0)</f>
        <v>5.5642798317654552E-3</v>
      </c>
      <c r="Z135" s="170">
        <f>IFERROR(VLOOKUP(Vertailu[[#This Row],[Y-tunnus]],'Suoritepäät. 2024 oikaistu'!$B:$N,COLUMN('Suoritepäät. 2024 oikaistu'!H:H),FALSE),0)</f>
        <v>26868856</v>
      </c>
      <c r="AA135" s="170">
        <f>IFERROR(VLOOKUP(Vertailu[[#This Row],[Y-tunnus]],'1.2 Ohjaus-laskentataulu'!A:AQ,COLUMN('1.2 Ohjaus-laskentataulu'!AL:AL),FALSE),0)</f>
        <v>26511060</v>
      </c>
      <c r="AB135" s="170">
        <f>Vertailu[[#This Row],[Perusrahoitus 2025, €]]-Vertailu[[#This Row],[Perusrahoitus 2024, €]]</f>
        <v>-357796</v>
      </c>
      <c r="AC135" s="172">
        <f>IFERROR(Vertailu[[#This Row],[Perusrahoituksen muutos, €]]/Vertailu[[#This Row],[Perusrahoitus 2024, €]],0)</f>
        <v>-1.3316383846040933E-2</v>
      </c>
      <c r="AD135" s="170">
        <f>IFERROR(VLOOKUP(Vertailu[[#This Row],[Y-tunnus]],'Suoritepäät. 2024 oikaistu'!$O:$Y,COLUMN('Suoritepäät. 2024 oikaistu'!D:D),FALSE),0)</f>
        <v>7874233</v>
      </c>
      <c r="AE135" s="170">
        <f>IFERROR(VLOOKUP(Vertailu[[#This Row],[Y-tunnus]],'1.2 Ohjaus-laskentataulu'!A:AQ,COLUMN('1.2 Ohjaus-laskentataulu'!N:N),FALSE),0)</f>
        <v>8353570</v>
      </c>
      <c r="AF135" s="170">
        <f>Vertailu[[#This Row],[Suoritusrahoitus 2025, €]]-Vertailu[[#This Row],[Suoritusrahoitus 2024, €]]</f>
        <v>479337</v>
      </c>
      <c r="AG135" s="172">
        <f>IFERROR(Vertailu[[#This Row],[Suoritusrahoituksen muutos, €]]/Vertailu[[#This Row],[Suoritusrahoitus 2024, €]],0)</f>
        <v>6.0874119422171025E-2</v>
      </c>
      <c r="AH135" s="170">
        <f>IFERROR(VLOOKUP(Vertailu[[#This Row],[Y-tunnus]],'Suoritepäät. 2024 oikaistu'!$AB:$AL,COLUMN('Suoritepäät. 2024 oikaistu'!I:I),FALSE),0)</f>
        <v>3713460</v>
      </c>
      <c r="AI135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3805902</v>
      </c>
      <c r="AJ135" s="170">
        <f>Vertailu[[#This Row],[Vaikuttavuusrahoitus 2025, €]]-Vertailu[[#This Row],[Vaikuttavuusrahoitus 2024, €]]</f>
        <v>92442</v>
      </c>
      <c r="AK135" s="172">
        <f>IFERROR(Vertailu[[#This Row],[Vaikuttavuusrahoituksen muutos, €]]/Vertailu[[#This Row],[Vaikuttavuusrahoitus 2024, €]],0)</f>
        <v>2.4893764844646234E-2</v>
      </c>
    </row>
    <row r="136" spans="1:37" s="2" customFormat="1" ht="12.75" customHeight="1" x14ac:dyDescent="0.25">
      <c r="A136" s="4" t="s">
        <v>184</v>
      </c>
      <c r="B136" s="161" t="s">
        <v>123</v>
      </c>
      <c r="C136" s="161" t="s">
        <v>183</v>
      </c>
      <c r="D136" s="8" t="s">
        <v>326</v>
      </c>
      <c r="E136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0.69121150731679593</v>
      </c>
      <c r="F136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0.69189212366935249</v>
      </c>
      <c r="G136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0.22544770092900729</v>
      </c>
      <c r="H136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8.2660175401640223E-2</v>
      </c>
      <c r="I136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5.3469901273194981E-2</v>
      </c>
      <c r="J136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2.2245945483310775E-3</v>
      </c>
      <c r="K136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1.4092501887859607E-2</v>
      </c>
      <c r="L136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9.9352972064442116E-3</v>
      </c>
      <c r="M136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2.9378804858103402E-3</v>
      </c>
      <c r="N136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2662603</v>
      </c>
      <c r="O136" s="170">
        <f>IFERROR(VLOOKUP(Vertailu[[#This Row],[Y-tunnus]],'1.2 Ohjaus-laskentataulu'!A:AQ,COLUMN('1.2 Ohjaus-laskentataulu'!AE:AE),FALSE),0)</f>
        <v>2936513</v>
      </c>
      <c r="P136" s="170">
        <f>IFERROR(Vertailu[[#This Row],[Rahoitus pl. hark. kor. 2025 ilman alv, €]]-Vertailu[[#This Row],[Rahoitus pl. hark. kor. 2024 ilman alv, €]],0)</f>
        <v>273910</v>
      </c>
      <c r="Q136" s="172">
        <f>IFERROR(Vertailu[[#This Row],[Muutos, € 1]]/Vertailu[[#This Row],[Rahoitus pl. hark. kor. 2024 ilman alv, €]],0)</f>
        <v>0.10287301561667286</v>
      </c>
      <c r="R136" s="175">
        <f>IFERROR(VLOOKUP(Vertailu[[#This Row],[Y-tunnus]],'Suoritepäät. 2024 oikaistu'!$AB:$AL,COLUMN('Suoritepäät. 2024 oikaistu'!J:J),FALSE),0)</f>
        <v>2662603</v>
      </c>
      <c r="S136" s="176">
        <f>IFERROR(VLOOKUP(Vertailu[[#This Row],[Y-tunnus]],'1.2 Ohjaus-laskentataulu'!A:AQ,COLUMN('1.2 Ohjaus-laskentataulu'!AO:AO),FALSE),0)</f>
        <v>2938513</v>
      </c>
      <c r="T136" s="170">
        <f>IFERROR(Vertailu[[#This Row],[Rahoitus ml. hark. kor. 
2025 ilman alv, €]]-Vertailu[[#This Row],[Rahoitus ml. hark. kor. 
2024 ilman alv, €]],0)</f>
        <v>275910</v>
      </c>
      <c r="U136" s="174">
        <f>IFERROR(Vertailu[[#This Row],[Muutos, € 2]]/Vertailu[[#This Row],[Rahoitus ml. hark. kor. 
2024 ilman alv, €]],0)</f>
        <v>0.10362416026722722</v>
      </c>
      <c r="V136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2821115</v>
      </c>
      <c r="W136" s="175">
        <f>IFERROR(VLOOKUP(Vertailu[[#This Row],[Y-tunnus]],'1.2 Ohjaus-laskentataulu'!A:AQ,COLUMN('1.2 Ohjaus-laskentataulu'!AQ:AQ),FALSE),0)</f>
        <v>3151371</v>
      </c>
      <c r="X136" s="177">
        <f>IFERROR(Vertailu[[#This Row],[Rahoitus ml. hark. kor. + alv 2025, €]]-Vertailu[[#This Row],[Rahoitus ml. hark. kor. + alv 2024, €]],0)</f>
        <v>330256</v>
      </c>
      <c r="Y136" s="172">
        <f>IFERROR(Vertailu[[#This Row],[Muutos, € 3]]/Vertailu[[#This Row],[Rahoitus ml. hark. kor. + alv 2024, €]],0)</f>
        <v>0.11706577009444848</v>
      </c>
      <c r="Z136" s="170">
        <f>IFERROR(VLOOKUP(Vertailu[[#This Row],[Y-tunnus]],'Suoritepäät. 2024 oikaistu'!$B:$N,COLUMN('Suoritepäät. 2024 oikaistu'!H:H),FALSE),0)</f>
        <v>1877380</v>
      </c>
      <c r="AA136" s="170">
        <f>IFERROR(VLOOKUP(Vertailu[[#This Row],[Y-tunnus]],'1.2 Ohjaus-laskentataulu'!A:AQ,COLUMN('1.2 Ohjaus-laskentataulu'!AL:AL),FALSE),0)</f>
        <v>2033134</v>
      </c>
      <c r="AB136" s="170">
        <f>Vertailu[[#This Row],[Perusrahoitus 2025, €]]-Vertailu[[#This Row],[Perusrahoitus 2024, €]]</f>
        <v>155754</v>
      </c>
      <c r="AC136" s="172">
        <f>IFERROR(Vertailu[[#This Row],[Perusrahoituksen muutos, €]]/Vertailu[[#This Row],[Perusrahoitus 2024, €]],0)</f>
        <v>8.2963491674567749E-2</v>
      </c>
      <c r="AD136" s="170">
        <f>IFERROR(VLOOKUP(Vertailu[[#This Row],[Y-tunnus]],'Suoritepäät. 2024 oikaistu'!$O:$Y,COLUMN('Suoritepäät. 2024 oikaistu'!D:D),FALSE),0)</f>
        <v>524232</v>
      </c>
      <c r="AE136" s="170">
        <f>IFERROR(VLOOKUP(Vertailu[[#This Row],[Y-tunnus]],'1.2 Ohjaus-laskentataulu'!A:AQ,COLUMN('1.2 Ohjaus-laskentataulu'!N:N),FALSE),0)</f>
        <v>662481</v>
      </c>
      <c r="AF136" s="170">
        <f>Vertailu[[#This Row],[Suoritusrahoitus 2025, €]]-Vertailu[[#This Row],[Suoritusrahoitus 2024, €]]</f>
        <v>138249</v>
      </c>
      <c r="AG136" s="172">
        <f>IFERROR(Vertailu[[#This Row],[Suoritusrahoituksen muutos, €]]/Vertailu[[#This Row],[Suoritusrahoitus 2024, €]],0)</f>
        <v>0.26371720917456393</v>
      </c>
      <c r="AH136" s="170">
        <f>IFERROR(VLOOKUP(Vertailu[[#This Row],[Y-tunnus]],'Suoritepäät. 2024 oikaistu'!$AB:$AL,COLUMN('Suoritepäät. 2024 oikaistu'!I:I),FALSE),0)</f>
        <v>260991</v>
      </c>
      <c r="AI136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242898</v>
      </c>
      <c r="AJ136" s="170">
        <f>Vertailu[[#This Row],[Vaikuttavuusrahoitus 2025, €]]-Vertailu[[#This Row],[Vaikuttavuusrahoitus 2024, €]]</f>
        <v>-18093</v>
      </c>
      <c r="AK136" s="172">
        <f>IFERROR(Vertailu[[#This Row],[Vaikuttavuusrahoituksen muutos, €]]/Vertailu[[#This Row],[Vaikuttavuusrahoitus 2024, €]],0)</f>
        <v>-6.9324229571134641E-2</v>
      </c>
    </row>
    <row r="137" spans="1:37" s="2" customFormat="1" ht="12.75" customHeight="1" x14ac:dyDescent="0.25">
      <c r="A137" s="4" t="s">
        <v>179</v>
      </c>
      <c r="B137" s="161" t="s">
        <v>124</v>
      </c>
      <c r="C137" s="161" t="s">
        <v>178</v>
      </c>
      <c r="D137" s="8" t="s">
        <v>325</v>
      </c>
      <c r="E137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0.6879059760245323</v>
      </c>
      <c r="F137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0.68909835931852692</v>
      </c>
      <c r="G137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0.20721854754381777</v>
      </c>
      <c r="H137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0.10368309313765528</v>
      </c>
      <c r="I137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6.9312590489019693E-2</v>
      </c>
      <c r="J137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4.8421601584308846E-3</v>
      </c>
      <c r="K137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1.2346153422982852E-2</v>
      </c>
      <c r="L137" s="174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1.1620913384030943E-2</v>
      </c>
      <c r="M137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5.5612756831909128E-3</v>
      </c>
      <c r="N137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19541548</v>
      </c>
      <c r="O137" s="170">
        <f>IFERROR(VLOOKUP(Vertailu[[#This Row],[Y-tunnus]],'1.2 Ohjaus-laskentataulu'!A:AQ,COLUMN('1.2 Ohjaus-laskentataulu'!AE:AE),FALSE),0)</f>
        <v>18428443</v>
      </c>
      <c r="P137" s="170">
        <f>IFERROR(Vertailu[[#This Row],[Rahoitus pl. hark. kor. 2025 ilman alv, €]]-Vertailu[[#This Row],[Rahoitus pl. hark. kor. 2024 ilman alv, €]],0)</f>
        <v>-1113105</v>
      </c>
      <c r="Q137" s="172">
        <f>IFERROR(Vertailu[[#This Row],[Muutos, € 1]]/Vertailu[[#This Row],[Rahoitus pl. hark. kor. 2024 ilman alv, €]],0)</f>
        <v>-5.6960942909947562E-2</v>
      </c>
      <c r="R137" s="175">
        <f>IFERROR(VLOOKUP(Vertailu[[#This Row],[Y-tunnus]],'Suoritepäät. 2024 oikaistu'!$AB:$AL,COLUMN('Suoritepäät. 2024 oikaistu'!J:J),FALSE),0)</f>
        <v>19673646</v>
      </c>
      <c r="S137" s="176">
        <f>IFERROR(VLOOKUP(Vertailu[[#This Row],[Y-tunnus]],'1.2 Ohjaus-laskentataulu'!A:AQ,COLUMN('1.2 Ohjaus-laskentataulu'!AO:AO),FALSE),0)</f>
        <v>18450443</v>
      </c>
      <c r="T137" s="170">
        <f>IFERROR(Vertailu[[#This Row],[Rahoitus ml. hark. kor. 
2025 ilman alv, €]]-Vertailu[[#This Row],[Rahoitus ml. hark. kor. 
2024 ilman alv, €]],0)</f>
        <v>-1223203</v>
      </c>
      <c r="U137" s="174">
        <f>IFERROR(Vertailu[[#This Row],[Muutos, € 2]]/Vertailu[[#This Row],[Rahoitus ml. hark. kor. 
2024 ilman alv, €]],0)</f>
        <v>-6.2174698070708398E-2</v>
      </c>
      <c r="V137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19673646</v>
      </c>
      <c r="W137" s="175">
        <f>IFERROR(VLOOKUP(Vertailu[[#This Row],[Y-tunnus]],'1.2 Ohjaus-laskentataulu'!A:AQ,COLUMN('1.2 Ohjaus-laskentataulu'!AQ:AQ),FALSE),0)</f>
        <v>18450443</v>
      </c>
      <c r="X137" s="177">
        <f>IFERROR(Vertailu[[#This Row],[Rahoitus ml. hark. kor. + alv 2025, €]]-Vertailu[[#This Row],[Rahoitus ml. hark. kor. + alv 2024, €]],0)</f>
        <v>-1223203</v>
      </c>
      <c r="Y137" s="172">
        <f>IFERROR(Vertailu[[#This Row],[Muutos, € 3]]/Vertailu[[#This Row],[Rahoitus ml. hark. kor. + alv 2024, €]],0)</f>
        <v>-6.2174698070708398E-2</v>
      </c>
      <c r="Z137" s="170">
        <f>IFERROR(VLOOKUP(Vertailu[[#This Row],[Y-tunnus]],'Suoritepäät. 2024 oikaistu'!$B:$N,COLUMN('Suoritepäät. 2024 oikaistu'!H:H),FALSE),0)</f>
        <v>13567891</v>
      </c>
      <c r="AA137" s="170">
        <f>IFERROR(VLOOKUP(Vertailu[[#This Row],[Y-tunnus]],'1.2 Ohjaus-laskentataulu'!A:AQ,COLUMN('1.2 Ohjaus-laskentataulu'!AL:AL),FALSE),0)</f>
        <v>12714170</v>
      </c>
      <c r="AB137" s="170">
        <f>Vertailu[[#This Row],[Perusrahoitus 2025, €]]-Vertailu[[#This Row],[Perusrahoitus 2024, €]]</f>
        <v>-853721</v>
      </c>
      <c r="AC137" s="172">
        <f>IFERROR(Vertailu[[#This Row],[Perusrahoituksen muutos, €]]/Vertailu[[#This Row],[Perusrahoitus 2024, €]],0)</f>
        <v>-6.2922159383503304E-2</v>
      </c>
      <c r="AD137" s="170">
        <f>IFERROR(VLOOKUP(Vertailu[[#This Row],[Y-tunnus]],'Suoritepäät. 2024 oikaistu'!$O:$Y,COLUMN('Suoritepäät. 2024 oikaistu'!D:D),FALSE),0)</f>
        <v>4039136</v>
      </c>
      <c r="AE137" s="170">
        <f>IFERROR(VLOOKUP(Vertailu[[#This Row],[Y-tunnus]],'1.2 Ohjaus-laskentataulu'!A:AQ,COLUMN('1.2 Ohjaus-laskentataulu'!N:N),FALSE),0)</f>
        <v>3823274</v>
      </c>
      <c r="AF137" s="170">
        <f>Vertailu[[#This Row],[Suoritusrahoitus 2025, €]]-Vertailu[[#This Row],[Suoritusrahoitus 2024, €]]</f>
        <v>-215862</v>
      </c>
      <c r="AG137" s="172">
        <f>IFERROR(Vertailu[[#This Row],[Suoritusrahoituksen muutos, €]]/Vertailu[[#This Row],[Suoritusrahoitus 2024, €]],0)</f>
        <v>-5.3442617431054565E-2</v>
      </c>
      <c r="AH137" s="170">
        <f>IFERROR(VLOOKUP(Vertailu[[#This Row],[Y-tunnus]],'Suoritepäät. 2024 oikaistu'!$AB:$AL,COLUMN('Suoritepäät. 2024 oikaistu'!I:I),FALSE),0)</f>
        <v>2066619</v>
      </c>
      <c r="AI137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1912999</v>
      </c>
      <c r="AJ137" s="170">
        <f>Vertailu[[#This Row],[Vaikuttavuusrahoitus 2025, €]]-Vertailu[[#This Row],[Vaikuttavuusrahoitus 2024, €]]</f>
        <v>-153620</v>
      </c>
      <c r="AK137" s="172">
        <f>IFERROR(Vertailu[[#This Row],[Vaikuttavuusrahoituksen muutos, €]]/Vertailu[[#This Row],[Vaikuttavuusrahoitus 2024, €]],0)</f>
        <v>-7.4333972541624757E-2</v>
      </c>
    </row>
    <row r="138" spans="1:37" s="2" customFormat="1" ht="12.75" customHeight="1" x14ac:dyDescent="0.25">
      <c r="A138" s="4" t="s">
        <v>177</v>
      </c>
      <c r="B138" s="161" t="s">
        <v>125</v>
      </c>
      <c r="C138" s="161" t="s">
        <v>176</v>
      </c>
      <c r="D138" s="8" t="s">
        <v>325</v>
      </c>
      <c r="E138" s="171">
        <f>IFERROR(VLOOKUP(Vertailu[[#This Row],[Y-tunnus]],'1.2 Ohjaus-laskentataulu'!A:AQ,COLUMN('1.2 Ohjaus-laskentataulu'!K:K),FALSE)/VLOOKUP(Vertailu[[#This Row],[Y-tunnus]],'1.2 Ohjaus-laskentataulu'!A:AQ,COLUMN('1.2 Ohjaus-laskentataulu'!AO:AO),FALSE),0)</f>
        <v>0.6866651241298608</v>
      </c>
      <c r="F138" s="172">
        <f>IFERROR(VLOOKUP(Vertailu[[#This Row],[Y-tunnus]],'1.2 Ohjaus-laskentataulu'!A:AQ,COLUMN('1.2 Ohjaus-laskentataulu'!AL:AL),FALSE)/VLOOKUP(Vertailu[[#This Row],[Y-tunnus]],'1.2 Ohjaus-laskentataulu'!A:AQ,COLUMN('1.2 Ohjaus-laskentataulu'!AO:AO),FALSE),0)</f>
        <v>0.68787223142397669</v>
      </c>
      <c r="G138" s="173">
        <f>IFERROR(VLOOKUP(Vertailu[[#This Row],[Y-tunnus]],'1.2 Ohjaus-laskentataulu'!A:AQ,COLUMN('1.2 Ohjaus-laskentataulu'!AM:AM),FALSE)/VLOOKUP(Vertailu[[#This Row],[Y-tunnus]],'1.2 Ohjaus-laskentataulu'!A:AQ,COLUMN('1.2 Ohjaus-laskentataulu'!AO:AO),FALSE),0)</f>
        <v>0.20502486942802703</v>
      </c>
      <c r="H138" s="171">
        <f>IFERROR(VLOOKUP(Vertailu[[#This Row],[Y-tunnus]],'1.2 Ohjaus-laskentataulu'!A:AQ,COLUMN('1.2 Ohjaus-laskentataulu'!AN:AN),FALSE)/VLOOKUP(Vertailu[[#This Row],[Y-tunnus]],'1.2 Ohjaus-laskentataulu'!A:AQ,COLUMN('1.2 Ohjaus-laskentataulu'!AO:AO),FALSE),0)</f>
        <v>0.10710289914799624</v>
      </c>
      <c r="I138" s="174">
        <f>IFERROR(VLOOKUP(Vertailu[[#This Row],[Y-tunnus]],'1.2 Ohjaus-laskentataulu'!A:AQ,COLUMN('1.2 Ohjaus-laskentataulu'!Q:Q),FALSE)/VLOOKUP(Vertailu[[#This Row],[Y-tunnus]],'1.2 Ohjaus-laskentataulu'!A:AQ,COLUMN('1.2 Ohjaus-laskentataulu'!AO:AO),FALSE),0)</f>
        <v>7.3691102011594928E-2</v>
      </c>
      <c r="J138" s="174">
        <f>IFERROR(VLOOKUP(Vertailu[[#This Row],[Y-tunnus]],'1.2 Ohjaus-laskentataulu'!A:AQ,COLUMN('1.2 Ohjaus-laskentataulu'!T:T),FALSE)/VLOOKUP(Vertailu[[#This Row],[Y-tunnus]],'1.2 Ohjaus-laskentataulu'!A:AQ,COLUMN('1.2 Ohjaus-laskentataulu'!AO:AO),FALSE),0)</f>
        <v>4.7552345796295489E-3</v>
      </c>
      <c r="K138" s="174">
        <f>IFERROR(VLOOKUP(Vertailu[[#This Row],[Y-tunnus]],'1.2 Ohjaus-laskentataulu'!A:AQ,COLUMN('1.2 Ohjaus-laskentataulu'!W:W),FALSE)/VLOOKUP(Vertailu[[#This Row],[Y-tunnus]],'1.2 Ohjaus-laskentataulu'!A:AQ,COLUMN('1.2 Ohjaus-laskentataulu'!AO:AO),FALSE),0)</f>
        <v>1.2837311730355934E-2</v>
      </c>
      <c r="L138" s="178">
        <f>IFERROR(VLOOKUP(Vertailu[[#This Row],[Y-tunnus]],'1.2 Ohjaus-laskentataulu'!A:AQ,COLUMN('1.2 Ohjaus-laskentataulu'!Z:Z),FALSE)/VLOOKUP(Vertailu[[#This Row],[Y-tunnus]],'1.2 Ohjaus-laskentataulu'!A:AQ,COLUMN('1.2 Ohjaus-laskentataulu'!AO:AO),FALSE),0)</f>
        <v>1.2290601863148161E-2</v>
      </c>
      <c r="M138" s="174">
        <f>IFERROR(VLOOKUP(Vertailu[[#This Row],[Y-tunnus]],'1.2 Ohjaus-laskentataulu'!A:AQ,COLUMN('1.2 Ohjaus-laskentataulu'!AC:AC),FALSE)/VLOOKUP(Vertailu[[#This Row],[Y-tunnus]],'1.2 Ohjaus-laskentataulu'!A:AQ,COLUMN('1.2 Ohjaus-laskentataulu'!AO:AO),FALSE),0)</f>
        <v>3.5286489632676702E-3</v>
      </c>
      <c r="N138" s="170">
        <f>IFERROR(VLOOKUP(Vertailu[[#This Row],[Y-tunnus]],'Suoritepäät. 2024 oikaistu'!$AB:$AL,COLUMN('Suoritepäät. 2024 oikaistu'!J:J),FALSE)-VLOOKUP(Vertailu[[#This Row],[Y-tunnus]],'Suoritepäät. 2024 oikaistu'!$B:$N,COLUMN('Suoritepäät. 2024 oikaistu'!G:G),FALSE),0)</f>
        <v>19094282</v>
      </c>
      <c r="O138" s="170">
        <f>IFERROR(VLOOKUP(Vertailu[[#This Row],[Y-tunnus]],'1.2 Ohjaus-laskentataulu'!A:AQ,COLUMN('1.2 Ohjaus-laskentataulu'!AE:AE),FALSE),0)</f>
        <v>18203389</v>
      </c>
      <c r="P138" s="170">
        <f>IFERROR(Vertailu[[#This Row],[Rahoitus pl. hark. kor. 2025 ilman alv, €]]-Vertailu[[#This Row],[Rahoitus pl. hark. kor. 2024 ilman alv, €]],0)</f>
        <v>-890893</v>
      </c>
      <c r="Q138" s="172">
        <f>IFERROR(Vertailu[[#This Row],[Muutos, € 1]]/Vertailu[[#This Row],[Rahoitus pl. hark. kor. 2024 ilman alv, €]],0)</f>
        <v>-4.665758052593965E-2</v>
      </c>
      <c r="R138" s="175">
        <f>IFERROR(VLOOKUP(Vertailu[[#This Row],[Y-tunnus]],'Suoritepäät. 2024 oikaistu'!$AB:$AL,COLUMN('Suoritepäät. 2024 oikaistu'!J:J),FALSE),0)</f>
        <v>19187780</v>
      </c>
      <c r="S138" s="176">
        <f>IFERROR(VLOOKUP(Vertailu[[#This Row],[Y-tunnus]],'1.2 Ohjaus-laskentataulu'!A:AQ,COLUMN('1.2 Ohjaus-laskentataulu'!AO:AO),FALSE),0)</f>
        <v>18225389</v>
      </c>
      <c r="T138" s="170">
        <f>IFERROR(Vertailu[[#This Row],[Rahoitus ml. hark. kor. 
2025 ilman alv, €]]-Vertailu[[#This Row],[Rahoitus ml. hark. kor. 
2024 ilman alv, €]],0)</f>
        <v>-962391</v>
      </c>
      <c r="U138" s="174">
        <f>IFERROR(Vertailu[[#This Row],[Muutos, € 2]]/Vertailu[[#This Row],[Rahoitus ml. hark. kor. 
2024 ilman alv, €]],0)</f>
        <v>-5.0156453742955152E-2</v>
      </c>
      <c r="V138" s="176">
        <f>IFERROR(VLOOKUP(Vertailu[[#This Row],[Y-tunnus]],'Suoritepäät. 2024 oikaistu'!$AB:$AL,COLUMN('Suoritepäät. 2024 oikaistu'!J:J),FALSE)+VLOOKUP(Vertailu[[#This Row],[Y-tunnus]],'Suoritepäät. 2024 oikaistu'!$AB:$AL,COLUMN('Suoritepäät. 2024 oikaistu'!K:K),FALSE),0)</f>
        <v>19187780</v>
      </c>
      <c r="W138" s="175">
        <f>IFERROR(VLOOKUP(Vertailu[[#This Row],[Y-tunnus]],'1.2 Ohjaus-laskentataulu'!A:AQ,COLUMN('1.2 Ohjaus-laskentataulu'!AQ:AQ),FALSE),0)</f>
        <v>18225389</v>
      </c>
      <c r="X138" s="177">
        <f>IFERROR(Vertailu[[#This Row],[Rahoitus ml. hark. kor. + alv 2025, €]]-Vertailu[[#This Row],[Rahoitus ml. hark. kor. + alv 2024, €]],0)</f>
        <v>-962391</v>
      </c>
      <c r="Y138" s="172">
        <f>IFERROR(Vertailu[[#This Row],[Muutos, € 3]]/Vertailu[[#This Row],[Rahoitus ml. hark. kor. + alv 2024, €]],0)</f>
        <v>-5.0156453742955152E-2</v>
      </c>
      <c r="Z138" s="170">
        <f>IFERROR(VLOOKUP(Vertailu[[#This Row],[Y-tunnus]],'Suoritepäät. 2024 oikaistu'!$B:$N,COLUMN('Suoritepäät. 2024 oikaistu'!H:H),FALSE),0)</f>
        <v>13211958</v>
      </c>
      <c r="AA138" s="170">
        <f>IFERROR(VLOOKUP(Vertailu[[#This Row],[Y-tunnus]],'1.2 Ohjaus-laskentataulu'!A:AQ,COLUMN('1.2 Ohjaus-laskentataulu'!AL:AL),FALSE),0)</f>
        <v>12536739</v>
      </c>
      <c r="AB138" s="170">
        <f>Vertailu[[#This Row],[Perusrahoitus 2025, €]]-Vertailu[[#This Row],[Perusrahoitus 2024, €]]</f>
        <v>-675219</v>
      </c>
      <c r="AC138" s="172">
        <f>IFERROR(Vertailu[[#This Row],[Perusrahoituksen muutos, €]]/Vertailu[[#This Row],[Perusrahoitus 2024, €]],0)</f>
        <v>-5.1106656560670267E-2</v>
      </c>
      <c r="AD138" s="170">
        <f>IFERROR(VLOOKUP(Vertailu[[#This Row],[Y-tunnus]],'Suoritepäät. 2024 oikaistu'!$O:$Y,COLUMN('Suoritepäät. 2024 oikaistu'!D:D),FALSE),0)</f>
        <v>3864272</v>
      </c>
      <c r="AE138" s="170">
        <f>IFERROR(VLOOKUP(Vertailu[[#This Row],[Y-tunnus]],'1.2 Ohjaus-laskentataulu'!A:AQ,COLUMN('1.2 Ohjaus-laskentataulu'!N:N),FALSE),0)</f>
        <v>3736658</v>
      </c>
      <c r="AF138" s="170">
        <f>Vertailu[[#This Row],[Suoritusrahoitus 2025, €]]-Vertailu[[#This Row],[Suoritusrahoitus 2024, €]]</f>
        <v>-127614</v>
      </c>
      <c r="AG138" s="172">
        <f>IFERROR(Vertailu[[#This Row],[Suoritusrahoituksen muutos, €]]/Vertailu[[#This Row],[Suoritusrahoitus 2024, €]],0)</f>
        <v>-3.302407283959307E-2</v>
      </c>
      <c r="AH138" s="170">
        <f>IFERROR(VLOOKUP(Vertailu[[#This Row],[Y-tunnus]],'Suoritepäät. 2024 oikaistu'!$AB:$AL,COLUMN('Suoritepäät. 2024 oikaistu'!I:I),FALSE),0)</f>
        <v>2111550</v>
      </c>
      <c r="AI138" s="170">
        <f>IFERROR(VLOOKUP(Vertailu[[#This Row],[Y-tunnus]],'1.2 Ohjaus-laskentataulu'!A:AQ,COLUMN('1.2 Ohjaus-laskentataulu'!Q:Q),FALSE),0)+IFERROR(VLOOKUP(Vertailu[[#This Row],[Y-tunnus]],'1.2 Ohjaus-laskentataulu'!A:AQ,COLUMN('1.2 Ohjaus-laskentataulu'!T:T),FALSE),0)+IFERROR(VLOOKUP(Vertailu[[#This Row],[Y-tunnus]],'1.2 Ohjaus-laskentataulu'!A:AQ,COLUMN('1.2 Ohjaus-laskentataulu'!W:W),FALSE),0)+IFERROR(VLOOKUP(Vertailu[[#This Row],[Y-tunnus]],'1.2 Ohjaus-laskentataulu'!A:AQ,COLUMN('1.2 Ohjaus-laskentataulu'!Z:Z),FALSE),0)+IFERROR(VLOOKUP(Vertailu[[#This Row],[Y-tunnus]],'1.2 Ohjaus-laskentataulu'!A:AQ,COLUMN('1.2 Ohjaus-laskentataulu'!AC:AC),FALSE),0)</f>
        <v>1951992</v>
      </c>
      <c r="AJ138" s="170">
        <f>Vertailu[[#This Row],[Vaikuttavuusrahoitus 2025, €]]-Vertailu[[#This Row],[Vaikuttavuusrahoitus 2024, €]]</f>
        <v>-159558</v>
      </c>
      <c r="AK138" s="172">
        <f>IFERROR(Vertailu[[#This Row],[Vaikuttavuusrahoituksen muutos, €]]/Vertailu[[#This Row],[Vaikuttavuusrahoitus 2024, €]],0)</f>
        <v>-7.556439582297364E-2</v>
      </c>
    </row>
    <row r="139" spans="1:37" s="109" customFormat="1" ht="12.75" customHeight="1" x14ac:dyDescent="0.25">
      <c r="A139" s="136" t="s">
        <v>13</v>
      </c>
      <c r="B139" s="136">
        <f>COUNTIF(Vertailu[Nimi],"?*")</f>
        <v>133</v>
      </c>
      <c r="C139" s="136"/>
      <c r="D139" s="137"/>
      <c r="E139" s="146">
        <f>Ohj.lask.[[#Totals],[Jaettava € 1]]/Ohj.lask.[[#Totals],[Perus-, suoritus- ja vaikuttavuusrahoitus yhteensä, €]]</f>
        <v>0.69223634290982894</v>
      </c>
      <c r="F139" s="152">
        <f>Ohj.lask.[[#Totals],[Suoriteperusteinen (opiskelijavuosiin perustuva) sekä harkinnanvarainen korotus, €]]/Ohj.lask.[[#Totals],[Perus-, suoritus- ja vaikuttavuusrahoitus yhteensä, €]]</f>
        <v>0.69853937332169069</v>
      </c>
      <c r="G139" s="146">
        <f>Ohj.lask.[[#Totals],[Suoritusrahoitus, €]]/Ohj.lask.[[#Totals],[Perus-, suoritus- ja vaikuttavuusrahoitus yhteensä, €]]</f>
        <v>0.20097391504473144</v>
      </c>
      <c r="H139" s="146">
        <f>Ohj.lask.[[#Totals],[Työllistymiseen ja jatko-opintoihin siirtymiseen, opiskelijapalautteiseen sekä työelämäpalautteeseen perustuva, €]]/Ohj.lask.[[#Totals],[Perus-, suoritus- ja vaikuttavuusrahoitus yhteensä, €]]</f>
        <v>0.10048671163357792</v>
      </c>
      <c r="I139" s="145">
        <f>Ohj.lask.[[#Totals],[Jaettava € 3]]/Ohj.lask.[[#Totals],[Perus-, suoritus- ja vaikuttavuusrahoitus yhteensä, €]]</f>
        <v>7.0340699019939834E-2</v>
      </c>
      <c r="J139" s="145">
        <f>Ohj.lask.[[#Totals],[Jaettava € 4]]/Ohj.lask.[[#Totals],[Perus-, suoritus- ja vaikuttavuusrahoitus yhteensä, €]]</f>
        <v>3.7682505420242188E-3</v>
      </c>
      <c r="K139" s="145">
        <f>Ohj.lask.[[#Totals],[Jaettava € 5]]/Ohj.lask.[[#Totals],[Perus-, suoritus- ja vaikuttavuusrahoitus yhteensä, €]]</f>
        <v>1.1304756495157563E-2</v>
      </c>
      <c r="L139" s="145">
        <f>Ohj.lask.[[#Totals],[Jaettava € 6]]/Ohj.lask.[[#Totals],[Perus-, suoritus- ja vaikuttavuusrahoitus yhteensä, €]]</f>
        <v>1.1304754547523601E-2</v>
      </c>
      <c r="M139" s="152">
        <f>Ohj.lask.[[#Totals],[Jaettava € 7]]/Ohj.lask.[[#Totals],[Perus-, suoritus- ja vaikuttavuusrahoitus yhteensä, €]]</f>
        <v>3.7682510289327098E-3</v>
      </c>
      <c r="N139" s="147">
        <f>SUBTOTAL(109,Vertailu[Rahoitus pl. hark. kor. 2024 ilman alv, €])</f>
        <v>2123841819</v>
      </c>
      <c r="O139" s="147">
        <f>SUBTOTAL(109,Vertailu[Rahoitus pl. hark. kor. 2025 ilman alv, €])</f>
        <v>2040829003</v>
      </c>
      <c r="P139" s="147">
        <f>SUBTOTAL(109,Vertailu[Muutos, € 1])</f>
        <v>-83012816</v>
      </c>
      <c r="Q139" s="152">
        <f>IFERROR(Vertailu[[#Totals],[Muutos, € 1]]/Vertailu[[#Totals],[Rahoitus pl. hark. kor. 2024 ilman alv, €]],0)</f>
        <v>-3.908615757414842E-2</v>
      </c>
      <c r="R139" s="99">
        <f>SUBTOTAL(109,Vertailu[Rahoitus ml. hark. kor. 
2024 ilman alv, €])</f>
        <v>2141251819</v>
      </c>
      <c r="S139" s="148">
        <f>SUBTOTAL(109,Vertailu[Rahoitus ml. hark. kor. 
2025 ilman alv, €])</f>
        <v>2053774003</v>
      </c>
      <c r="T139" s="99">
        <f>SUBTOTAL(109,Vertailu[Muutos, € 2])</f>
        <v>-87477816</v>
      </c>
      <c r="U139" s="145">
        <f>IFERROR(Vertailu[[#Totals],[Muutos, € 2]]/Vertailu[[#Totals],[Rahoitus ml. hark. kor. 
2024 ilman alv, €]],0)</f>
        <v>-4.0853586310485232E-2</v>
      </c>
      <c r="V139" s="147">
        <f>SUBTOTAL(109,Vertailu[Rahoitus ml. hark. kor. + alv 2024, €])</f>
        <v>2186636618</v>
      </c>
      <c r="W139" s="148">
        <f>SUBTOTAL(109,Vertailu[Rahoitus ml. hark. kor. + alv 2025, €])</f>
        <v>2100735418</v>
      </c>
      <c r="X139" s="99">
        <f>SUBTOTAL(109,Vertailu[Muutos, € 3])</f>
        <v>-85901200</v>
      </c>
      <c r="Y139" s="152">
        <f>IFERROR(Vertailu[[#Totals],[Muutos, € 3]]/Vertailu[[#Totals],[Rahoitus ml. hark. kor. + alv 2024, €]],0)</f>
        <v>-3.9284625206070706E-2</v>
      </c>
      <c r="Z139" s="147">
        <f>SUBTOTAL(109,Vertailu[Perusrahoitus 2024, €])</f>
        <v>1496481428</v>
      </c>
      <c r="AA139" s="148">
        <f>SUBTOTAL(109,Vertailu[Perusrahoitus 2025, €])</f>
        <v>1434642005</v>
      </c>
      <c r="AB139" s="99">
        <f>SUBTOTAL(109,Vertailu[Perusrahoituksen muutos, €])</f>
        <v>-61839423</v>
      </c>
      <c r="AC139" s="152">
        <f>IFERROR(Vertailu[[#Totals],[Perusrahoituksen muutos, €]]/Vertailu[[#Totals],[Perusrahoitus 2024, €]],0)</f>
        <v>-4.1323214470256692E-2</v>
      </c>
      <c r="AD139" s="147">
        <f>SUBTOTAL(109,Vertailu[Suoritusrahoitus 2024, €])</f>
        <v>429918048</v>
      </c>
      <c r="AE139" s="148">
        <f>SUBTOTAL(109,Vertailu[Suoritusrahoitus 2025, €])</f>
        <v>412755002</v>
      </c>
      <c r="AF139" s="99">
        <f>SUBTOTAL(109,Vertailu[Suoritusrahoituksen muutos, €])</f>
        <v>-17163046</v>
      </c>
      <c r="AG139" s="152">
        <f>IFERROR(Vertailu[[#Totals],[Suoritusrahoituksen muutos, €]]/Vertailu[[#Totals],[Suoritusrahoitus 2024, €]],0)</f>
        <v>-3.9921668978176977E-2</v>
      </c>
      <c r="AH139" s="147">
        <f>SUBTOTAL(109,Vertailu[Vaikuttavuusrahoitus 2024, €])</f>
        <v>214852343</v>
      </c>
      <c r="AI139" s="148">
        <f>SUBTOTAL(109,Vertailu[Vaikuttavuusrahoitus 2025, €])</f>
        <v>206376996</v>
      </c>
      <c r="AJ139" s="99">
        <f>SUBTOTAL(109,Vertailu[Vaikuttavuusrahoituksen muutos, €])</f>
        <v>-8475347</v>
      </c>
      <c r="AK139" s="152">
        <f>IFERROR(Vertailu[[#Totals],[Vaikuttavuusrahoituksen muutos, €]]/Vertailu[[#Totals],[Vaikuttavuusrahoitus 2024, €]],0)</f>
        <v>-3.9447310099848434E-2</v>
      </c>
    </row>
    <row r="140" spans="1:37" x14ac:dyDescent="0.25">
      <c r="A140"/>
      <c r="B140"/>
      <c r="C140"/>
      <c r="D140"/>
      <c r="E140" s="300" t="s">
        <v>568</v>
      </c>
      <c r="F140" s="300"/>
      <c r="G140" s="300"/>
      <c r="H140" s="300"/>
      <c r="I140" s="300"/>
      <c r="J140" s="300"/>
      <c r="K140" s="300"/>
      <c r="L140" s="300"/>
      <c r="M140" s="300"/>
      <c r="N140"/>
      <c r="O140"/>
    </row>
    <row r="141" spans="1:37" x14ac:dyDescent="0.25">
      <c r="A141"/>
      <c r="B141"/>
      <c r="C141"/>
      <c r="D141"/>
      <c r="E141" s="301"/>
      <c r="F141" s="301"/>
      <c r="G141" s="301"/>
      <c r="H141" s="301"/>
      <c r="I141" s="301"/>
      <c r="J141" s="301"/>
      <c r="K141" s="301"/>
      <c r="L141" s="301"/>
      <c r="M141" s="301"/>
      <c r="P141" s="16"/>
      <c r="Q141" s="16"/>
    </row>
    <row r="142" spans="1:37" x14ac:dyDescent="0.25">
      <c r="A142"/>
      <c r="B142"/>
      <c r="C142"/>
      <c r="D142"/>
      <c r="E142"/>
      <c r="F142"/>
      <c r="G142"/>
      <c r="H142"/>
      <c r="I142"/>
      <c r="J142"/>
      <c r="K142"/>
      <c r="L142" s="144"/>
      <c r="M142" s="144"/>
      <c r="N142"/>
      <c r="O142"/>
    </row>
    <row r="143" spans="1:37" x14ac:dyDescent="0.25">
      <c r="A143"/>
      <c r="B143"/>
      <c r="C143"/>
      <c r="D143"/>
      <c r="E143"/>
      <c r="F143"/>
      <c r="G143"/>
      <c r="H143"/>
      <c r="I143"/>
      <c r="J143"/>
      <c r="K143"/>
      <c r="L143" s="144"/>
      <c r="M143" s="144"/>
      <c r="N143"/>
      <c r="O143"/>
    </row>
    <row r="144" spans="1:37" x14ac:dyDescent="0.25">
      <c r="A144"/>
      <c r="B144"/>
      <c r="C144"/>
      <c r="D144"/>
      <c r="E144"/>
      <c r="F144"/>
      <c r="G144"/>
      <c r="H144"/>
      <c r="I144"/>
      <c r="J144"/>
      <c r="K144"/>
      <c r="L144" s="144"/>
      <c r="M144" s="144"/>
      <c r="N144"/>
      <c r="O144"/>
    </row>
    <row r="145" spans="12:13" customFormat="1" x14ac:dyDescent="0.25">
      <c r="L145" s="144"/>
      <c r="M145" s="144"/>
    </row>
    <row r="146" spans="12:13" customFormat="1" x14ac:dyDescent="0.25">
      <c r="L146" s="144"/>
      <c r="M146" s="144"/>
    </row>
    <row r="147" spans="12:13" customFormat="1" x14ac:dyDescent="0.25">
      <c r="L147" s="144"/>
      <c r="M147" s="144"/>
    </row>
    <row r="148" spans="12:13" customFormat="1" x14ac:dyDescent="0.25">
      <c r="L148" s="144"/>
      <c r="M148" s="144"/>
    </row>
    <row r="149" spans="12:13" customFormat="1" x14ac:dyDescent="0.25">
      <c r="L149" s="144"/>
      <c r="M149" s="144"/>
    </row>
    <row r="150" spans="12:13" customFormat="1" x14ac:dyDescent="0.25">
      <c r="L150" s="144"/>
      <c r="M150" s="144"/>
    </row>
    <row r="151" spans="12:13" customFormat="1" x14ac:dyDescent="0.25">
      <c r="L151" s="144"/>
      <c r="M151" s="144"/>
    </row>
    <row r="152" spans="12:13" customFormat="1" x14ac:dyDescent="0.25">
      <c r="L152" s="144"/>
      <c r="M152" s="144"/>
    </row>
    <row r="153" spans="12:13" customFormat="1" x14ac:dyDescent="0.25">
      <c r="L153" s="144"/>
      <c r="M153" s="144"/>
    </row>
    <row r="154" spans="12:13" customFormat="1" x14ac:dyDescent="0.25">
      <c r="L154" s="144"/>
      <c r="M154" s="144"/>
    </row>
    <row r="155" spans="12:13" customFormat="1" x14ac:dyDescent="0.25">
      <c r="L155" s="144"/>
      <c r="M155" s="144"/>
    </row>
    <row r="156" spans="12:13" customFormat="1" x14ac:dyDescent="0.25">
      <c r="L156" s="144"/>
      <c r="M156" s="144"/>
    </row>
    <row r="157" spans="12:13" customFormat="1" x14ac:dyDescent="0.25">
      <c r="L157" s="144"/>
      <c r="M157" s="144"/>
    </row>
    <row r="158" spans="12:13" customFormat="1" x14ac:dyDescent="0.25">
      <c r="L158" s="144"/>
      <c r="M158" s="144"/>
    </row>
    <row r="159" spans="12:13" customFormat="1" x14ac:dyDescent="0.25">
      <c r="L159" s="144"/>
      <c r="M159" s="144"/>
    </row>
    <row r="160" spans="12:13" customFormat="1" x14ac:dyDescent="0.25">
      <c r="L160" s="144"/>
      <c r="M160" s="144"/>
    </row>
    <row r="161" spans="12:13" customFormat="1" x14ac:dyDescent="0.25">
      <c r="L161" s="144"/>
      <c r="M161" s="144"/>
    </row>
    <row r="162" spans="12:13" customFormat="1" x14ac:dyDescent="0.25">
      <c r="L162" s="144"/>
      <c r="M162" s="144"/>
    </row>
    <row r="163" spans="12:13" customFormat="1" x14ac:dyDescent="0.25">
      <c r="L163" s="144"/>
      <c r="M163" s="144"/>
    </row>
    <row r="164" spans="12:13" customFormat="1" x14ac:dyDescent="0.25">
      <c r="L164" s="144"/>
      <c r="M164" s="144"/>
    </row>
    <row r="165" spans="12:13" customFormat="1" x14ac:dyDescent="0.25">
      <c r="L165" s="144"/>
      <c r="M165" s="144"/>
    </row>
    <row r="166" spans="12:13" customFormat="1" x14ac:dyDescent="0.25">
      <c r="L166" s="144"/>
      <c r="M166" s="144"/>
    </row>
    <row r="167" spans="12:13" customFormat="1" x14ac:dyDescent="0.25">
      <c r="L167" s="144"/>
      <c r="M167" s="144"/>
    </row>
    <row r="168" spans="12:13" customFormat="1" x14ac:dyDescent="0.25">
      <c r="L168" s="144"/>
      <c r="M168" s="144"/>
    </row>
    <row r="169" spans="12:13" customFormat="1" x14ac:dyDescent="0.25">
      <c r="L169" s="144"/>
      <c r="M169" s="144"/>
    </row>
    <row r="170" spans="12:13" customFormat="1" x14ac:dyDescent="0.25">
      <c r="L170" s="144"/>
      <c r="M170" s="144"/>
    </row>
    <row r="171" spans="12:13" customFormat="1" x14ac:dyDescent="0.25">
      <c r="L171" s="144"/>
      <c r="M171" s="144"/>
    </row>
    <row r="172" spans="12:13" customFormat="1" x14ac:dyDescent="0.25">
      <c r="L172" s="144"/>
      <c r="M172" s="144"/>
    </row>
    <row r="173" spans="12:13" customFormat="1" x14ac:dyDescent="0.25">
      <c r="L173" s="144"/>
      <c r="M173" s="144"/>
    </row>
    <row r="174" spans="12:13" customFormat="1" x14ac:dyDescent="0.25">
      <c r="L174" s="144"/>
      <c r="M174" s="144"/>
    </row>
    <row r="175" spans="12:13" customFormat="1" x14ac:dyDescent="0.25">
      <c r="L175" s="144"/>
      <c r="M175" s="144"/>
    </row>
    <row r="176" spans="12:13" customFormat="1" x14ac:dyDescent="0.25">
      <c r="L176" s="144"/>
      <c r="M176" s="144"/>
    </row>
    <row r="177" spans="12:13" customFormat="1" x14ac:dyDescent="0.25">
      <c r="L177" s="144"/>
      <c r="M177" s="144"/>
    </row>
    <row r="178" spans="12:13" customFormat="1" x14ac:dyDescent="0.25">
      <c r="L178" s="144"/>
      <c r="M178" s="144"/>
    </row>
    <row r="179" spans="12:13" customFormat="1" x14ac:dyDescent="0.25">
      <c r="L179" s="144"/>
      <c r="M179" s="144"/>
    </row>
    <row r="180" spans="12:13" customFormat="1" x14ac:dyDescent="0.25">
      <c r="L180" s="144"/>
      <c r="M180" s="144"/>
    </row>
    <row r="181" spans="12:13" customFormat="1" x14ac:dyDescent="0.25">
      <c r="L181" s="144"/>
      <c r="M181" s="144"/>
    </row>
    <row r="182" spans="12:13" customFormat="1" x14ac:dyDescent="0.25">
      <c r="L182" s="144"/>
      <c r="M182" s="144"/>
    </row>
    <row r="183" spans="12:13" customFormat="1" x14ac:dyDescent="0.25">
      <c r="L183" s="144"/>
      <c r="M183" s="144"/>
    </row>
    <row r="184" spans="12:13" customFormat="1" x14ac:dyDescent="0.25">
      <c r="L184" s="144"/>
      <c r="M184" s="144"/>
    </row>
    <row r="185" spans="12:13" customFormat="1" x14ac:dyDescent="0.25">
      <c r="L185" s="144"/>
      <c r="M185" s="144"/>
    </row>
    <row r="186" spans="12:13" customFormat="1" x14ac:dyDescent="0.25">
      <c r="L186" s="144"/>
      <c r="M186" s="144"/>
    </row>
    <row r="187" spans="12:13" customFormat="1" x14ac:dyDescent="0.25">
      <c r="L187" s="144"/>
      <c r="M187" s="144"/>
    </row>
    <row r="188" spans="12:13" customFormat="1" x14ac:dyDescent="0.25">
      <c r="L188" s="144"/>
      <c r="M188" s="144"/>
    </row>
    <row r="189" spans="12:13" customFormat="1" x14ac:dyDescent="0.25">
      <c r="L189" s="144"/>
      <c r="M189" s="144"/>
    </row>
    <row r="190" spans="12:13" customFormat="1" x14ac:dyDescent="0.25">
      <c r="L190" s="144"/>
      <c r="M190" s="144"/>
    </row>
    <row r="191" spans="12:13" customFormat="1" x14ac:dyDescent="0.25">
      <c r="L191" s="144"/>
      <c r="M191" s="144"/>
    </row>
    <row r="192" spans="12:13" customFormat="1" x14ac:dyDescent="0.25">
      <c r="L192" s="144"/>
      <c r="M192" s="144"/>
    </row>
    <row r="193" spans="1:15" x14ac:dyDescent="0.25">
      <c r="A193"/>
      <c r="B193"/>
      <c r="C193"/>
      <c r="D193"/>
      <c r="E193"/>
      <c r="F193"/>
      <c r="G193"/>
      <c r="H193"/>
      <c r="I193"/>
      <c r="J193"/>
      <c r="K193"/>
      <c r="L193" s="144"/>
      <c r="M193" s="144"/>
      <c r="N193"/>
      <c r="O193"/>
    </row>
    <row r="194" spans="1:15" x14ac:dyDescent="0.25">
      <c r="A194"/>
      <c r="B194"/>
      <c r="C194"/>
      <c r="D194"/>
      <c r="E194"/>
      <c r="F194"/>
      <c r="G194"/>
      <c r="H194"/>
      <c r="I194"/>
      <c r="J194"/>
      <c r="K194"/>
      <c r="L194" s="144"/>
      <c r="M194" s="144"/>
      <c r="N194"/>
      <c r="O194"/>
    </row>
    <row r="195" spans="1:15" x14ac:dyDescent="0.25">
      <c r="K195"/>
      <c r="L195" s="144"/>
      <c r="M195" s="144"/>
    </row>
    <row r="196" spans="1:15" x14ac:dyDescent="0.25">
      <c r="K196"/>
      <c r="L196" s="144"/>
      <c r="M196" s="144"/>
    </row>
    <row r="197" spans="1:15" x14ac:dyDescent="0.25">
      <c r="K197"/>
      <c r="L197" s="144"/>
      <c r="M197" s="144"/>
    </row>
    <row r="198" spans="1:15" x14ac:dyDescent="0.25">
      <c r="K198"/>
      <c r="L198" s="144"/>
      <c r="M198" s="144"/>
    </row>
    <row r="199" spans="1:15" x14ac:dyDescent="0.25">
      <c r="K199"/>
      <c r="L199" s="144"/>
      <c r="M199" s="144"/>
    </row>
    <row r="200" spans="1:15" x14ac:dyDescent="0.25">
      <c r="K200"/>
      <c r="L200" s="144"/>
      <c r="M200" s="144"/>
    </row>
    <row r="201" spans="1:15" x14ac:dyDescent="0.25">
      <c r="K201"/>
      <c r="L201" s="144"/>
      <c r="M201" s="144"/>
    </row>
    <row r="202" spans="1:15" x14ac:dyDescent="0.25">
      <c r="K202"/>
      <c r="L202" s="144"/>
      <c r="M202" s="144"/>
    </row>
    <row r="203" spans="1:15" x14ac:dyDescent="0.25">
      <c r="K203"/>
      <c r="L203" s="144"/>
      <c r="M203" s="144"/>
    </row>
    <row r="204" spans="1:15" x14ac:dyDescent="0.25">
      <c r="K204"/>
      <c r="L204" s="144"/>
      <c r="M204" s="144"/>
    </row>
    <row r="205" spans="1:15" x14ac:dyDescent="0.25">
      <c r="K205"/>
      <c r="L205" s="144"/>
      <c r="M205" s="144"/>
    </row>
    <row r="206" spans="1:15" x14ac:dyDescent="0.25">
      <c r="K206"/>
      <c r="L206" s="144"/>
      <c r="M206" s="144"/>
    </row>
    <row r="207" spans="1:15" x14ac:dyDescent="0.25">
      <c r="K207"/>
      <c r="L207" s="144"/>
      <c r="M207" s="144"/>
    </row>
    <row r="208" spans="1:15" x14ac:dyDescent="0.25">
      <c r="K208"/>
      <c r="L208" s="144"/>
      <c r="M208" s="144"/>
    </row>
    <row r="209" spans="11:13" x14ac:dyDescent="0.25">
      <c r="K209"/>
      <c r="L209" s="144"/>
      <c r="M209" s="144"/>
    </row>
  </sheetData>
  <sortState xmlns:xlrd2="http://schemas.microsoft.com/office/spreadsheetml/2017/richdata2" ref="H176:H216">
    <sortCondition ref="H176"/>
  </sortState>
  <mergeCells count="14">
    <mergeCell ref="E140:M141"/>
    <mergeCell ref="Z2:AE2"/>
    <mergeCell ref="A2:B4"/>
    <mergeCell ref="E2:K2"/>
    <mergeCell ref="E4:F4"/>
    <mergeCell ref="AH2:AK2"/>
    <mergeCell ref="AH3:AK4"/>
    <mergeCell ref="H4:M4"/>
    <mergeCell ref="Z3:AC4"/>
    <mergeCell ref="AD3:AG4"/>
    <mergeCell ref="N3:Q4"/>
    <mergeCell ref="R3:U4"/>
    <mergeCell ref="V3:Y4"/>
    <mergeCell ref="N2:Q2"/>
  </mergeCells>
  <phoneticPr fontId="2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8">
    <tabColor theme="4" tint="0.59999389629810485"/>
  </sheetPr>
  <dimension ref="A1:DU28"/>
  <sheetViews>
    <sheetView zoomScale="90" zoomScaleNormal="9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A2" sqref="A2:B4"/>
    </sheetView>
  </sheetViews>
  <sheetFormatPr defaultColWidth="9.140625" defaultRowHeight="12.75" x14ac:dyDescent="0.2"/>
  <cols>
    <col min="1" max="1" width="22.7109375" style="16" customWidth="1"/>
    <col min="2" max="2" width="13.28515625" style="16" customWidth="1"/>
    <col min="3" max="5" width="0" style="16" hidden="1" customWidth="1"/>
    <col min="6" max="6" width="16.7109375" style="16" customWidth="1"/>
    <col min="7" max="10" width="10.28515625" style="16" customWidth="1"/>
    <col min="11" max="11" width="12.28515625" style="16" customWidth="1"/>
    <col min="12" max="13" width="10.28515625" style="16" customWidth="1"/>
    <col min="14" max="14" width="12.28515625" style="16" customWidth="1"/>
    <col min="15" max="16" width="10.28515625" style="16" customWidth="1"/>
    <col min="17" max="17" width="12.28515625" style="16" customWidth="1"/>
    <col min="18" max="19" width="10.28515625" style="16" customWidth="1"/>
    <col min="20" max="20" width="12.28515625" style="16" customWidth="1"/>
    <col min="21" max="22" width="10.28515625" style="16" customWidth="1"/>
    <col min="23" max="29" width="12.28515625" style="16" customWidth="1"/>
    <col min="30" max="30" width="10.28515625" style="16" customWidth="1"/>
    <col min="31" max="31" width="15.42578125" style="16" customWidth="1"/>
    <col min="32" max="37" width="18.7109375" style="16" customWidth="1"/>
    <col min="38" max="41" width="25.5703125" style="16" customWidth="1"/>
    <col min="42" max="50" width="13.140625" style="16" customWidth="1"/>
    <col min="51" max="52" width="25.5703125" style="16" customWidth="1"/>
    <col min="53" max="54" width="13.140625" style="16" customWidth="1"/>
    <col min="55" max="125" width="9.140625" style="3"/>
    <col min="126" max="16384" width="9.140625" style="16"/>
  </cols>
  <sheetData>
    <row r="1" spans="1:54" x14ac:dyDescent="0.2">
      <c r="A1" s="305" t="s">
        <v>351</v>
      </c>
      <c r="F1" s="90"/>
    </row>
    <row r="2" spans="1:54" ht="53.25" customHeight="1" x14ac:dyDescent="0.2">
      <c r="A2" s="282" t="s">
        <v>463</v>
      </c>
      <c r="B2" s="282"/>
      <c r="C2" s="69"/>
      <c r="D2" s="69"/>
      <c r="E2" s="69"/>
      <c r="F2" s="256" t="s">
        <v>558</v>
      </c>
      <c r="G2" s="257"/>
      <c r="H2" s="257"/>
      <c r="I2" s="257"/>
      <c r="J2" s="286"/>
      <c r="K2" s="286"/>
      <c r="L2" s="286"/>
      <c r="M2" s="286"/>
      <c r="N2" s="286"/>
      <c r="O2" s="287"/>
      <c r="P2" s="287"/>
      <c r="Q2" s="287"/>
      <c r="R2" s="287"/>
      <c r="S2" s="287"/>
      <c r="T2" s="287"/>
      <c r="U2" s="287"/>
      <c r="V2" s="287"/>
      <c r="W2" s="287"/>
      <c r="X2" s="215"/>
      <c r="Y2" s="215"/>
      <c r="Z2" s="215"/>
      <c r="AA2" s="215"/>
      <c r="AB2" s="215"/>
      <c r="AC2" s="215"/>
      <c r="AD2" s="286"/>
      <c r="AE2" s="288"/>
      <c r="AF2" s="291" t="s">
        <v>566</v>
      </c>
      <c r="AG2" s="291"/>
      <c r="AH2" s="291"/>
      <c r="AI2" s="291"/>
      <c r="AJ2" s="291"/>
      <c r="AK2" s="292"/>
      <c r="AL2" s="241" t="s">
        <v>567</v>
      </c>
      <c r="AM2" s="242"/>
      <c r="AN2" s="242"/>
      <c r="AO2" s="243"/>
      <c r="AP2" s="280" t="s">
        <v>569</v>
      </c>
      <c r="AQ2" s="281"/>
      <c r="AR2" s="281"/>
      <c r="AS2" s="281"/>
      <c r="AT2" s="281"/>
      <c r="AU2" s="281"/>
      <c r="AV2" s="281"/>
      <c r="AW2" s="281"/>
      <c r="AX2" s="281"/>
      <c r="AY2" s="277" t="s">
        <v>570</v>
      </c>
      <c r="AZ2" s="278"/>
      <c r="BA2" s="278"/>
      <c r="BB2" s="283"/>
    </row>
    <row r="3" spans="1:54" ht="15" customHeight="1" x14ac:dyDescent="0.2">
      <c r="A3" s="282"/>
      <c r="B3" s="282"/>
      <c r="C3" s="69"/>
      <c r="D3" s="69"/>
      <c r="E3" s="69"/>
      <c r="F3" s="258" t="s">
        <v>422</v>
      </c>
      <c r="G3" s="259"/>
      <c r="H3" s="259"/>
      <c r="I3" s="259"/>
      <c r="J3" s="259"/>
      <c r="K3" s="260"/>
      <c r="L3" s="258" t="s">
        <v>150</v>
      </c>
      <c r="M3" s="259"/>
      <c r="N3" s="260"/>
      <c r="O3" s="264" t="s">
        <v>328</v>
      </c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89"/>
      <c r="AD3" s="258" t="s">
        <v>13</v>
      </c>
      <c r="AE3" s="259"/>
      <c r="AF3" s="252" t="s">
        <v>514</v>
      </c>
      <c r="AG3" s="294" t="s">
        <v>515</v>
      </c>
      <c r="AH3" s="294" t="s">
        <v>516</v>
      </c>
      <c r="AI3" s="294" t="s">
        <v>542</v>
      </c>
      <c r="AJ3" s="294" t="s">
        <v>540</v>
      </c>
      <c r="AK3" s="248" t="s">
        <v>541</v>
      </c>
      <c r="AL3" s="246" t="s">
        <v>360</v>
      </c>
      <c r="AM3" s="244" t="s">
        <v>361</v>
      </c>
      <c r="AN3" s="245" t="s">
        <v>362</v>
      </c>
      <c r="AO3" s="247" t="s">
        <v>421</v>
      </c>
      <c r="AP3" s="26"/>
      <c r="AQ3" s="30"/>
      <c r="AR3" s="40"/>
      <c r="AS3" s="27"/>
      <c r="AT3" s="27"/>
      <c r="AU3" s="27"/>
      <c r="AV3" s="27"/>
      <c r="AW3" s="27"/>
      <c r="AX3" s="27"/>
      <c r="AY3" s="274" t="s">
        <v>551</v>
      </c>
      <c r="AZ3" s="275"/>
      <c r="BA3" s="275"/>
      <c r="BB3" s="276"/>
    </row>
    <row r="4" spans="1:54" ht="29.45" customHeight="1" x14ac:dyDescent="0.2">
      <c r="A4" s="282"/>
      <c r="B4" s="282"/>
      <c r="C4" s="69"/>
      <c r="D4" s="69"/>
      <c r="E4" s="69"/>
      <c r="F4" s="253" t="s">
        <v>162</v>
      </c>
      <c r="G4" s="254"/>
      <c r="H4" s="254"/>
      <c r="I4" s="254"/>
      <c r="J4" s="254"/>
      <c r="K4" s="255"/>
      <c r="L4" s="249" t="s">
        <v>163</v>
      </c>
      <c r="M4" s="250"/>
      <c r="N4" s="251"/>
      <c r="O4" s="249" t="s">
        <v>164</v>
      </c>
      <c r="P4" s="250"/>
      <c r="Q4" s="251"/>
      <c r="R4" s="249" t="s">
        <v>165</v>
      </c>
      <c r="S4" s="250"/>
      <c r="T4" s="251"/>
      <c r="U4" s="249" t="s">
        <v>329</v>
      </c>
      <c r="V4" s="250"/>
      <c r="W4" s="250"/>
      <c r="X4" s="249" t="s">
        <v>502</v>
      </c>
      <c r="Y4" s="250"/>
      <c r="Z4" s="251"/>
      <c r="AA4" s="250" t="s">
        <v>503</v>
      </c>
      <c r="AB4" s="250"/>
      <c r="AC4" s="251"/>
      <c r="AD4" s="249" t="s">
        <v>504</v>
      </c>
      <c r="AE4" s="250"/>
      <c r="AF4" s="252"/>
      <c r="AG4" s="294"/>
      <c r="AH4" s="294"/>
      <c r="AI4" s="294"/>
      <c r="AJ4" s="294"/>
      <c r="AK4" s="248"/>
      <c r="AL4" s="246"/>
      <c r="AM4" s="244"/>
      <c r="AN4" s="245"/>
      <c r="AO4" s="247"/>
      <c r="AP4" s="271" t="s">
        <v>422</v>
      </c>
      <c r="AQ4" s="273"/>
      <c r="AR4" s="40"/>
      <c r="AS4" s="272" t="s">
        <v>328</v>
      </c>
      <c r="AT4" s="272"/>
      <c r="AU4" s="272"/>
      <c r="AV4" s="272"/>
      <c r="AW4" s="272"/>
      <c r="AX4" s="272"/>
      <c r="AY4" s="274"/>
      <c r="AZ4" s="275"/>
      <c r="BA4" s="275"/>
      <c r="BB4" s="276"/>
    </row>
    <row r="5" spans="1:54" ht="50.25" customHeight="1" x14ac:dyDescent="0.2">
      <c r="A5" s="23" t="s">
        <v>333</v>
      </c>
      <c r="B5" s="111" t="s">
        <v>349</v>
      </c>
      <c r="C5" s="25" t="s">
        <v>348</v>
      </c>
      <c r="D5" s="25" t="s">
        <v>347</v>
      </c>
      <c r="E5" s="25" t="s">
        <v>350</v>
      </c>
      <c r="F5" s="70" t="s">
        <v>367</v>
      </c>
      <c r="G5" s="19" t="s">
        <v>170</v>
      </c>
      <c r="H5" s="18" t="s">
        <v>346</v>
      </c>
      <c r="I5" s="18" t="s">
        <v>169</v>
      </c>
      <c r="J5" s="18" t="s">
        <v>157</v>
      </c>
      <c r="K5" s="18" t="s">
        <v>425</v>
      </c>
      <c r="L5" s="20" t="s">
        <v>158</v>
      </c>
      <c r="M5" s="18" t="s">
        <v>159</v>
      </c>
      <c r="N5" s="22" t="s">
        <v>426</v>
      </c>
      <c r="O5" s="20" t="s">
        <v>160</v>
      </c>
      <c r="P5" s="18" t="s">
        <v>161</v>
      </c>
      <c r="Q5" s="21" t="s">
        <v>427</v>
      </c>
      <c r="R5" s="20" t="s">
        <v>166</v>
      </c>
      <c r="S5" s="18" t="s">
        <v>167</v>
      </c>
      <c r="T5" s="22" t="s">
        <v>428</v>
      </c>
      <c r="U5" s="20" t="s">
        <v>173</v>
      </c>
      <c r="V5" s="18" t="s">
        <v>172</v>
      </c>
      <c r="W5" s="18" t="s">
        <v>429</v>
      </c>
      <c r="X5" s="20" t="s">
        <v>505</v>
      </c>
      <c r="Y5" s="18" t="s">
        <v>168</v>
      </c>
      <c r="Z5" s="22" t="s">
        <v>430</v>
      </c>
      <c r="AA5" s="21" t="s">
        <v>520</v>
      </c>
      <c r="AB5" s="18" t="s">
        <v>506</v>
      </c>
      <c r="AC5" s="169" t="s">
        <v>507</v>
      </c>
      <c r="AD5" s="20" t="s">
        <v>508</v>
      </c>
      <c r="AE5" s="21" t="s">
        <v>509</v>
      </c>
      <c r="AF5" s="306" t="s">
        <v>560</v>
      </c>
      <c r="AG5" s="290" t="s">
        <v>561</v>
      </c>
      <c r="AH5" s="290" t="s">
        <v>562</v>
      </c>
      <c r="AI5" s="290" t="s">
        <v>563</v>
      </c>
      <c r="AJ5" s="290" t="s">
        <v>564</v>
      </c>
      <c r="AK5" s="290" t="s">
        <v>565</v>
      </c>
      <c r="AL5" s="102" t="s">
        <v>418</v>
      </c>
      <c r="AM5" s="102" t="s">
        <v>363</v>
      </c>
      <c r="AN5" s="102" t="s">
        <v>364</v>
      </c>
      <c r="AO5" s="98" t="s">
        <v>365</v>
      </c>
      <c r="AP5" s="28" t="s">
        <v>423</v>
      </c>
      <c r="AQ5" s="29" t="s">
        <v>424</v>
      </c>
      <c r="AR5" s="41" t="s">
        <v>334</v>
      </c>
      <c r="AS5" s="29" t="s">
        <v>335</v>
      </c>
      <c r="AT5" s="39" t="s">
        <v>336</v>
      </c>
      <c r="AU5" s="39" t="s">
        <v>337</v>
      </c>
      <c r="AV5" s="39" t="s">
        <v>338</v>
      </c>
      <c r="AW5" s="39" t="s">
        <v>517</v>
      </c>
      <c r="AX5" s="39" t="s">
        <v>518</v>
      </c>
      <c r="AY5" s="31" t="s">
        <v>535</v>
      </c>
      <c r="AZ5" s="98" t="s">
        <v>545</v>
      </c>
      <c r="BA5" s="31" t="s">
        <v>370</v>
      </c>
      <c r="BB5" s="32" t="s">
        <v>371</v>
      </c>
    </row>
    <row r="6" spans="1:54" x14ac:dyDescent="0.2">
      <c r="A6" s="16" t="s">
        <v>312</v>
      </c>
      <c r="B6" s="16">
        <f>COUNTIF(Ohj.lask.[Maakunta],Maakunt.[[#This Row],[Maakunta]])</f>
        <v>1</v>
      </c>
      <c r="C6" s="16">
        <f>COUNTIFS(Ohj.lask.[Maakunta],Maakunt.[[#This Row],[Maakunta]],Ohj.lask.[Omistajatyyppi],"=yksityinen")</f>
        <v>0</v>
      </c>
      <c r="D6" s="16">
        <f>COUNTIFS(Ohj.lask.[Maakunta],Maakunt.[[#This Row],[Maakunta]],Ohj.lask.[Omistajatyyppi],"=kunta")</f>
        <v>0</v>
      </c>
      <c r="E6" s="16">
        <f>COUNTIFS(Ohj.lask.[Maakunta],Maakunt.[[#This Row],[Maakunta]],Ohj.lask.[Omistajatyyppi],"=kuntayhtymä")</f>
        <v>1</v>
      </c>
      <c r="F6" s="12">
        <f>SUMIF(Ohj.lask.[Maakunta],Maakunt.[[#This Row],[Maakunta]],Ohj.lask.[Järjestämisluvan opisk.vuosien vähimmäismäärä (ei noudateta 2025)])</f>
        <v>2885</v>
      </c>
      <c r="G6" s="11">
        <f>SUMIF(Ohj.lask.[Maakunta],Maakunt.[[#This Row],[Maakunta]],Ohj.lask.[Tavoitteelliset opiskelija-vuodet])</f>
        <v>2692</v>
      </c>
      <c r="H6" s="73">
        <f>Maakunt.[[#This Row],[Painotetut opiskelija-vuodet]]/Maakunt.[[#This Row],[Tavoitteelliset opiske-lijavuodet]]</f>
        <v>1.111961367013373</v>
      </c>
      <c r="I6" s="74">
        <f>SUMIF(Ohj.lask.[Maakunta],Maakunt.[[#This Row],[Maakunta]],Ohj.lask.[Painotetut opiskelija-vuodet])</f>
        <v>2993.4</v>
      </c>
      <c r="J6" s="10">
        <f>SUMIF(Ohj.lask.[Maakunta],Maakunt.[[#This Row],[Maakunta]],Ohj.lask.[%-osuus 1])</f>
        <v>1.4536289735147577E-2</v>
      </c>
      <c r="K6" s="11">
        <f>SUMIF(Ohj.lask.[Maakunta],Maakunt.[[#This Row],[Maakunta]],Ohj.lask.[Jaettava € 1])</f>
        <v>20666200</v>
      </c>
      <c r="L6" s="12">
        <f>SUMIF(Ohj.lask.[Maakunta],Maakunt.[[#This Row],[Maakunta]],Ohj.lask.[Painotetut pisteet 2])</f>
        <v>264438.40000000002</v>
      </c>
      <c r="M6" s="10">
        <f>SUMIF(Ohj.lask.[Maakunta],Maakunt.[[#This Row],[Maakunta]],Ohj.lask.[%-osuus 2])</f>
        <v>1.6789932207095654E-2</v>
      </c>
      <c r="N6" s="11">
        <f>SUMIF(Ohj.lask.[Maakunta],Maakunt.[[#This Row],[Maakunta]],Ohj.lask.[Jaettava € 2])</f>
        <v>6930128</v>
      </c>
      <c r="O6" s="12">
        <f>SUMIF(Ohj.lask.[Maakunta],Maakunt.[[#This Row],[Maakunta]],Ohj.lask.[Painotetut pisteet 3])</f>
        <v>5506.6</v>
      </c>
      <c r="P6" s="10">
        <f>SUMIF(Ohj.lask.[Maakunta],Maakunt.[[#This Row],[Maakunta]],Ohj.lask.[%-osuus 3])</f>
        <v>1.6314619191735144E-2</v>
      </c>
      <c r="Q6" s="11">
        <f>SUMIF(Ohj.lask.[Maakunta],Maakunt.[[#This Row],[Maakunta]],Ohj.lask.[Jaettava € 3])</f>
        <v>2356874</v>
      </c>
      <c r="R6" s="12">
        <f>SUMIF(Ohj.lask.[Maakunta],Maakunt.[[#This Row],[Maakunta]],Ohj.lask.[Painotetut pisteet 4])</f>
        <v>23100.5</v>
      </c>
      <c r="S6" s="10">
        <f>SUMIF(Ohj.lask.[Maakunta],Maakunt.[[#This Row],[Maakunta]],Ohj.lask.[%-osuus 4])</f>
        <v>1.3286460176538152E-2</v>
      </c>
      <c r="T6" s="11">
        <f>SUMIF(Ohj.lask.[Maakunta],Maakunt.[[#This Row],[Maakunta]],Ohj.lask.[Jaettava € 4])</f>
        <v>102826</v>
      </c>
      <c r="U6" s="12">
        <f>SUMIF(Ohj.lask.[Maakunta],Maakunt.[[#This Row],[Maakunta]],Ohj.lask.[Painotetut pisteet 5])</f>
        <v>207822.7</v>
      </c>
      <c r="V6" s="10">
        <f>SUMIF(Ohj.lask.[Maakunta],Maakunt.[[#This Row],[Maakunta]],Ohj.lask.[%-osuus 5])</f>
        <v>1.8728343775182045E-2</v>
      </c>
      <c r="W6" s="11">
        <f>SUMIF(Ohj.lask.[Maakunta],Maakunt.[[#This Row],[Maakunta]],Ohj.lask.[Jaettava € 5])</f>
        <v>434824</v>
      </c>
      <c r="X6" s="12">
        <f>SUMIF(Ohj.lask.[Maakunta],Maakunt.[[#This Row],[Maakunta]],Ohj.lask.[Painotetut pisteet 6])</f>
        <v>3250708.2</v>
      </c>
      <c r="Y6" s="10">
        <f>SUMIF(Ohj.lask.[Maakunta],Maakunt.[[#This Row],[Maakunta]],Ohj.lask.[%-osuus 6])</f>
        <v>9.4726762312280412E-3</v>
      </c>
      <c r="Z6" s="17">
        <f>SUMIF(Ohj.lask.[Maakunta],Maakunt.[[#This Row],[Maakunta]],Ohj.lask.[Jaettava € 6])</f>
        <v>219931</v>
      </c>
      <c r="AA6" s="11">
        <f>SUMIF(Ohj.lask.[Maakunta],Maakunt.[[#This Row],[Maakunta]],Ohj.lask.[Pisteet 7])</f>
        <v>2237169.5</v>
      </c>
      <c r="AB6" s="10">
        <f>SUMIF(Ohj.lask.[Maakunta],Maakunt.[[#This Row],[Maakunta]],Ohj.lask.[%-osuus 7])</f>
        <v>1.0931754862314616E-2</v>
      </c>
      <c r="AC6" s="11">
        <f>SUMIF(Ohj.lask.[Maakunta],Maakunt.[[#This Row],[Maakunta]],Ohj.lask.[Jaettava € 7])</f>
        <v>84602</v>
      </c>
      <c r="AD6" s="13">
        <f>SUMIF(Ohj.lask.[Maakunta],Maakunt.[[#This Row],[Maakunta]],Ohj.lask.[%-osuus 8])</f>
        <v>1.5089644921123262E-2</v>
      </c>
      <c r="AE6" s="11">
        <f>SUMIF(Ohj.lask.[Maakunta],Maakunt.[[#This Row],[Maakunta]],Ohj.lask.[Jaettava € 8])</f>
        <v>30795385</v>
      </c>
      <c r="AF6" s="12">
        <f>SUMIF(Ohj.lask.[Maakunta],Maakunt.[[#This Row],[Maakunta]],Ohj.lask.[Harkinnanvarainen korotus 1, €])</f>
        <v>0</v>
      </c>
      <c r="AG6" s="34">
        <f>SUMIF(Ohj.lask.[Maakunta],Maakunt.[[#This Row],[Maakunta]],Ohj.lask.[Harkinnanvarainen korotus 2, €])</f>
        <v>0</v>
      </c>
      <c r="AH6" s="34">
        <f>SUMIF(Ohj.lask.[Maakunta],Maakunt.[[#This Row],[Maakunta]],Ohj.lask.[Harkinnanvarainen korotus 3, €])</f>
        <v>0</v>
      </c>
      <c r="AI6" s="34">
        <f>SUMIF(Ohj.lask.[Maakunta],Maakunt.[[#This Row],[Maakunta]],Ohj.lask.[Harkinnanvarainen korotus 4, €])</f>
        <v>41000</v>
      </c>
      <c r="AJ6" s="34">
        <f>SUMIF(Ohj.lask.[Maakunta],Maakunt.[[#This Row],[Maakunta]],Ohj.lask.[Harkinnanvarainen korotus 5, €])</f>
        <v>0</v>
      </c>
      <c r="AK6" s="11">
        <f>SUMIF(Ohj.lask.[Maakunta],Maakunt.[[#This Row],[Maakunta]],Ohj.lask.[Harkinnanvarainen korotus yhteensä, €])</f>
        <v>41000</v>
      </c>
      <c r="AL6" s="12">
        <f>SUMIF(Ohj.lask.[Maakunta],Maakunt.[[#This Row],[Maakunta]],Ohj.lask.[Suoriteperusteinen (opiskelijavuosiin perustuva) sekä harkinnanvarainen korotus, €])</f>
        <v>20707200</v>
      </c>
      <c r="AM6" s="12">
        <f>SUMIF(Ohj.lask.[Maakunta],Maakunt.[[#This Row],[Maakunta]],Ohj.lask.[Suoritusrahoitus, €])</f>
        <v>6930128</v>
      </c>
      <c r="AN6" s="12">
        <f>SUMIF(Ohj.lask.[Maakunta],Maakunt.[[#This Row],[Maakunta]],Ohj.lask.[Työllistymiseen ja jatko-opintoihin siirtymiseen, opiskelijapalautteiseen sekä työelämäpalautteeseen perustuva, €])</f>
        <v>3199057</v>
      </c>
      <c r="AO6" s="34">
        <f>SUMIF(Ohj.lask.[Maakunta],Maakunt.[[#This Row],[Maakunta]],Ohj.lask.[Perus-, suoritus- ja vaikuttavuusrahoitus yhteensä, €])</f>
        <v>30836385</v>
      </c>
      <c r="AP6" s="13">
        <f>Maakunt.[[#This Row],[Jaettava € 1]]/Maakunt.[[#This Row],[Perus-, suoritus- ja vaikuttavuusrahoitus yhteensä, €]]</f>
        <v>0.67018880455669494</v>
      </c>
      <c r="AQ6" s="35">
        <f>Maakunt.[[#This Row],[Suoriteperusteinen (opiskelijavuosiin perustuva) sekä harkinnanvarainen korotus, €]]/Maakunt.[[#This Row],[Perus-, suoritus- ja vaikuttavuusrahoitus yhteensä, €]]</f>
        <v>0.67151840269214436</v>
      </c>
      <c r="AR6" s="42">
        <f>Maakunt.[[#This Row],[Suoritusrahoitus, €]]/Maakunt.[[#This Row],[Perus-, suoritus- ja vaikuttavuusrahoitus yhteensä, €]]</f>
        <v>0.22473866505428572</v>
      </c>
      <c r="AS6" s="10">
        <f>Maakunt.[[#This Row],[Työllistymiseen ja jatko-opintoihin siirtymiseen perustuva sekä opiskelija-palautteisiin perustuva, €]]/Maakunt.[[#This Row],[Perus-, suoritus- ja vaikuttavuusrahoitus yhteensä, €]]</f>
        <v>0.10374293225356992</v>
      </c>
      <c r="AT6" s="10">
        <f>SUMIF(Ohj.lask.[Maakunta],Maakunt.[[#This Row],[Maakunta]],Ohj.lask.[Jaettava € 3])/Maakunt.[[#This Row],[Perus-, suoritus- ja vaikuttavuusrahoitus yhteensä, €]]</f>
        <v>7.6431592094858072E-2</v>
      </c>
      <c r="AU6" s="10">
        <f>SUMIF(Ohj.lask.[Maakunta],Maakunt.[[#This Row],[Maakunta]],Ohj.lask.[Jaettava € 4])/Maakunt.[[#This Row],[Perus-, suoritus- ja vaikuttavuusrahoitus yhteensä, €]]</f>
        <v>3.3345672652614761E-3</v>
      </c>
      <c r="AV6" s="10">
        <f>SUMIF(Ohj.lask.[Maakunta],Maakunt.[[#This Row],[Maakunta]],Ohj.lask.[Jaettava € 5])/Maakunt.[[#This Row],[Perus-, suoritus- ja vaikuttavuusrahoitus yhteensä, €]]</f>
        <v>1.4101004381674441E-2</v>
      </c>
      <c r="AW6" s="10">
        <f>SUMIF(Ohj.lask.[Maakunta],Maakunt.[[#This Row],[Maakunta]],Ohj.lask.[Jaettava € 6])/Maakunt.[[#This Row],[Perus-, suoritus- ja vaikuttavuusrahoitus yhteensä, €]]</f>
        <v>7.132191403110319E-3</v>
      </c>
      <c r="AX6" s="10">
        <f>SUMIF(Ohj.lask.[Maakunta],Maakunt.[[#This Row],[Maakunta]],Ohj.lask.[Jaettava € 7])/Maakunt.[[#This Row],[Perus-, suoritus- ja vaikuttavuusrahoitus yhteensä, €]]</f>
        <v>2.7435771086656235E-3</v>
      </c>
      <c r="AY6" s="12">
        <f>SUMIF(Vertailu[Maakunta],Maakunt.[[#This Row],[Maakunta]],Vertailu[Rahoitus ml. hark. kor. 
2024 ilman alv, €])</f>
        <v>33892494</v>
      </c>
      <c r="AZ6" s="12">
        <f>SUMIF(Vertailu[Maakunta],Maakunt.[[#This Row],[Maakunta]],Vertailu[Rahoitus ml. hark. kor. 
2025 ilman alv, €])</f>
        <v>30836385</v>
      </c>
      <c r="BA6" s="12">
        <f>SUMIF(Vertailu[Maakunta],Maakunt.[[#This Row],[Maakunta]],Vertailu[Muutos, € 2])</f>
        <v>-3056109</v>
      </c>
      <c r="BB6" s="35">
        <f>IFERROR(Maakunt.[[#This Row],[Muutos, € 2]]/Maakunt.[[#This Row],[Rahoitus ml. hark. kor. 
2024 ilman alv, €]],0)</f>
        <v>-9.01706731879926E-2</v>
      </c>
    </row>
    <row r="7" spans="1:54" x14ac:dyDescent="0.2">
      <c r="A7" s="16" t="s">
        <v>200</v>
      </c>
      <c r="B7" s="16">
        <f>COUNTIF(Ohj.lask.[Maakunta],Maakunt.[[#This Row],[Maakunta]])</f>
        <v>6</v>
      </c>
      <c r="C7" s="16">
        <f>COUNTIFS(Ohj.lask.[Maakunta],Maakunt.[[#This Row],[Maakunta]],Ohj.lask.[Omistajatyyppi],"=yksityinen")</f>
        <v>3</v>
      </c>
      <c r="D7" s="16">
        <f>COUNTIFS(Ohj.lask.[Maakunta],Maakunt.[[#This Row],[Maakunta]],Ohj.lask.[Omistajatyyppi],"=kunta")</f>
        <v>0</v>
      </c>
      <c r="E7" s="16">
        <f>COUNTIFS(Ohj.lask.[Maakunta],Maakunt.[[#This Row],[Maakunta]],Ohj.lask.[Omistajatyyppi],"=kuntayhtymä")</f>
        <v>3</v>
      </c>
      <c r="F7" s="12">
        <f>SUMIF(Ohj.lask.[Maakunta],Maakunt.[[#This Row],[Maakunta]],Ohj.lask.[Järjestämisluvan opisk.vuosien vähimmäismäärä (ei noudateta 2025)])</f>
        <v>5902</v>
      </c>
      <c r="G7" s="11">
        <f>SUMIF(Ohj.lask.[Maakunta],Maakunt.[[#This Row],[Maakunta]],Ohj.lask.[Tavoitteelliset opiskelija-vuodet])</f>
        <v>6355</v>
      </c>
      <c r="H7" s="73">
        <f>Maakunt.[[#This Row],[Painotetut opiskelija-vuodet]]/Maakunt.[[#This Row],[Tavoitteelliset opiske-lijavuodet]]</f>
        <v>1.1555625491738788</v>
      </c>
      <c r="I7" s="74">
        <f>SUMIF(Ohj.lask.[Maakunta],Maakunt.[[#This Row],[Maakunta]],Ohj.lask.[Painotetut opiskelija-vuodet])</f>
        <v>7343.6</v>
      </c>
      <c r="J7" s="10">
        <f>SUMIF(Ohj.lask.[Maakunta],Maakunt.[[#This Row],[Maakunta]],Ohj.lask.[%-osuus 1])</f>
        <v>3.5661354078649614E-2</v>
      </c>
      <c r="K7" s="11">
        <f>SUMIF(Ohj.lask.[Maakunta],Maakunt.[[#This Row],[Maakunta]],Ohj.lask.[Jaettava € 1])</f>
        <v>50699640</v>
      </c>
      <c r="L7" s="12">
        <f>SUMIF(Ohj.lask.[Maakunta],Maakunt.[[#This Row],[Maakunta]],Ohj.lask.[Painotetut pisteet 2])</f>
        <v>588493.6</v>
      </c>
      <c r="M7" s="10">
        <f>SUMIF(Ohj.lask.[Maakunta],Maakunt.[[#This Row],[Maakunta]],Ohj.lask.[%-osuus 2])</f>
        <v>3.7365101469036516E-2</v>
      </c>
      <c r="N7" s="11">
        <f>SUMIF(Ohj.lask.[Maakunta],Maakunt.[[#This Row],[Maakunta]],Ohj.lask.[Jaettava € 2])</f>
        <v>15422633</v>
      </c>
      <c r="O7" s="12">
        <f>SUMIF(Ohj.lask.[Maakunta],Maakunt.[[#This Row],[Maakunta]],Ohj.lask.[Painotetut pisteet 3])</f>
        <v>13286.1</v>
      </c>
      <c r="P7" s="10">
        <f>SUMIF(Ohj.lask.[Maakunta],Maakunt.[[#This Row],[Maakunta]],Ohj.lask.[%-osuus 3])</f>
        <v>3.9363248110142794E-2</v>
      </c>
      <c r="Q7" s="11">
        <f>SUMIF(Ohj.lask.[Maakunta],Maakunt.[[#This Row],[Maakunta]],Ohj.lask.[Jaettava € 3])</f>
        <v>5686568</v>
      </c>
      <c r="R7" s="12">
        <f>SUMIF(Ohj.lask.[Maakunta],Maakunt.[[#This Row],[Maakunta]],Ohj.lask.[Painotetut pisteet 4])</f>
        <v>79569.2</v>
      </c>
      <c r="S7" s="10">
        <f>SUMIF(Ohj.lask.[Maakunta],Maakunt.[[#This Row],[Maakunta]],Ohj.lask.[%-osuus 4])</f>
        <v>4.5764940459254111E-2</v>
      </c>
      <c r="T7" s="11">
        <f>SUMIF(Ohj.lask.[Maakunta],Maakunt.[[#This Row],[Maakunta]],Ohj.lask.[Jaettava € 4])</f>
        <v>354181</v>
      </c>
      <c r="U7" s="12">
        <f>SUMIF(Ohj.lask.[Maakunta],Maakunt.[[#This Row],[Maakunta]],Ohj.lask.[Painotetut pisteet 5])</f>
        <v>487229.3</v>
      </c>
      <c r="V7" s="10">
        <f>SUMIF(Ohj.lask.[Maakunta],Maakunt.[[#This Row],[Maakunta]],Ohj.lask.[%-osuus 5])</f>
        <v>4.3907608878824611E-2</v>
      </c>
      <c r="W7" s="11">
        <f>SUMIF(Ohj.lask.[Maakunta],Maakunt.[[#This Row],[Maakunta]],Ohj.lask.[Jaettava € 5])</f>
        <v>1019421</v>
      </c>
      <c r="X7" s="12">
        <f>SUMIF(Ohj.lask.[Maakunta],Maakunt.[[#This Row],[Maakunta]],Ohj.lask.[Painotetut pisteet 6])</f>
        <v>13266578.799999999</v>
      </c>
      <c r="Y7" s="10">
        <f>SUMIF(Ohj.lask.[Maakunta],Maakunt.[[#This Row],[Maakunta]],Ohj.lask.[%-osuus 6])</f>
        <v>3.8659269899547988E-2</v>
      </c>
      <c r="Z7" s="17">
        <f>SUMIF(Ohj.lask.[Maakunta],Maakunt.[[#This Row],[Maakunta]],Ohj.lask.[Jaettava € 6])</f>
        <v>897568</v>
      </c>
      <c r="AA7" s="11">
        <f>SUMIF(Ohj.lask.[Maakunta],Maakunt.[[#This Row],[Maakunta]],Ohj.lask.[Pisteet 7])</f>
        <v>9049814</v>
      </c>
      <c r="AB7" s="10">
        <f>SUMIF(Ohj.lask.[Maakunta],Maakunt.[[#This Row],[Maakunta]],Ohj.lask.[%-osuus 7])</f>
        <v>4.4221212651765041E-2</v>
      </c>
      <c r="AC7" s="11">
        <f>SUMIF(Ohj.lask.[Maakunta],Maakunt.[[#This Row],[Maakunta]],Ohj.lask.[Jaettava € 7])</f>
        <v>342235</v>
      </c>
      <c r="AD7" s="13">
        <f>SUMIF(Ohj.lask.[Maakunta],Maakunt.[[#This Row],[Maakunta]],Ohj.lask.[%-osuus 8])</f>
        <v>3.6466674028348273E-2</v>
      </c>
      <c r="AE7" s="11">
        <f>SUMIF(Ohj.lask.[Maakunta],Maakunt.[[#This Row],[Maakunta]],Ohj.lask.[Jaettava € 8])</f>
        <v>74422246</v>
      </c>
      <c r="AF7" s="12">
        <f>SUMIF(Ohj.lask.[Maakunta],Maakunt.[[#This Row],[Maakunta]],Ohj.lask.[Harkinnanvarainen korotus 1, €])</f>
        <v>0</v>
      </c>
      <c r="AG7" s="34">
        <f>SUMIF(Ohj.lask.[Maakunta],Maakunt.[[#This Row],[Maakunta]],Ohj.lask.[Harkinnanvarainen korotus 2, €])</f>
        <v>0</v>
      </c>
      <c r="AH7" s="34">
        <f>SUMIF(Ohj.lask.[Maakunta],Maakunt.[[#This Row],[Maakunta]],Ohj.lask.[Harkinnanvarainen korotus 3, €])</f>
        <v>0</v>
      </c>
      <c r="AI7" s="34">
        <f>SUMIF(Ohj.lask.[Maakunta],Maakunt.[[#This Row],[Maakunta]],Ohj.lask.[Harkinnanvarainen korotus 4, €])</f>
        <v>79000</v>
      </c>
      <c r="AJ7" s="34">
        <f>SUMIF(Ohj.lask.[Maakunta],Maakunt.[[#This Row],[Maakunta]],Ohj.lask.[Harkinnanvarainen korotus 5, €])</f>
        <v>11000</v>
      </c>
      <c r="AK7" s="11">
        <f>SUMIF(Ohj.lask.[Maakunta],Maakunt.[[#This Row],[Maakunta]],Ohj.lask.[Harkinnanvarainen korotus yhteensä, €])</f>
        <v>90000</v>
      </c>
      <c r="AL7" s="12">
        <f>SUMIF(Ohj.lask.[Maakunta],Maakunt.[[#This Row],[Maakunta]],Ohj.lask.[Suoriteperusteinen (opiskelijavuosiin perustuva) sekä harkinnanvarainen korotus, €])</f>
        <v>50789640</v>
      </c>
      <c r="AM7" s="12">
        <f>SUMIF(Ohj.lask.[Maakunta],Maakunt.[[#This Row],[Maakunta]],Ohj.lask.[Suoritusrahoitus, €])</f>
        <v>15422633</v>
      </c>
      <c r="AN7" s="12">
        <f>SUMIF(Ohj.lask.[Maakunta],Maakunt.[[#This Row],[Maakunta]],Ohj.lask.[Työllistymiseen ja jatko-opintoihin siirtymiseen, opiskelijapalautteiseen sekä työelämäpalautteeseen perustuva, €])</f>
        <v>8299973</v>
      </c>
      <c r="AO7" s="34">
        <f>SUMIF(Ohj.lask.[Maakunta],Maakunt.[[#This Row],[Maakunta]],Ohj.lask.[Perus-, suoritus- ja vaikuttavuusrahoitus yhteensä, €])</f>
        <v>74512246</v>
      </c>
      <c r="AP7" s="13">
        <f>Maakunt.[[#This Row],[Jaettava € 1]]/Maakunt.[[#This Row],[Perus-, suoritus- ja vaikuttavuusrahoitus yhteensä, €]]</f>
        <v>0.68042023588981604</v>
      </c>
      <c r="AQ7" s="10">
        <f>Maakunt.[[#This Row],[Suoriteperusteinen (opiskelijavuosiin perustuva) sekä harkinnanvarainen korotus, €]]/Maakunt.[[#This Row],[Perus-, suoritus- ja vaikuttavuusrahoitus yhteensä, €]]</f>
        <v>0.68162809103888777</v>
      </c>
      <c r="AR7" s="42">
        <f>Maakunt.[[#This Row],[Suoritusrahoitus, €]]/Maakunt.[[#This Row],[Perus-, suoritus- ja vaikuttavuusrahoitus yhteensä, €]]</f>
        <v>0.20698118534770782</v>
      </c>
      <c r="AS7" s="10">
        <f>Maakunt.[[#This Row],[Työllistymiseen ja jatko-opintoihin siirtymiseen perustuva sekä opiskelija-palautteisiin perustuva, €]]/Maakunt.[[#This Row],[Perus-, suoritus- ja vaikuttavuusrahoitus yhteensä, €]]</f>
        <v>0.11139072361340444</v>
      </c>
      <c r="AT7" s="10">
        <f>SUMIF(Ohj.lask.[Maakunta],Maakunt.[[#This Row],[Maakunta]],Ohj.lask.[Jaettava € 3])/Maakunt.[[#This Row],[Perus-, suoritus- ja vaikuttavuusrahoitus yhteensä, €]]</f>
        <v>7.6317227103850818E-2</v>
      </c>
      <c r="AU7" s="10">
        <f>SUMIF(Ohj.lask.[Maakunta],Maakunt.[[#This Row],[Maakunta]],Ohj.lask.[Jaettava € 4])/Maakunt.[[#This Row],[Perus-, suoritus- ja vaikuttavuusrahoitus yhteensä, €]]</f>
        <v>4.7533260505930796E-3</v>
      </c>
      <c r="AV7" s="10">
        <f>SUMIF(Ohj.lask.[Maakunta],Maakunt.[[#This Row],[Maakunta]],Ohj.lask.[Jaettava € 5])/Maakunt.[[#This Row],[Perus-, suoritus- ja vaikuttavuusrahoitus yhteensä, €]]</f>
        <v>1.3681254488020668E-2</v>
      </c>
      <c r="AW7" s="10">
        <f>SUMIF(Ohj.lask.[Maakunta],Maakunt.[[#This Row],[Maakunta]],Ohj.lask.[Jaettava € 6])/Maakunt.[[#This Row],[Perus-, suoritus- ja vaikuttavuusrahoitus yhteensä, €]]</f>
        <v>1.2045912560466906E-2</v>
      </c>
      <c r="AX7" s="10">
        <f>SUMIF(Ohj.lask.[Maakunta],Maakunt.[[#This Row],[Maakunta]],Ohj.lask.[Jaettava € 7])/Maakunt.[[#This Row],[Perus-, suoritus- ja vaikuttavuusrahoitus yhteensä, €]]</f>
        <v>4.5930034104729577E-3</v>
      </c>
      <c r="AY7" s="12">
        <f>SUMIF(Vertailu[Maakunta],Maakunt.[[#This Row],[Maakunta]],Vertailu[Rahoitus ml. hark. kor. 
2024 ilman alv, €])</f>
        <v>79410235</v>
      </c>
      <c r="AZ7" s="12">
        <f>SUMIF(Vertailu[Maakunta],Maakunt.[[#This Row],[Maakunta]],Vertailu[Rahoitus ml. hark. kor. 
2025 ilman alv, €])</f>
        <v>74512246</v>
      </c>
      <c r="BA7" s="12">
        <f>SUMIF(Vertailu[Maakunta],Maakunt.[[#This Row],[Maakunta]],Vertailu[Muutos, € 2])</f>
        <v>-4897989</v>
      </c>
      <c r="BB7" s="35">
        <f>IFERROR(Maakunt.[[#This Row],[Muutos, € 2]]/Maakunt.[[#This Row],[Rahoitus ml. hark. kor. 
2024 ilman alv, €]],0)</f>
        <v>-6.1679568131236484E-2</v>
      </c>
    </row>
    <row r="8" spans="1:54" x14ac:dyDescent="0.2">
      <c r="A8" s="16" t="s">
        <v>201</v>
      </c>
      <c r="B8" s="16">
        <f>COUNTIF(Ohj.lask.[Maakunta],Maakunt.[[#This Row],[Maakunta]])</f>
        <v>5</v>
      </c>
      <c r="C8" s="16">
        <f>COUNTIFS(Ohj.lask.[Maakunta],Maakunt.[[#This Row],[Maakunta]],Ohj.lask.[Omistajatyyppi],"=yksityinen")</f>
        <v>4</v>
      </c>
      <c r="D8" s="16">
        <f>COUNTIFS(Ohj.lask.[Maakunta],Maakunt.[[#This Row],[Maakunta]],Ohj.lask.[Omistajatyyppi],"=kunta")</f>
        <v>0</v>
      </c>
      <c r="E8" s="16">
        <f>COUNTIFS(Ohj.lask.[Maakunta],Maakunt.[[#This Row],[Maakunta]],Ohj.lask.[Omistajatyyppi],"=kuntayhtymä")</f>
        <v>1</v>
      </c>
      <c r="F8" s="12">
        <f>SUMIF(Ohj.lask.[Maakunta],Maakunt.[[#This Row],[Maakunta]],Ohj.lask.[Järjestämisluvan opisk.vuosien vähimmäismäärä (ei noudateta 2025)])</f>
        <v>4024</v>
      </c>
      <c r="G8" s="11">
        <f>SUMIF(Ohj.lask.[Maakunta],Maakunt.[[#This Row],[Maakunta]],Ohj.lask.[Tavoitteelliset opiskelija-vuodet])</f>
        <v>3933</v>
      </c>
      <c r="H8" s="73">
        <f>Maakunt.[[#This Row],[Painotetut opiskelija-vuodet]]/Maakunt.[[#This Row],[Tavoitteelliset opiske-lijavuodet]]</f>
        <v>1.1619883040935672</v>
      </c>
      <c r="I8" s="74">
        <f>SUMIF(Ohj.lask.[Maakunta],Maakunt.[[#This Row],[Maakunta]],Ohj.lask.[Painotetut opiskelija-vuodet])</f>
        <v>4570.1000000000004</v>
      </c>
      <c r="J8" s="10">
        <f>SUMIF(Ohj.lask.[Maakunta],Maakunt.[[#This Row],[Maakunta]],Ohj.lask.[%-osuus 1])</f>
        <v>2.2192923671610191E-2</v>
      </c>
      <c r="K8" s="11">
        <f>SUMIF(Ohj.lask.[Maakunta],Maakunt.[[#This Row],[Maakunta]],Ohj.lask.[Jaettava € 1])</f>
        <v>31551613</v>
      </c>
      <c r="L8" s="12">
        <f>SUMIF(Ohj.lask.[Maakunta],Maakunt.[[#This Row],[Maakunta]],Ohj.lask.[Painotetut pisteet 2])</f>
        <v>396512.1</v>
      </c>
      <c r="M8" s="10">
        <f>SUMIF(Ohj.lask.[Maakunta],Maakunt.[[#This Row],[Maakunta]],Ohj.lask.[%-osuus 2])</f>
        <v>2.5175660109474009E-2</v>
      </c>
      <c r="N8" s="11">
        <f>SUMIF(Ohj.lask.[Maakunta],Maakunt.[[#This Row],[Maakunta]],Ohj.lask.[Jaettava € 2])</f>
        <v>10391380</v>
      </c>
      <c r="O8" s="12">
        <f>SUMIF(Ohj.lask.[Maakunta],Maakunt.[[#This Row],[Maakunta]],Ohj.lask.[Painotetut pisteet 3])</f>
        <v>8938.7999999999993</v>
      </c>
      <c r="P8" s="10">
        <f>SUMIF(Ohj.lask.[Maakunta],Maakunt.[[#This Row],[Maakunta]],Ohj.lask.[%-osuus 3])</f>
        <v>2.6483332370443126E-2</v>
      </c>
      <c r="Q8" s="11">
        <f>SUMIF(Ohj.lask.[Maakunta],Maakunt.[[#This Row],[Maakunta]],Ohj.lask.[Jaettava € 3])</f>
        <v>3825886</v>
      </c>
      <c r="R8" s="12">
        <f>SUMIF(Ohj.lask.[Maakunta],Maakunt.[[#This Row],[Maakunta]],Ohj.lask.[Painotetut pisteet 4])</f>
        <v>50138.7</v>
      </c>
      <c r="S8" s="10">
        <f>SUMIF(Ohj.lask.[Maakunta],Maakunt.[[#This Row],[Maakunta]],Ohj.lask.[%-osuus 4])</f>
        <v>2.8837723895733573E-2</v>
      </c>
      <c r="T8" s="11">
        <f>SUMIF(Ohj.lask.[Maakunta],Maakunt.[[#This Row],[Maakunta]],Ohj.lask.[Jaettava € 4])</f>
        <v>223180</v>
      </c>
      <c r="U8" s="12">
        <f>SUMIF(Ohj.lask.[Maakunta],Maakunt.[[#This Row],[Maakunta]],Ohj.lask.[Painotetut pisteet 5])</f>
        <v>268802.2</v>
      </c>
      <c r="V8" s="10">
        <f>SUMIF(Ohj.lask.[Maakunta],Maakunt.[[#This Row],[Maakunta]],Ohj.lask.[%-osuus 5])</f>
        <v>2.4223629127738396E-2</v>
      </c>
      <c r="W8" s="11">
        <f>SUMIF(Ohj.lask.[Maakunta],Maakunt.[[#This Row],[Maakunta]],Ohj.lask.[Jaettava € 5])</f>
        <v>562410</v>
      </c>
      <c r="X8" s="12">
        <f>SUMIF(Ohj.lask.[Maakunta],Maakunt.[[#This Row],[Maakunta]],Ohj.lask.[Painotetut pisteet 6])</f>
        <v>8349785.5999999987</v>
      </c>
      <c r="Y8" s="10">
        <f>SUMIF(Ohj.lask.[Maakunta],Maakunt.[[#This Row],[Maakunta]],Ohj.lask.[%-osuus 6])</f>
        <v>2.4331564300040881E-2</v>
      </c>
      <c r="Z8" s="17">
        <f>SUMIF(Ohj.lask.[Maakunta],Maakunt.[[#This Row],[Maakunta]],Ohj.lask.[Jaettava € 6])</f>
        <v>564916</v>
      </c>
      <c r="AA8" s="11">
        <f>SUMIF(Ohj.lask.[Maakunta],Maakunt.[[#This Row],[Maakunta]],Ohj.lask.[Pisteet 7])</f>
        <v>6082505.5999999996</v>
      </c>
      <c r="AB8" s="10">
        <f>SUMIF(Ohj.lask.[Maakunta],Maakunt.[[#This Row],[Maakunta]],Ohj.lask.[%-osuus 7])</f>
        <v>2.9721690809684235E-2</v>
      </c>
      <c r="AC8" s="11">
        <f>SUMIF(Ohj.lask.[Maakunta],Maakunt.[[#This Row],[Maakunta]],Ohj.lask.[Jaettava € 7])</f>
        <v>230019</v>
      </c>
      <c r="AD8" s="13">
        <f>SUMIF(Ohj.lask.[Maakunta],Maakunt.[[#This Row],[Maakunta]],Ohj.lask.[%-osuus 8])</f>
        <v>2.3201063847287942E-2</v>
      </c>
      <c r="AE8" s="11">
        <f>SUMIF(Ohj.lask.[Maakunta],Maakunt.[[#This Row],[Maakunta]],Ohj.lask.[Jaettava € 8])</f>
        <v>47349404</v>
      </c>
      <c r="AF8" s="12">
        <f>SUMIF(Ohj.lask.[Maakunta],Maakunt.[[#This Row],[Maakunta]],Ohj.lask.[Harkinnanvarainen korotus 1, €])</f>
        <v>0</v>
      </c>
      <c r="AG8" s="34">
        <f>SUMIF(Ohj.lask.[Maakunta],Maakunt.[[#This Row],[Maakunta]],Ohj.lask.[Harkinnanvarainen korotus 2, €])</f>
        <v>0</v>
      </c>
      <c r="AH8" s="34">
        <f>SUMIF(Ohj.lask.[Maakunta],Maakunt.[[#This Row],[Maakunta]],Ohj.lask.[Harkinnanvarainen korotus 3, €])</f>
        <v>0</v>
      </c>
      <c r="AI8" s="34">
        <f>SUMIF(Ohj.lask.[Maakunta],Maakunt.[[#This Row],[Maakunta]],Ohj.lask.[Harkinnanvarainen korotus 4, €])</f>
        <v>57000</v>
      </c>
      <c r="AJ8" s="34">
        <f>SUMIF(Ohj.lask.[Maakunta],Maakunt.[[#This Row],[Maakunta]],Ohj.lask.[Harkinnanvarainen korotus 5, €])</f>
        <v>0</v>
      </c>
      <c r="AK8" s="11">
        <f>SUMIF(Ohj.lask.[Maakunta],Maakunt.[[#This Row],[Maakunta]],Ohj.lask.[Harkinnanvarainen korotus yhteensä, €])</f>
        <v>57000</v>
      </c>
      <c r="AL8" s="12">
        <f>SUMIF(Ohj.lask.[Maakunta],Maakunt.[[#This Row],[Maakunta]],Ohj.lask.[Suoriteperusteinen (opiskelijavuosiin perustuva) sekä harkinnanvarainen korotus, €])</f>
        <v>31608613</v>
      </c>
      <c r="AM8" s="12">
        <f>SUMIF(Ohj.lask.[Maakunta],Maakunt.[[#This Row],[Maakunta]],Ohj.lask.[Suoritusrahoitus, €])</f>
        <v>10391380</v>
      </c>
      <c r="AN8" s="12">
        <f>SUMIF(Ohj.lask.[Maakunta],Maakunt.[[#This Row],[Maakunta]],Ohj.lask.[Työllistymiseen ja jatko-opintoihin siirtymiseen, opiskelijapalautteiseen sekä työelämäpalautteeseen perustuva, €])</f>
        <v>5406411</v>
      </c>
      <c r="AO8" s="34">
        <f>SUMIF(Ohj.lask.[Maakunta],Maakunt.[[#This Row],[Maakunta]],Ohj.lask.[Perus-, suoritus- ja vaikuttavuusrahoitus yhteensä, €])</f>
        <v>47406404</v>
      </c>
      <c r="AP8" s="13">
        <f>Maakunt.[[#This Row],[Jaettava € 1]]/Maakunt.[[#This Row],[Perus-, suoritus- ja vaikuttavuusrahoitus yhteensä, €]]</f>
        <v>0.66555592362584604</v>
      </c>
      <c r="AQ8" s="10">
        <f>Maakunt.[[#This Row],[Suoriteperusteinen (opiskelijavuosiin perustuva) sekä harkinnanvarainen korotus, €]]/Maakunt.[[#This Row],[Perus-, suoritus- ja vaikuttavuusrahoitus yhteensä, €]]</f>
        <v>0.66675829282474153</v>
      </c>
      <c r="AR8" s="42">
        <f>Maakunt.[[#This Row],[Suoritusrahoitus, €]]/Maakunt.[[#This Row],[Perus-, suoritus- ja vaikuttavuusrahoitus yhteensä, €]]</f>
        <v>0.2191978113336755</v>
      </c>
      <c r="AS8" s="10">
        <f>Maakunt.[[#This Row],[Työllistymiseen ja jatko-opintoihin siirtymiseen perustuva sekä opiskelija-palautteisiin perustuva, €]]/Maakunt.[[#This Row],[Perus-, suoritus- ja vaikuttavuusrahoitus yhteensä, €]]</f>
        <v>0.11404389584158292</v>
      </c>
      <c r="AT8" s="10">
        <f>SUMIF(Ohj.lask.[Maakunta],Maakunt.[[#This Row],[Maakunta]],Ohj.lask.[Jaettava € 3])/Maakunt.[[#This Row],[Perus-, suoritus- ja vaikuttavuusrahoitus yhteensä, €]]</f>
        <v>8.0703990962908728E-2</v>
      </c>
      <c r="AU8" s="10">
        <f>SUMIF(Ohj.lask.[Maakunta],Maakunt.[[#This Row],[Maakunta]],Ohj.lask.[Jaettava € 4])/Maakunt.[[#This Row],[Perus-, suoritus- ja vaikuttavuusrahoitus yhteensä, €]]</f>
        <v>4.7078027685879742E-3</v>
      </c>
      <c r="AV8" s="10">
        <f>SUMIF(Ohj.lask.[Maakunta],Maakunt.[[#This Row],[Maakunta]],Ohj.lask.[Jaettava € 5])/Maakunt.[[#This Row],[Perus-, suoritus- ja vaikuttavuusrahoitus yhteensä, €]]</f>
        <v>1.1863587037734396E-2</v>
      </c>
      <c r="AW8" s="10">
        <f>SUMIF(Ohj.lask.[Maakunta],Maakunt.[[#This Row],[Maakunta]],Ohj.lask.[Jaettava € 6])/Maakunt.[[#This Row],[Perus-, suoritus- ja vaikuttavuusrahoitus yhteensä, €]]</f>
        <v>1.1916449094092858E-2</v>
      </c>
      <c r="AX8" s="10">
        <f>SUMIF(Ohj.lask.[Maakunta],Maakunt.[[#This Row],[Maakunta]],Ohj.lask.[Jaettava € 7])/Maakunt.[[#This Row],[Perus-, suoritus- ja vaikuttavuusrahoitus yhteensä, €]]</f>
        <v>4.8520659782589712E-3</v>
      </c>
      <c r="AY8" s="12">
        <f>SUMIF(Vertailu[Maakunta],Maakunt.[[#This Row],[Maakunta]],Vertailu[Rahoitus ml. hark. kor. 
2024 ilman alv, €])</f>
        <v>51921121</v>
      </c>
      <c r="AZ8" s="12">
        <f>SUMIF(Vertailu[Maakunta],Maakunt.[[#This Row],[Maakunta]],Vertailu[Rahoitus ml. hark. kor. 
2025 ilman alv, €])</f>
        <v>47406404</v>
      </c>
      <c r="BA8" s="12">
        <f>SUMIF(Vertailu[Maakunta],Maakunt.[[#This Row],[Maakunta]],Vertailu[Muutos, € 2])</f>
        <v>-4514717</v>
      </c>
      <c r="BB8" s="35">
        <f>IFERROR(Maakunt.[[#This Row],[Muutos, € 2]]/Maakunt.[[#This Row],[Rahoitus ml. hark. kor. 
2024 ilman alv, €]],0)</f>
        <v>-8.69533806868307E-2</v>
      </c>
    </row>
    <row r="9" spans="1:54" x14ac:dyDescent="0.2">
      <c r="A9" s="16" t="s">
        <v>182</v>
      </c>
      <c r="B9" s="16">
        <f>COUNTIF(Ohj.lask.[Maakunta],Maakunt.[[#This Row],[Maakunta]])</f>
        <v>1</v>
      </c>
      <c r="C9" s="16">
        <f>COUNTIFS(Ohj.lask.[Maakunta],Maakunt.[[#This Row],[Maakunta]],Ohj.lask.[Omistajatyyppi],"=yksityinen")</f>
        <v>0</v>
      </c>
      <c r="D9" s="16">
        <f>COUNTIFS(Ohj.lask.[Maakunta],Maakunt.[[#This Row],[Maakunta]],Ohj.lask.[Omistajatyyppi],"=kunta")</f>
        <v>1</v>
      </c>
      <c r="E9" s="16">
        <f>COUNTIFS(Ohj.lask.[Maakunta],Maakunt.[[#This Row],[Maakunta]],Ohj.lask.[Omistajatyyppi],"=kuntayhtymä")</f>
        <v>0</v>
      </c>
      <c r="F9" s="12">
        <f>SUMIF(Ohj.lask.[Maakunta],Maakunt.[[#This Row],[Maakunta]],Ohj.lask.[Järjestämisluvan opisk.vuosien vähimmäismäärä (ei noudateta 2025)])</f>
        <v>2596</v>
      </c>
      <c r="G9" s="11">
        <f>SUMIF(Ohj.lask.[Maakunta],Maakunt.[[#This Row],[Maakunta]],Ohj.lask.[Tavoitteelliset opiskelija-vuodet])</f>
        <v>2645</v>
      </c>
      <c r="H9" s="73">
        <f>Maakunt.[[#This Row],[Painotetut opiskelija-vuodet]]/Maakunt.[[#This Row],[Tavoitteelliset opiske-lijavuodet]]</f>
        <v>1.1226086956521739</v>
      </c>
      <c r="I9" s="74">
        <f>SUMIF(Ohj.lask.[Maakunta],Maakunt.[[#This Row],[Maakunta]],Ohj.lask.[Painotetut opiskelija-vuodet])</f>
        <v>2969.3</v>
      </c>
      <c r="J9" s="10">
        <f>SUMIF(Ohj.lask.[Maakunta],Maakunt.[[#This Row],[Maakunta]],Ohj.lask.[%-osuus 1])</f>
        <v>1.4419257403144819E-2</v>
      </c>
      <c r="K9" s="11">
        <f>SUMIF(Ohj.lask.[Maakunta],Maakunt.[[#This Row],[Maakunta]],Ohj.lask.[Jaettava € 1])</f>
        <v>20499815</v>
      </c>
      <c r="L9" s="12">
        <f>SUMIF(Ohj.lask.[Maakunta],Maakunt.[[#This Row],[Maakunta]],Ohj.lask.[Painotetut pisteet 2])</f>
        <v>227187.9</v>
      </c>
      <c r="M9" s="10">
        <f>SUMIF(Ohj.lask.[Maakunta],Maakunt.[[#This Row],[Maakunta]],Ohj.lask.[%-osuus 2])</f>
        <v>1.4424793975732821E-2</v>
      </c>
      <c r="N9" s="11">
        <f>SUMIF(Ohj.lask.[Maakunta],Maakunt.[[#This Row],[Maakunta]],Ohj.lask.[Jaettava € 2])</f>
        <v>5953906</v>
      </c>
      <c r="O9" s="12">
        <f>SUMIF(Ohj.lask.[Maakunta],Maakunt.[[#This Row],[Maakunta]],Ohj.lask.[Painotetut pisteet 3])</f>
        <v>5076.8999999999996</v>
      </c>
      <c r="P9" s="10">
        <f>SUMIF(Ohj.lask.[Maakunta],Maakunt.[[#This Row],[Maakunta]],Ohj.lask.[%-osuus 3])</f>
        <v>1.5041530195496339E-2</v>
      </c>
      <c r="Q9" s="11">
        <f>SUMIF(Ohj.lask.[Maakunta],Maakunt.[[#This Row],[Maakunta]],Ohj.lask.[Jaettava € 3])</f>
        <v>2172958</v>
      </c>
      <c r="R9" s="12">
        <f>SUMIF(Ohj.lask.[Maakunta],Maakunt.[[#This Row],[Maakunta]],Ohj.lask.[Painotetut pisteet 4])</f>
        <v>23985.7</v>
      </c>
      <c r="S9" s="10">
        <f>SUMIF(Ohj.lask.[Maakunta],Maakunt.[[#This Row],[Maakunta]],Ohj.lask.[%-osuus 4])</f>
        <v>1.37955909117288E-2</v>
      </c>
      <c r="T9" s="11">
        <f>SUMIF(Ohj.lask.[Maakunta],Maakunt.[[#This Row],[Maakunta]],Ohj.lask.[Jaettava € 4])</f>
        <v>106766</v>
      </c>
      <c r="U9" s="12">
        <f>SUMIF(Ohj.lask.[Maakunta],Maakunt.[[#This Row],[Maakunta]],Ohj.lask.[Painotetut pisteet 5])</f>
        <v>180789.5</v>
      </c>
      <c r="V9" s="10">
        <f>SUMIF(Ohj.lask.[Maakunta],Maakunt.[[#This Row],[Maakunta]],Ohj.lask.[%-osuus 5])</f>
        <v>1.6292194774407579E-2</v>
      </c>
      <c r="W9" s="11">
        <f>SUMIF(Ohj.lask.[Maakunta],Maakunt.[[#This Row],[Maakunta]],Ohj.lask.[Jaettava € 5])</f>
        <v>378263</v>
      </c>
      <c r="X9" s="12">
        <f>SUMIF(Ohj.lask.[Maakunta],Maakunt.[[#This Row],[Maakunta]],Ohj.lask.[Painotetut pisteet 6])</f>
        <v>7842155</v>
      </c>
      <c r="Y9" s="10">
        <f>SUMIF(Ohj.lask.[Maakunta],Maakunt.[[#This Row],[Maakunta]],Ohj.lask.[%-osuus 6])</f>
        <v>2.2852311157952023E-2</v>
      </c>
      <c r="Z9" s="17">
        <f>SUMIF(Ohj.lask.[Maakunta],Maakunt.[[#This Row],[Maakunta]],Ohj.lask.[Jaettava € 6])</f>
        <v>530572</v>
      </c>
      <c r="AA9" s="11">
        <f>SUMIF(Ohj.lask.[Maakunta],Maakunt.[[#This Row],[Maakunta]],Ohj.lask.[Pisteet 7])</f>
        <v>5011092.3</v>
      </c>
      <c r="AB9" s="10">
        <f>SUMIF(Ohj.lask.[Maakunta],Maakunt.[[#This Row],[Maakunta]],Ohj.lask.[%-osuus 7])</f>
        <v>2.4486313002225504E-2</v>
      </c>
      <c r="AC9" s="11">
        <f>SUMIF(Ohj.lask.[Maakunta],Maakunt.[[#This Row],[Maakunta]],Ohj.lask.[Jaettava € 7])</f>
        <v>189503</v>
      </c>
      <c r="AD9" s="13">
        <f>SUMIF(Ohj.lask.[Maakunta],Maakunt.[[#This Row],[Maakunta]],Ohj.lask.[%-osuus 8])</f>
        <v>1.4617482873943653E-2</v>
      </c>
      <c r="AE9" s="11">
        <f>SUMIF(Ohj.lask.[Maakunta],Maakunt.[[#This Row],[Maakunta]],Ohj.lask.[Jaettava € 8])</f>
        <v>29831783</v>
      </c>
      <c r="AF9" s="12">
        <f>SUMIF(Ohj.lask.[Maakunta],Maakunt.[[#This Row],[Maakunta]],Ohj.lask.[Harkinnanvarainen korotus 1, €])</f>
        <v>0</v>
      </c>
      <c r="AG9" s="34">
        <f>SUMIF(Ohj.lask.[Maakunta],Maakunt.[[#This Row],[Maakunta]],Ohj.lask.[Harkinnanvarainen korotus 2, €])</f>
        <v>0</v>
      </c>
      <c r="AH9" s="34">
        <f>SUMIF(Ohj.lask.[Maakunta],Maakunt.[[#This Row],[Maakunta]],Ohj.lask.[Harkinnanvarainen korotus 3, €])</f>
        <v>0</v>
      </c>
      <c r="AI9" s="34">
        <f>SUMIF(Ohj.lask.[Maakunta],Maakunt.[[#This Row],[Maakunta]],Ohj.lask.[Harkinnanvarainen korotus 4, €])</f>
        <v>41000</v>
      </c>
      <c r="AJ9" s="34">
        <f>SUMIF(Ohj.lask.[Maakunta],Maakunt.[[#This Row],[Maakunta]],Ohj.lask.[Harkinnanvarainen korotus 5, €])</f>
        <v>0</v>
      </c>
      <c r="AK9" s="11">
        <f>SUMIF(Ohj.lask.[Maakunta],Maakunt.[[#This Row],[Maakunta]],Ohj.lask.[Harkinnanvarainen korotus yhteensä, €])</f>
        <v>41000</v>
      </c>
      <c r="AL9" s="12">
        <f>SUMIF(Ohj.lask.[Maakunta],Maakunt.[[#This Row],[Maakunta]],Ohj.lask.[Suoriteperusteinen (opiskelijavuosiin perustuva) sekä harkinnanvarainen korotus, €])</f>
        <v>20540815</v>
      </c>
      <c r="AM9" s="12">
        <f>SUMIF(Ohj.lask.[Maakunta],Maakunt.[[#This Row],[Maakunta]],Ohj.lask.[Suoritusrahoitus, €])</f>
        <v>5953906</v>
      </c>
      <c r="AN9" s="12">
        <f>SUMIF(Ohj.lask.[Maakunta],Maakunt.[[#This Row],[Maakunta]],Ohj.lask.[Työllistymiseen ja jatko-opintoihin siirtymiseen, opiskelijapalautteiseen sekä työelämäpalautteeseen perustuva, €])</f>
        <v>3378062</v>
      </c>
      <c r="AO9" s="34">
        <f>SUMIF(Ohj.lask.[Maakunta],Maakunt.[[#This Row],[Maakunta]],Ohj.lask.[Perus-, suoritus- ja vaikuttavuusrahoitus yhteensä, €])</f>
        <v>29872783</v>
      </c>
      <c r="AP9" s="13">
        <f>Maakunt.[[#This Row],[Jaettava € 1]]/Maakunt.[[#This Row],[Perus-, suoritus- ja vaikuttavuusrahoitus yhteensä, €]]</f>
        <v>0.68623720126778953</v>
      </c>
      <c r="AQ9" s="10">
        <f>Maakunt.[[#This Row],[Suoriteperusteinen (opiskelijavuosiin perustuva) sekä harkinnanvarainen korotus, €]]/Maakunt.[[#This Row],[Perus-, suoritus- ja vaikuttavuusrahoitus yhteensä, €]]</f>
        <v>0.68760968805618139</v>
      </c>
      <c r="AR9" s="42">
        <f>Maakunt.[[#This Row],[Suoritusrahoitus, €]]/Maakunt.[[#This Row],[Perus-, suoritus- ja vaikuttavuusrahoitus yhteensä, €]]</f>
        <v>0.19930871522750324</v>
      </c>
      <c r="AS9" s="10">
        <f>Maakunt.[[#This Row],[Työllistymiseen ja jatko-opintoihin siirtymiseen perustuva sekä opiskelija-palautteisiin perustuva, €]]/Maakunt.[[#This Row],[Perus-, suoritus- ja vaikuttavuusrahoitus yhteensä, €]]</f>
        <v>0.11308159671631532</v>
      </c>
      <c r="AT9" s="10">
        <f>SUMIF(Ohj.lask.[Maakunta],Maakunt.[[#This Row],[Maakunta]],Ohj.lask.[Jaettava € 3])/Maakunt.[[#This Row],[Perus-, suoritus- ja vaikuttavuusrahoitus yhteensä, €]]</f>
        <v>7.2740393822698077E-2</v>
      </c>
      <c r="AU9" s="10">
        <f>SUMIF(Ohj.lask.[Maakunta],Maakunt.[[#This Row],[Maakunta]],Ohj.lask.[Jaettava € 4])/Maakunt.[[#This Row],[Perus-, suoritus- ja vaikuttavuusrahoitus yhteensä, €]]</f>
        <v>3.5740225475477125E-3</v>
      </c>
      <c r="AV9" s="10">
        <f>SUMIF(Ohj.lask.[Maakunta],Maakunt.[[#This Row],[Maakunta]],Ohj.lask.[Jaettava € 5])/Maakunt.[[#This Row],[Perus-, suoritus- ja vaikuttavuusrahoitus yhteensä, €]]</f>
        <v>1.2662462683841677E-2</v>
      </c>
      <c r="AW9" s="10">
        <f>SUMIF(Ohj.lask.[Maakunta],Maakunt.[[#This Row],[Maakunta]],Ohj.lask.[Jaettava € 6])/Maakunt.[[#This Row],[Perus-, suoritus- ja vaikuttavuusrahoitus yhteensä, €]]</f>
        <v>1.7761050250992685E-2</v>
      </c>
      <c r="AX9" s="10">
        <f>SUMIF(Ohj.lask.[Maakunta],Maakunt.[[#This Row],[Maakunta]],Ohj.lask.[Jaettava € 7])/Maakunt.[[#This Row],[Perus-, suoritus- ja vaikuttavuusrahoitus yhteensä, €]]</f>
        <v>6.3436674112351699E-3</v>
      </c>
      <c r="AY9" s="12">
        <f>SUMIF(Vertailu[Maakunta],Maakunt.[[#This Row],[Maakunta]],Vertailu[Rahoitus ml. hark. kor. 
2024 ilman alv, €])</f>
        <v>31319538</v>
      </c>
      <c r="AZ9" s="12">
        <f>SUMIF(Vertailu[Maakunta],Maakunt.[[#This Row],[Maakunta]],Vertailu[Rahoitus ml. hark. kor. 
2025 ilman alv, €])</f>
        <v>29872783</v>
      </c>
      <c r="BA9" s="12">
        <f>SUMIF(Vertailu[Maakunta],Maakunt.[[#This Row],[Maakunta]],Vertailu[Muutos, € 2])</f>
        <v>-1446755</v>
      </c>
      <c r="BB9" s="35">
        <f>IFERROR(Maakunt.[[#This Row],[Muutos, € 2]]/Maakunt.[[#This Row],[Rahoitus ml. hark. kor. 
2024 ilman alv, €]],0)</f>
        <v>-4.6193369774483899E-2</v>
      </c>
    </row>
    <row r="10" spans="1:54" x14ac:dyDescent="0.2">
      <c r="A10" s="16" t="s">
        <v>256</v>
      </c>
      <c r="B10" s="16">
        <f>COUNTIF(Ohj.lask.[Maakunta],Maakunt.[[#This Row],[Maakunta]])</f>
        <v>6</v>
      </c>
      <c r="C10" s="16">
        <f>COUNTIFS(Ohj.lask.[Maakunta],Maakunt.[[#This Row],[Maakunta]],Ohj.lask.[Omistajatyyppi],"=yksityinen")</f>
        <v>4</v>
      </c>
      <c r="D10" s="16">
        <f>COUNTIFS(Ohj.lask.[Maakunta],Maakunt.[[#This Row],[Maakunta]],Ohj.lask.[Omistajatyyppi],"=kunta")</f>
        <v>0</v>
      </c>
      <c r="E10" s="16">
        <f>COUNTIFS(Ohj.lask.[Maakunta],Maakunt.[[#This Row],[Maakunta]],Ohj.lask.[Omistajatyyppi],"=kuntayhtymä")</f>
        <v>2</v>
      </c>
      <c r="F10" s="12">
        <f>SUMIF(Ohj.lask.[Maakunta],Maakunt.[[#This Row],[Maakunta]],Ohj.lask.[Järjestämisluvan opisk.vuosien vähimmäismäärä (ei noudateta 2025)])</f>
        <v>4633</v>
      </c>
      <c r="G10" s="11">
        <f>SUMIF(Ohj.lask.[Maakunta],Maakunt.[[#This Row],[Maakunta]],Ohj.lask.[Tavoitteelliset opiskelija-vuodet])</f>
        <v>4809</v>
      </c>
      <c r="H10" s="73">
        <f>Maakunt.[[#This Row],[Painotetut opiskelija-vuodet]]/Maakunt.[[#This Row],[Tavoitteelliset opiske-lijavuodet]]</f>
        <v>1.832335204824288</v>
      </c>
      <c r="I10" s="74">
        <f>SUMIF(Ohj.lask.[Maakunta],Maakunt.[[#This Row],[Maakunta]],Ohj.lask.[Painotetut opiskelija-vuodet])</f>
        <v>8811.7000000000007</v>
      </c>
      <c r="J10" s="10">
        <f>SUMIF(Ohj.lask.[Maakunta],Maakunt.[[#This Row],[Maakunta]],Ohj.lask.[%-osuus 1])</f>
        <v>4.2790614104095646E-2</v>
      </c>
      <c r="K10" s="11">
        <f>SUMIF(Ohj.lask.[Maakunta],Maakunt.[[#This Row],[Maakunta]],Ohj.lask.[Jaettava € 1])</f>
        <v>60835287</v>
      </c>
      <c r="L10" s="12">
        <f>SUMIF(Ohj.lask.[Maakunta],Maakunt.[[#This Row],[Maakunta]],Ohj.lask.[Painotetut pisteet 2])</f>
        <v>521720.7</v>
      </c>
      <c r="M10" s="10">
        <f>SUMIF(Ohj.lask.[Maakunta],Maakunt.[[#This Row],[Maakunta]],Ohj.lask.[%-osuus 2])</f>
        <v>3.3125503648632301E-2</v>
      </c>
      <c r="N10" s="11">
        <f>SUMIF(Ohj.lask.[Maakunta],Maakunt.[[#This Row],[Maakunta]],Ohj.lask.[Jaettava € 2])</f>
        <v>13672719</v>
      </c>
      <c r="O10" s="12">
        <f>SUMIF(Ohj.lask.[Maakunta],Maakunt.[[#This Row],[Maakunta]],Ohj.lask.[Painotetut pisteet 3])</f>
        <v>9126.9</v>
      </c>
      <c r="P10" s="10">
        <f>SUMIF(Ohj.lask.[Maakunta],Maakunt.[[#This Row],[Maakunta]],Ohj.lask.[%-osuus 3])</f>
        <v>2.7040623597328204E-2</v>
      </c>
      <c r="Q10" s="11">
        <f>SUMIF(Ohj.lask.[Maakunta],Maakunt.[[#This Row],[Maakunta]],Ohj.lask.[Jaettava € 3])</f>
        <v>3906394</v>
      </c>
      <c r="R10" s="12">
        <f>SUMIF(Ohj.lask.[Maakunta],Maakunt.[[#This Row],[Maakunta]],Ohj.lask.[Painotetut pisteet 4])</f>
        <v>43967.899999999994</v>
      </c>
      <c r="S10" s="10">
        <f>SUMIF(Ohj.lask.[Maakunta],Maakunt.[[#This Row],[Maakunta]],Ohj.lask.[%-osuus 4])</f>
        <v>2.5288532819463295E-2</v>
      </c>
      <c r="T10" s="11">
        <f>SUMIF(Ohj.lask.[Maakunta],Maakunt.[[#This Row],[Maakunta]],Ohj.lask.[Jaettava € 4])</f>
        <v>195711</v>
      </c>
      <c r="U10" s="12">
        <f>SUMIF(Ohj.lask.[Maakunta],Maakunt.[[#This Row],[Maakunta]],Ohj.lask.[Painotetut pisteet 5])</f>
        <v>284733.39999999997</v>
      </c>
      <c r="V10" s="10">
        <f>SUMIF(Ohj.lask.[Maakunta],Maakunt.[[#This Row],[Maakunta]],Ohj.lask.[%-osuus 5])</f>
        <v>2.5659299968080578E-2</v>
      </c>
      <c r="W10" s="11">
        <f>SUMIF(Ohj.lask.[Maakunta],Maakunt.[[#This Row],[Maakunta]],Ohj.lask.[Jaettava € 5])</f>
        <v>595743</v>
      </c>
      <c r="X10" s="12">
        <f>SUMIF(Ohj.lask.[Maakunta],Maakunt.[[#This Row],[Maakunta]],Ohj.lask.[Painotetut pisteet 6])</f>
        <v>10759894</v>
      </c>
      <c r="Y10" s="10">
        <f>SUMIF(Ohj.lask.[Maakunta],Maakunt.[[#This Row],[Maakunta]],Ohj.lask.[%-osuus 6])</f>
        <v>3.1354703613302851E-2</v>
      </c>
      <c r="Z10" s="17">
        <f>SUMIF(Ohj.lask.[Maakunta],Maakunt.[[#This Row],[Maakunta]],Ohj.lask.[Jaettava € 6])</f>
        <v>727975</v>
      </c>
      <c r="AA10" s="11">
        <f>SUMIF(Ohj.lask.[Maakunta],Maakunt.[[#This Row],[Maakunta]],Ohj.lask.[Pisteet 7])</f>
        <v>5522259.5</v>
      </c>
      <c r="AB10" s="10">
        <f>SUMIF(Ohj.lask.[Maakunta],Maakunt.[[#This Row],[Maakunta]],Ohj.lask.[%-osuus 7])</f>
        <v>2.6984091791027939E-2</v>
      </c>
      <c r="AC10" s="11">
        <f>SUMIF(Ohj.lask.[Maakunta],Maakunt.[[#This Row],[Maakunta]],Ohj.lask.[Jaettava € 7])</f>
        <v>208833</v>
      </c>
      <c r="AD10" s="13">
        <f>SUMIF(Ohj.lask.[Maakunta],Maakunt.[[#This Row],[Maakunta]],Ohj.lask.[%-osuus 8])</f>
        <v>3.9269660457682161E-2</v>
      </c>
      <c r="AE10" s="11">
        <f>SUMIF(Ohj.lask.[Maakunta],Maakunt.[[#This Row],[Maakunta]],Ohj.lask.[Jaettava € 8])</f>
        <v>80142662</v>
      </c>
      <c r="AF10" s="12">
        <f>SUMIF(Ohj.lask.[Maakunta],Maakunt.[[#This Row],[Maakunta]],Ohj.lask.[Harkinnanvarainen korotus 1, €])</f>
        <v>0</v>
      </c>
      <c r="AG10" s="34">
        <f>SUMIF(Ohj.lask.[Maakunta],Maakunt.[[#This Row],[Maakunta]],Ohj.lask.[Harkinnanvarainen korotus 2, €])</f>
        <v>120000</v>
      </c>
      <c r="AH10" s="34">
        <f>SUMIF(Ohj.lask.[Maakunta],Maakunt.[[#This Row],[Maakunta]],Ohj.lask.[Harkinnanvarainen korotus 3, €])</f>
        <v>0</v>
      </c>
      <c r="AI10" s="34">
        <f>SUMIF(Ohj.lask.[Maakunta],Maakunt.[[#This Row],[Maakunta]],Ohj.lask.[Harkinnanvarainen korotus 4, €])</f>
        <v>73000</v>
      </c>
      <c r="AJ10" s="34">
        <f>SUMIF(Ohj.lask.[Maakunta],Maakunt.[[#This Row],[Maakunta]],Ohj.lask.[Harkinnanvarainen korotus 5, €])</f>
        <v>0</v>
      </c>
      <c r="AK10" s="11">
        <f>SUMIF(Ohj.lask.[Maakunta],Maakunt.[[#This Row],[Maakunta]],Ohj.lask.[Harkinnanvarainen korotus yhteensä, €])</f>
        <v>193000</v>
      </c>
      <c r="AL10" s="12">
        <f>SUMIF(Ohj.lask.[Maakunta],Maakunt.[[#This Row],[Maakunta]],Ohj.lask.[Suoriteperusteinen (opiskelijavuosiin perustuva) sekä harkinnanvarainen korotus, €])</f>
        <v>61028287</v>
      </c>
      <c r="AM10" s="12">
        <f>SUMIF(Ohj.lask.[Maakunta],Maakunt.[[#This Row],[Maakunta]],Ohj.lask.[Suoritusrahoitus, €])</f>
        <v>13672719</v>
      </c>
      <c r="AN10" s="12">
        <f>SUMIF(Ohj.lask.[Maakunta],Maakunt.[[#This Row],[Maakunta]],Ohj.lask.[Työllistymiseen ja jatko-opintoihin siirtymiseen, opiskelijapalautteiseen sekä työelämäpalautteeseen perustuva, €])</f>
        <v>5634656</v>
      </c>
      <c r="AO10" s="34">
        <f>SUMIF(Ohj.lask.[Maakunta],Maakunt.[[#This Row],[Maakunta]],Ohj.lask.[Perus-, suoritus- ja vaikuttavuusrahoitus yhteensä, €])</f>
        <v>80335662</v>
      </c>
      <c r="AP10" s="13">
        <f>Maakunt.[[#This Row],[Jaettava € 1]]/Maakunt.[[#This Row],[Perus-, suoritus- ja vaikuttavuusrahoitus yhteensä, €]]</f>
        <v>0.75726377906738351</v>
      </c>
      <c r="AQ10" s="10">
        <f>Maakunt.[[#This Row],[Suoriteperusteinen (opiskelijavuosiin perustuva) sekä harkinnanvarainen korotus, €]]/Maakunt.[[#This Row],[Perus-, suoritus- ja vaikuttavuusrahoitus yhteensä, €]]</f>
        <v>0.75966619905366561</v>
      </c>
      <c r="AR10" s="42">
        <f>Maakunt.[[#This Row],[Suoritusrahoitus, €]]/Maakunt.[[#This Row],[Perus-, suoritus- ja vaikuttavuusrahoitus yhteensä, €]]</f>
        <v>0.17019488804361879</v>
      </c>
      <c r="AS10" s="10">
        <f>Maakunt.[[#This Row],[Työllistymiseen ja jatko-opintoihin siirtymiseen perustuva sekä opiskelija-palautteisiin perustuva, €]]/Maakunt.[[#This Row],[Perus-, suoritus- ja vaikuttavuusrahoitus yhteensä, €]]</f>
        <v>7.0138912902715608E-2</v>
      </c>
      <c r="AT10" s="10">
        <f>SUMIF(Ohj.lask.[Maakunta],Maakunt.[[#This Row],[Maakunta]],Ohj.lask.[Jaettava € 3])/Maakunt.[[#This Row],[Perus-, suoritus- ja vaikuttavuusrahoitus yhteensä, €]]</f>
        <v>4.8625901657473117E-2</v>
      </c>
      <c r="AU10" s="10">
        <f>SUMIF(Ohj.lask.[Maakunta],Maakunt.[[#This Row],[Maakunta]],Ohj.lask.[Jaettava € 4])/Maakunt.[[#This Row],[Perus-, suoritus- ja vaikuttavuusrahoitus yhteensä, €]]</f>
        <v>2.4361658960375529E-3</v>
      </c>
      <c r="AV10" s="10">
        <f>SUMIF(Ohj.lask.[Maakunta],Maakunt.[[#This Row],[Maakunta]],Ohj.lask.[Jaettava € 5])/Maakunt.[[#This Row],[Perus-, suoritus- ja vaikuttavuusrahoitus yhteensä, €]]</f>
        <v>7.4156730045991277E-3</v>
      </c>
      <c r="AW10" s="10">
        <f>SUMIF(Ohj.lask.[Maakunta],Maakunt.[[#This Row],[Maakunta]],Ohj.lask.[Jaettava € 6])/Maakunt.[[#This Row],[Perus-, suoritus- ja vaikuttavuusrahoitus yhteensä, €]]</f>
        <v>9.0616667850449781E-3</v>
      </c>
      <c r="AX10" s="10">
        <f>SUMIF(Ohj.lask.[Maakunta],Maakunt.[[#This Row],[Maakunta]],Ohj.lask.[Jaettava € 7])/Maakunt.[[#This Row],[Perus-, suoritus- ja vaikuttavuusrahoitus yhteensä, €]]</f>
        <v>2.5995055595608337E-3</v>
      </c>
      <c r="AY10" s="12">
        <f>SUMIF(Vertailu[Maakunta],Maakunt.[[#This Row],[Maakunta]],Vertailu[Rahoitus ml. hark. kor. 
2024 ilman alv, €])</f>
        <v>83476039</v>
      </c>
      <c r="AZ10" s="12">
        <f>SUMIF(Vertailu[Maakunta],Maakunt.[[#This Row],[Maakunta]],Vertailu[Rahoitus ml. hark. kor. 
2025 ilman alv, €])</f>
        <v>80335662</v>
      </c>
      <c r="BA10" s="12">
        <f>SUMIF(Vertailu[Maakunta],Maakunt.[[#This Row],[Maakunta]],Vertailu[Muutos, € 2])</f>
        <v>-3140377</v>
      </c>
      <c r="BB10" s="35">
        <f>IFERROR(Maakunt.[[#This Row],[Muutos, € 2]]/Maakunt.[[#This Row],[Rahoitus ml. hark. kor. 
2024 ilman alv, €]],0)</f>
        <v>-3.7620100781255328E-2</v>
      </c>
    </row>
    <row r="11" spans="1:54" x14ac:dyDescent="0.2">
      <c r="A11" s="16" t="s">
        <v>266</v>
      </c>
      <c r="B11" s="16">
        <f>COUNTIF(Ohj.lask.[Maakunta],Maakunt.[[#This Row],[Maakunta]])</f>
        <v>2</v>
      </c>
      <c r="C11" s="16">
        <f>COUNTIFS(Ohj.lask.[Maakunta],Maakunt.[[#This Row],[Maakunta]],Ohj.lask.[Omistajatyyppi],"=yksityinen")</f>
        <v>1</v>
      </c>
      <c r="D11" s="16">
        <f>COUNTIFS(Ohj.lask.[Maakunta],Maakunt.[[#This Row],[Maakunta]],Ohj.lask.[Omistajatyyppi],"=kunta")</f>
        <v>0</v>
      </c>
      <c r="E11" s="16">
        <f>COUNTIFS(Ohj.lask.[Maakunta],Maakunt.[[#This Row],[Maakunta]],Ohj.lask.[Omistajatyyppi],"=kuntayhtymä")</f>
        <v>1</v>
      </c>
      <c r="F11" s="12">
        <f>SUMIF(Ohj.lask.[Maakunta],Maakunt.[[#This Row],[Maakunta]],Ohj.lask.[Järjestämisluvan opisk.vuosien vähimmäismäärä (ei noudateta 2025)])</f>
        <v>2615</v>
      </c>
      <c r="G11" s="11">
        <f>SUMIF(Ohj.lask.[Maakunta],Maakunt.[[#This Row],[Maakunta]],Ohj.lask.[Tavoitteelliset opiskelija-vuodet])</f>
        <v>2538</v>
      </c>
      <c r="H11" s="73">
        <f>Maakunt.[[#This Row],[Painotetut opiskelija-vuodet]]/Maakunt.[[#This Row],[Tavoitteelliset opiske-lijavuodet]]</f>
        <v>1.2276201733648542</v>
      </c>
      <c r="I11" s="74">
        <f>SUMIF(Ohj.lask.[Maakunta],Maakunt.[[#This Row],[Maakunta]],Ohj.lask.[Painotetut opiskelija-vuodet])</f>
        <v>3115.7</v>
      </c>
      <c r="J11" s="10">
        <f>SUMIF(Ohj.lask.[Maakunta],Maakunt.[[#This Row],[Maakunta]],Ohj.lask.[%-osuus 1])</f>
        <v>1.5130192399211368E-2</v>
      </c>
      <c r="K11" s="11">
        <f>SUMIF(Ohj.lask.[Maakunta],Maakunt.[[#This Row],[Maakunta]],Ohj.lask.[Jaettava € 1])</f>
        <v>21510549</v>
      </c>
      <c r="L11" s="12">
        <f>SUMIF(Ohj.lask.[Maakunta],Maakunt.[[#This Row],[Maakunta]],Ohj.lask.[Painotetut pisteet 2])</f>
        <v>277100.40000000002</v>
      </c>
      <c r="M11" s="10">
        <f>SUMIF(Ohj.lask.[Maakunta],Maakunt.[[#This Row],[Maakunta]],Ohj.lask.[%-osuus 2])</f>
        <v>1.7593877933609822E-2</v>
      </c>
      <c r="N11" s="11">
        <f>SUMIF(Ohj.lask.[Maakunta],Maakunt.[[#This Row],[Maakunta]],Ohj.lask.[Jaettava € 2])</f>
        <v>7261961</v>
      </c>
      <c r="O11" s="12">
        <f>SUMIF(Ohj.lask.[Maakunta],Maakunt.[[#This Row],[Maakunta]],Ohj.lask.[Painotetut pisteet 3])</f>
        <v>5660.2</v>
      </c>
      <c r="P11" s="10">
        <f>SUMIF(Ohj.lask.[Maakunta],Maakunt.[[#This Row],[Maakunta]],Ohj.lask.[%-osuus 3])</f>
        <v>1.6769695919271282E-2</v>
      </c>
      <c r="Q11" s="11">
        <f>SUMIF(Ohj.lask.[Maakunta],Maakunt.[[#This Row],[Maakunta]],Ohj.lask.[Jaettava € 3])</f>
        <v>2422616</v>
      </c>
      <c r="R11" s="12">
        <f>SUMIF(Ohj.lask.[Maakunta],Maakunt.[[#This Row],[Maakunta]],Ohj.lask.[Painotetut pisteet 4])</f>
        <v>28312.2</v>
      </c>
      <c r="S11" s="10">
        <f>SUMIF(Ohj.lask.[Maakunta],Maakunt.[[#This Row],[Maakunta]],Ohj.lask.[%-osuus 4])</f>
        <v>1.6284016268486978E-2</v>
      </c>
      <c r="T11" s="11">
        <f>SUMIF(Ohj.lask.[Maakunta],Maakunt.[[#This Row],[Maakunta]],Ohj.lask.[Jaettava € 4])</f>
        <v>126024</v>
      </c>
      <c r="U11" s="12">
        <f>SUMIF(Ohj.lask.[Maakunta],Maakunt.[[#This Row],[Maakunta]],Ohj.lask.[Painotetut pisteet 5])</f>
        <v>167505.5</v>
      </c>
      <c r="V11" s="10">
        <f>SUMIF(Ohj.lask.[Maakunta],Maakunt.[[#This Row],[Maakunta]],Ohj.lask.[%-osuus 5])</f>
        <v>1.5095081472013189E-2</v>
      </c>
      <c r="W11" s="11">
        <f>SUMIF(Ohj.lask.[Maakunta],Maakunt.[[#This Row],[Maakunta]],Ohj.lask.[Jaettava € 5])</f>
        <v>350469</v>
      </c>
      <c r="X11" s="12">
        <f>SUMIF(Ohj.lask.[Maakunta],Maakunt.[[#This Row],[Maakunta]],Ohj.lask.[Painotetut pisteet 6])</f>
        <v>5728880.7000000002</v>
      </c>
      <c r="Y11" s="10">
        <f>SUMIF(Ohj.lask.[Maakunta],Maakunt.[[#This Row],[Maakunta]],Ohj.lask.[%-osuus 6])</f>
        <v>1.6694156688204453E-2</v>
      </c>
      <c r="Z11" s="17">
        <f>SUMIF(Ohj.lask.[Maakunta],Maakunt.[[#This Row],[Maakunta]],Ohj.lask.[Jaettava € 6])</f>
        <v>387595</v>
      </c>
      <c r="AA11" s="11">
        <f>SUMIF(Ohj.lask.[Maakunta],Maakunt.[[#This Row],[Maakunta]],Ohj.lask.[Pisteet 7])</f>
        <v>6205486.5</v>
      </c>
      <c r="AB11" s="10">
        <f>SUMIF(Ohj.lask.[Maakunta],Maakunt.[[#This Row],[Maakunta]],Ohj.lask.[%-osuus 7])</f>
        <v>3.0322627417995244E-2</v>
      </c>
      <c r="AC11" s="11">
        <f>SUMIF(Ohj.lask.[Maakunta],Maakunt.[[#This Row],[Maakunta]],Ohj.lask.[Jaettava € 7])</f>
        <v>234671</v>
      </c>
      <c r="AD11" s="13">
        <f>SUMIF(Ohj.lask.[Maakunta],Maakunt.[[#This Row],[Maakunta]],Ohj.lask.[%-osuus 8])</f>
        <v>1.5823905360286571E-2</v>
      </c>
      <c r="AE11" s="11">
        <f>SUMIF(Ohj.lask.[Maakunta],Maakunt.[[#This Row],[Maakunta]],Ohj.lask.[Jaettava € 8])</f>
        <v>32293885</v>
      </c>
      <c r="AF11" s="12">
        <f>SUMIF(Ohj.lask.[Maakunta],Maakunt.[[#This Row],[Maakunta]],Ohj.lask.[Harkinnanvarainen korotus 1, €])</f>
        <v>0</v>
      </c>
      <c r="AG11" s="34">
        <f>SUMIF(Ohj.lask.[Maakunta],Maakunt.[[#This Row],[Maakunta]],Ohj.lask.[Harkinnanvarainen korotus 2, €])</f>
        <v>0</v>
      </c>
      <c r="AH11" s="34">
        <f>SUMIF(Ohj.lask.[Maakunta],Maakunt.[[#This Row],[Maakunta]],Ohj.lask.[Harkinnanvarainen korotus 3, €])</f>
        <v>0</v>
      </c>
      <c r="AI11" s="34">
        <f>SUMIF(Ohj.lask.[Maakunta],Maakunt.[[#This Row],[Maakunta]],Ohj.lask.[Harkinnanvarainen korotus 4, €])</f>
        <v>36000</v>
      </c>
      <c r="AJ11" s="34">
        <f>SUMIF(Ohj.lask.[Maakunta],Maakunt.[[#This Row],[Maakunta]],Ohj.lask.[Harkinnanvarainen korotus 5, €])</f>
        <v>2000</v>
      </c>
      <c r="AK11" s="11">
        <f>SUMIF(Ohj.lask.[Maakunta],Maakunt.[[#This Row],[Maakunta]],Ohj.lask.[Harkinnanvarainen korotus yhteensä, €])</f>
        <v>38000</v>
      </c>
      <c r="AL11" s="12">
        <f>SUMIF(Ohj.lask.[Maakunta],Maakunt.[[#This Row],[Maakunta]],Ohj.lask.[Suoriteperusteinen (opiskelijavuosiin perustuva) sekä harkinnanvarainen korotus, €])</f>
        <v>21548549</v>
      </c>
      <c r="AM11" s="12">
        <f>SUMIF(Ohj.lask.[Maakunta],Maakunt.[[#This Row],[Maakunta]],Ohj.lask.[Suoritusrahoitus, €])</f>
        <v>7261961</v>
      </c>
      <c r="AN11" s="12">
        <f>SUMIF(Ohj.lask.[Maakunta],Maakunt.[[#This Row],[Maakunta]],Ohj.lask.[Työllistymiseen ja jatko-opintoihin siirtymiseen, opiskelijapalautteiseen sekä työelämäpalautteeseen perustuva, €])</f>
        <v>3521375</v>
      </c>
      <c r="AO11" s="34">
        <f>SUMIF(Ohj.lask.[Maakunta],Maakunt.[[#This Row],[Maakunta]],Ohj.lask.[Perus-, suoritus- ja vaikuttavuusrahoitus yhteensä, €])</f>
        <v>32331885</v>
      </c>
      <c r="AP11" s="13">
        <f>Maakunt.[[#This Row],[Jaettava € 1]]/Maakunt.[[#This Row],[Perus-, suoritus- ja vaikuttavuusrahoitus yhteensä, €]]</f>
        <v>0.66530451286709702</v>
      </c>
      <c r="AQ11" s="10">
        <f>Maakunt.[[#This Row],[Suoriteperusteinen (opiskelijavuosiin perustuva) sekä harkinnanvarainen korotus, €]]/Maakunt.[[#This Row],[Perus-, suoritus- ja vaikuttavuusrahoitus yhteensä, €]]</f>
        <v>0.66647982324569077</v>
      </c>
      <c r="AR11" s="42">
        <f>Maakunt.[[#This Row],[Suoritusrahoitus, €]]/Maakunt.[[#This Row],[Perus-, suoritus- ja vaikuttavuusrahoitus yhteensä, €]]</f>
        <v>0.22460679295376684</v>
      </c>
      <c r="AS11" s="10">
        <f>Maakunt.[[#This Row],[Työllistymiseen ja jatko-opintoihin siirtymiseen perustuva sekä opiskelija-palautteisiin perustuva, €]]/Maakunt.[[#This Row],[Perus-, suoritus- ja vaikuttavuusrahoitus yhteensä, €]]</f>
        <v>0.10891338380054241</v>
      </c>
      <c r="AT11" s="10">
        <f>SUMIF(Ohj.lask.[Maakunta],Maakunt.[[#This Row],[Maakunta]],Ohj.lask.[Jaettava € 3])/Maakunt.[[#This Row],[Perus-, suoritus- ja vaikuttavuusrahoitus yhteensä, €]]</f>
        <v>7.4929624424929134E-2</v>
      </c>
      <c r="AU11" s="10">
        <f>SUMIF(Ohj.lask.[Maakunta],Maakunt.[[#This Row],[Maakunta]],Ohj.lask.[Jaettava € 4])/Maakunt.[[#This Row],[Perus-, suoritus- ja vaikuttavuusrahoitus yhteensä, €]]</f>
        <v>3.8978240829447464E-3</v>
      </c>
      <c r="AV11" s="10">
        <f>SUMIF(Ohj.lask.[Maakunta],Maakunt.[[#This Row],[Maakunta]],Ohj.lask.[Jaettava € 5])/Maakunt.[[#This Row],[Perus-, suoritus- ja vaikuttavuusrahoitus yhteensä, €]]</f>
        <v>1.0839732975667827E-2</v>
      </c>
      <c r="AW11" s="10">
        <f>SUMIF(Ohj.lask.[Maakunta],Maakunt.[[#This Row],[Maakunta]],Ohj.lask.[Jaettava € 6])/Maakunt.[[#This Row],[Perus-, suoritus- ja vaikuttavuusrahoitus yhteensä, €]]</f>
        <v>1.1988011215553934E-2</v>
      </c>
      <c r="AX11" s="10">
        <f>SUMIF(Ohj.lask.[Maakunta],Maakunt.[[#This Row],[Maakunta]],Ohj.lask.[Jaettava € 7])/Maakunt.[[#This Row],[Perus-, suoritus- ja vaikuttavuusrahoitus yhteensä, €]]</f>
        <v>7.2581911014467605E-3</v>
      </c>
      <c r="AY11" s="12">
        <f>SUMIF(Vertailu[Maakunta],Maakunt.[[#This Row],[Maakunta]],Vertailu[Rahoitus ml. hark. kor. 
2024 ilman alv, €])</f>
        <v>33768362</v>
      </c>
      <c r="AZ11" s="12">
        <f>SUMIF(Vertailu[Maakunta],Maakunt.[[#This Row],[Maakunta]],Vertailu[Rahoitus ml. hark. kor. 
2025 ilman alv, €])</f>
        <v>32331885</v>
      </c>
      <c r="BA11" s="12">
        <f>SUMIF(Vertailu[Maakunta],Maakunt.[[#This Row],[Maakunta]],Vertailu[Muutos, € 2])</f>
        <v>-1436477</v>
      </c>
      <c r="BB11" s="35">
        <f>IFERROR(Maakunt.[[#This Row],[Muutos, € 2]]/Maakunt.[[#This Row],[Rahoitus ml. hark. kor. 
2024 ilman alv, €]],0)</f>
        <v>-4.2539137669751349E-2</v>
      </c>
    </row>
    <row r="12" spans="1:54" x14ac:dyDescent="0.2">
      <c r="A12" s="16" t="s">
        <v>176</v>
      </c>
      <c r="B12" s="16">
        <f>COUNTIF(Ohj.lask.[Maakunta],Maakunt.[[#This Row],[Maakunta]])</f>
        <v>5</v>
      </c>
      <c r="C12" s="16">
        <f>COUNTIFS(Ohj.lask.[Maakunta],Maakunt.[[#This Row],[Maakunta]],Ohj.lask.[Omistajatyyppi],"=yksityinen")</f>
        <v>3</v>
      </c>
      <c r="D12" s="16">
        <f>COUNTIFS(Ohj.lask.[Maakunta],Maakunt.[[#This Row],[Maakunta]],Ohj.lask.[Omistajatyyppi],"=kunta")</f>
        <v>0</v>
      </c>
      <c r="E12" s="16">
        <f>COUNTIFS(Ohj.lask.[Maakunta],Maakunt.[[#This Row],[Maakunta]],Ohj.lask.[Omistajatyyppi],"=kuntayhtymä")</f>
        <v>2</v>
      </c>
      <c r="F12" s="12">
        <f>SUMIF(Ohj.lask.[Maakunta],Maakunt.[[#This Row],[Maakunta]],Ohj.lask.[Järjestämisluvan opisk.vuosien vähimmäismäärä (ei noudateta 2025)])</f>
        <v>8093</v>
      </c>
      <c r="G12" s="11">
        <f>SUMIF(Ohj.lask.[Maakunta],Maakunt.[[#This Row],[Maakunta]],Ohj.lask.[Tavoitteelliset opiskelija-vuodet])</f>
        <v>7810</v>
      </c>
      <c r="H12" s="73">
        <f>Maakunt.[[#This Row],[Painotetut opiskelija-vuodet]]/Maakunt.[[#This Row],[Tavoitteelliset opiske-lijavuodet]]</f>
        <v>1.1222279129321384</v>
      </c>
      <c r="I12" s="74">
        <f>SUMIF(Ohj.lask.[Maakunta],Maakunt.[[#This Row],[Maakunta]],Ohj.lask.[Painotetut opiskelija-vuodet])</f>
        <v>8764.6</v>
      </c>
      <c r="J12" s="10">
        <f>SUMIF(Ohj.lask.[Maakunta],Maakunt.[[#This Row],[Maakunta]],Ohj.lask.[%-osuus 1])</f>
        <v>4.2561891164787355E-2</v>
      </c>
      <c r="K12" s="11">
        <f>SUMIF(Ohj.lask.[Maakunta],Maakunt.[[#This Row],[Maakunta]],Ohj.lask.[Jaettava € 1])</f>
        <v>60510113</v>
      </c>
      <c r="L12" s="12">
        <f>SUMIF(Ohj.lask.[Maakunta],Maakunt.[[#This Row],[Maakunta]],Ohj.lask.[Painotetut pisteet 2])</f>
        <v>740483.3</v>
      </c>
      <c r="M12" s="10">
        <f>SUMIF(Ohj.lask.[Maakunta],Maakunt.[[#This Row],[Maakunta]],Ohj.lask.[%-osuus 2])</f>
        <v>4.7015351807780083E-2</v>
      </c>
      <c r="N12" s="11">
        <f>SUMIF(Ohj.lask.[Maakunta],Maakunt.[[#This Row],[Maakunta]],Ohj.lask.[Jaettava € 2])</f>
        <v>19405822</v>
      </c>
      <c r="O12" s="12">
        <f>SUMIF(Ohj.lask.[Maakunta],Maakunt.[[#This Row],[Maakunta]],Ohj.lask.[Painotetut pisteet 3])</f>
        <v>16866.3</v>
      </c>
      <c r="P12" s="10">
        <f>SUMIF(Ohj.lask.[Maakunta],Maakunt.[[#This Row],[Maakunta]],Ohj.lask.[%-osuus 3])</f>
        <v>4.9970446677362154E-2</v>
      </c>
      <c r="Q12" s="11">
        <f>SUMIF(Ohj.lask.[Maakunta],Maakunt.[[#This Row],[Maakunta]],Ohj.lask.[Jaettava € 3])</f>
        <v>7218926</v>
      </c>
      <c r="R12" s="12">
        <f>SUMIF(Ohj.lask.[Maakunta],Maakunt.[[#This Row],[Maakunta]],Ohj.lask.[Painotetut pisteet 4])</f>
        <v>79448.3</v>
      </c>
      <c r="S12" s="10">
        <f>SUMIF(Ohj.lask.[Maakunta],Maakunt.[[#This Row],[Maakunta]],Ohj.lask.[%-osuus 4])</f>
        <v>4.5695403737739705E-2</v>
      </c>
      <c r="T12" s="11">
        <f>SUMIF(Ohj.lask.[Maakunta],Maakunt.[[#This Row],[Maakunta]],Ohj.lask.[Jaettava € 4])</f>
        <v>353644</v>
      </c>
      <c r="U12" s="12">
        <f>SUMIF(Ohj.lask.[Maakunta],Maakunt.[[#This Row],[Maakunta]],Ohj.lask.[Painotetut pisteet 5])</f>
        <v>507271.89999999997</v>
      </c>
      <c r="V12" s="10">
        <f>SUMIF(Ohj.lask.[Maakunta],Maakunt.[[#This Row],[Maakunta]],Ohj.lask.[%-osuus 5])</f>
        <v>4.5713786466491706E-2</v>
      </c>
      <c r="W12" s="11">
        <f>SUMIF(Ohj.lask.[Maakunta],Maakunt.[[#This Row],[Maakunta]],Ohj.lask.[Jaettava € 5])</f>
        <v>1061356</v>
      </c>
      <c r="X12" s="12">
        <f>SUMIF(Ohj.lask.[Maakunta],Maakunt.[[#This Row],[Maakunta]],Ohj.lask.[Painotetut pisteet 6])</f>
        <v>15574024.100000001</v>
      </c>
      <c r="Y12" s="10">
        <f>SUMIF(Ohj.lask.[Maakunta],Maakunt.[[#This Row],[Maakunta]],Ohj.lask.[%-osuus 6])</f>
        <v>4.5383245385311015E-2</v>
      </c>
      <c r="Z12" s="17">
        <f>SUMIF(Ohj.lask.[Maakunta],Maakunt.[[#This Row],[Maakunta]],Ohj.lask.[Jaettava € 6])</f>
        <v>1053681</v>
      </c>
      <c r="AA12" s="11">
        <f>SUMIF(Ohj.lask.[Maakunta],Maakunt.[[#This Row],[Maakunta]],Ohj.lask.[Pisteet 7])</f>
        <v>8357885.7999999989</v>
      </c>
      <c r="AB12" s="10">
        <f>SUMIF(Ohj.lask.[Maakunta],Maakunt.[[#This Row],[Maakunta]],Ohj.lask.[%-osuus 7])</f>
        <v>4.0840159287358554E-2</v>
      </c>
      <c r="AC12" s="11">
        <f>SUMIF(Ohj.lask.[Maakunta],Maakunt.[[#This Row],[Maakunta]],Ohj.lask.[Jaettava € 7])</f>
        <v>316068</v>
      </c>
      <c r="AD12" s="13">
        <f>SUMIF(Ohj.lask.[Maakunta],Maakunt.[[#This Row],[Maakunta]],Ohj.lask.[%-osuus 8])</f>
        <v>4.4060335220549592E-2</v>
      </c>
      <c r="AE12" s="11">
        <f>SUMIF(Ohj.lask.[Maakunta],Maakunt.[[#This Row],[Maakunta]],Ohj.lask.[Jaettava € 8])</f>
        <v>89919610</v>
      </c>
      <c r="AF12" s="12">
        <f>SUMIF(Ohj.lask.[Maakunta],Maakunt.[[#This Row],[Maakunta]],Ohj.lask.[Harkinnanvarainen korotus 1, €])</f>
        <v>0</v>
      </c>
      <c r="AG12" s="34">
        <f>SUMIF(Ohj.lask.[Maakunta],Maakunt.[[#This Row],[Maakunta]],Ohj.lask.[Harkinnanvarainen korotus 2, €])</f>
        <v>0</v>
      </c>
      <c r="AH12" s="34">
        <f>SUMIF(Ohj.lask.[Maakunta],Maakunt.[[#This Row],[Maakunta]],Ohj.lask.[Harkinnanvarainen korotus 3, €])</f>
        <v>0</v>
      </c>
      <c r="AI12" s="34">
        <f>SUMIF(Ohj.lask.[Maakunta],Maakunt.[[#This Row],[Maakunta]],Ohj.lask.[Harkinnanvarainen korotus 4, €])</f>
        <v>122000</v>
      </c>
      <c r="AJ12" s="34">
        <f>SUMIF(Ohj.lask.[Maakunta],Maakunt.[[#This Row],[Maakunta]],Ohj.lask.[Harkinnanvarainen korotus 5, €])</f>
        <v>8000</v>
      </c>
      <c r="AK12" s="11">
        <f>SUMIF(Ohj.lask.[Maakunta],Maakunt.[[#This Row],[Maakunta]],Ohj.lask.[Harkinnanvarainen korotus yhteensä, €])</f>
        <v>130000</v>
      </c>
      <c r="AL12" s="12">
        <f>SUMIF(Ohj.lask.[Maakunta],Maakunt.[[#This Row],[Maakunta]],Ohj.lask.[Suoriteperusteinen (opiskelijavuosiin perustuva) sekä harkinnanvarainen korotus, €])</f>
        <v>60640113</v>
      </c>
      <c r="AM12" s="12">
        <f>SUMIF(Ohj.lask.[Maakunta],Maakunt.[[#This Row],[Maakunta]],Ohj.lask.[Suoritusrahoitus, €])</f>
        <v>19405822</v>
      </c>
      <c r="AN12" s="12">
        <f>SUMIF(Ohj.lask.[Maakunta],Maakunt.[[#This Row],[Maakunta]],Ohj.lask.[Työllistymiseen ja jatko-opintoihin siirtymiseen, opiskelijapalautteiseen sekä työelämäpalautteeseen perustuva, €])</f>
        <v>10003675</v>
      </c>
      <c r="AO12" s="34">
        <f>SUMIF(Ohj.lask.[Maakunta],Maakunt.[[#This Row],[Maakunta]],Ohj.lask.[Perus-, suoritus- ja vaikuttavuusrahoitus yhteensä, €])</f>
        <v>90049610</v>
      </c>
      <c r="AP12" s="13">
        <f>Maakunt.[[#This Row],[Jaettava € 1]]/Maakunt.[[#This Row],[Perus-, suoritus- ja vaikuttavuusrahoitus yhteensä, €]]</f>
        <v>0.67196418729631369</v>
      </c>
      <c r="AQ12" s="10">
        <f>Maakunt.[[#This Row],[Suoriteperusteinen (opiskelijavuosiin perustuva) sekä harkinnanvarainen korotus, €]]/Maakunt.[[#This Row],[Perus-, suoritus- ja vaikuttavuusrahoitus yhteensä, €]]</f>
        <v>0.67340783596952836</v>
      </c>
      <c r="AR12" s="42">
        <f>Maakunt.[[#This Row],[Suoritusrahoitus, €]]/Maakunt.[[#This Row],[Perus-, suoritus- ja vaikuttavuusrahoitus yhteensä, €]]</f>
        <v>0.21550145525338754</v>
      </c>
      <c r="AS12" s="10">
        <f>Maakunt.[[#This Row],[Työllistymiseen ja jatko-opintoihin siirtymiseen perustuva sekä opiskelija-palautteisiin perustuva, €]]/Maakunt.[[#This Row],[Perus-, suoritus- ja vaikuttavuusrahoitus yhteensä, €]]</f>
        <v>0.1110907087770841</v>
      </c>
      <c r="AT12" s="10">
        <f>SUMIF(Ohj.lask.[Maakunta],Maakunt.[[#This Row],[Maakunta]],Ohj.lask.[Jaettava € 3])/Maakunt.[[#This Row],[Perus-, suoritus- ja vaikuttavuusrahoitus yhteensä, €]]</f>
        <v>8.0166099553346207E-2</v>
      </c>
      <c r="AU12" s="10">
        <f>SUMIF(Ohj.lask.[Maakunta],Maakunt.[[#This Row],[Maakunta]],Ohj.lask.[Jaettava € 4])/Maakunt.[[#This Row],[Perus-, suoritus- ja vaikuttavuusrahoitus yhteensä, €]]</f>
        <v>3.9272130106948822E-3</v>
      </c>
      <c r="AV12" s="10">
        <f>SUMIF(Ohj.lask.[Maakunta],Maakunt.[[#This Row],[Maakunta]],Ohj.lask.[Jaettava € 5])/Maakunt.[[#This Row],[Perus-, suoritus- ja vaikuttavuusrahoitus yhteensä, €]]</f>
        <v>1.1786347547757287E-2</v>
      </c>
      <c r="AW12" s="10">
        <f>SUMIF(Ohj.lask.[Maakunta],Maakunt.[[#This Row],[Maakunta]],Ohj.lask.[Jaettava € 6])/Maakunt.[[#This Row],[Perus-, suoritus- ja vaikuttavuusrahoitus yhteensä, €]]</f>
        <v>1.1701116751088651E-2</v>
      </c>
      <c r="AX12" s="10">
        <f>SUMIF(Ohj.lask.[Maakunta],Maakunt.[[#This Row],[Maakunta]],Ohj.lask.[Jaettava € 7])/Maakunt.[[#This Row],[Perus-, suoritus- ja vaikuttavuusrahoitus yhteensä, €]]</f>
        <v>3.5099319141970744E-3</v>
      </c>
      <c r="AY12" s="12">
        <f>SUMIF(Vertailu[Maakunta],Maakunt.[[#This Row],[Maakunta]],Vertailu[Rahoitus ml. hark. kor. 
2024 ilman alv, €])</f>
        <v>94459359</v>
      </c>
      <c r="AZ12" s="12">
        <f>SUMIF(Vertailu[Maakunta],Maakunt.[[#This Row],[Maakunta]],Vertailu[Rahoitus ml. hark. kor. 
2025 ilman alv, €])</f>
        <v>90049610</v>
      </c>
      <c r="BA12" s="12">
        <f>SUMIF(Vertailu[Maakunta],Maakunt.[[#This Row],[Maakunta]],Vertailu[Muutos, € 2])</f>
        <v>-4409749</v>
      </c>
      <c r="BB12" s="35">
        <f>IFERROR(Maakunt.[[#This Row],[Muutos, € 2]]/Maakunt.[[#This Row],[Rahoitus ml. hark. kor. 
2024 ilman alv, €]],0)</f>
        <v>-4.6684087703792274E-2</v>
      </c>
    </row>
    <row r="13" spans="1:54" x14ac:dyDescent="0.2">
      <c r="A13" s="16" t="s">
        <v>188</v>
      </c>
      <c r="B13" s="16">
        <f>COUNTIF(Ohj.lask.[Maakunta],Maakunt.[[#This Row],[Maakunta]])</f>
        <v>4</v>
      </c>
      <c r="C13" s="16">
        <f>COUNTIFS(Ohj.lask.[Maakunta],Maakunt.[[#This Row],[Maakunta]],Ohj.lask.[Omistajatyyppi],"=yksityinen")</f>
        <v>3</v>
      </c>
      <c r="D13" s="16">
        <f>COUNTIFS(Ohj.lask.[Maakunta],Maakunt.[[#This Row],[Maakunta]],Ohj.lask.[Omistajatyyppi],"=kunta")</f>
        <v>0</v>
      </c>
      <c r="E13" s="16">
        <f>COUNTIFS(Ohj.lask.[Maakunta],Maakunt.[[#This Row],[Maakunta]],Ohj.lask.[Omistajatyyppi],"=kuntayhtymä")</f>
        <v>1</v>
      </c>
      <c r="F13" s="12">
        <f>SUMIF(Ohj.lask.[Maakunta],Maakunt.[[#This Row],[Maakunta]],Ohj.lask.[Järjestämisluvan opisk.vuosien vähimmäismäärä (ei noudateta 2025)])</f>
        <v>4849</v>
      </c>
      <c r="G13" s="11">
        <f>SUMIF(Ohj.lask.[Maakunta],Maakunt.[[#This Row],[Maakunta]],Ohj.lask.[Tavoitteelliset opiskelija-vuodet])</f>
        <v>4697</v>
      </c>
      <c r="H13" s="73">
        <f>Maakunt.[[#This Row],[Painotetut opiskelija-vuodet]]/Maakunt.[[#This Row],[Tavoitteelliset opiske-lijavuodet]]</f>
        <v>1.0886736214605066</v>
      </c>
      <c r="I13" s="74">
        <f>SUMIF(Ohj.lask.[Maakunta],Maakunt.[[#This Row],[Maakunta]],Ohj.lask.[Painotetut opiskelija-vuodet])</f>
        <v>5113.5</v>
      </c>
      <c r="J13" s="10">
        <f>SUMIF(Ohj.lask.[Maakunta],Maakunt.[[#This Row],[Maakunta]],Ohj.lask.[%-osuus 1])</f>
        <v>2.4831735672037527E-2</v>
      </c>
      <c r="K13" s="11">
        <f>SUMIF(Ohj.lask.[Maakunta],Maakunt.[[#This Row],[Maakunta]],Ohj.lask.[Jaettava € 1])</f>
        <v>35303204</v>
      </c>
      <c r="L13" s="12">
        <f>SUMIF(Ohj.lask.[Maakunta],Maakunt.[[#This Row],[Maakunta]],Ohj.lask.[Painotetut pisteet 2])</f>
        <v>416824.1</v>
      </c>
      <c r="M13" s="10">
        <f>SUMIF(Ohj.lask.[Maakunta],Maakunt.[[#This Row],[Maakunta]],Ohj.lask.[%-osuus 2])</f>
        <v>2.6465325691290141E-2</v>
      </c>
      <c r="N13" s="11">
        <f>SUMIF(Ohj.lask.[Maakunta],Maakunt.[[#This Row],[Maakunta]],Ohj.lask.[Jaettava € 2])</f>
        <v>10923695</v>
      </c>
      <c r="O13" s="12">
        <f>SUMIF(Ohj.lask.[Maakunta],Maakunt.[[#This Row],[Maakunta]],Ohj.lask.[Painotetut pisteet 3])</f>
        <v>9356.7999999999993</v>
      </c>
      <c r="P13" s="10">
        <f>SUMIF(Ohj.lask.[Maakunta],Maakunt.[[#This Row],[Maakunta]],Ohj.lask.[%-osuus 3])</f>
        <v>2.7721757319076636E-2</v>
      </c>
      <c r="Q13" s="11">
        <f>SUMIF(Ohj.lask.[Maakunta],Maakunt.[[#This Row],[Maakunta]],Ohj.lask.[Jaettava € 3])</f>
        <v>4004793</v>
      </c>
      <c r="R13" s="12">
        <f>SUMIF(Ohj.lask.[Maakunta],Maakunt.[[#This Row],[Maakunta]],Ohj.lask.[Painotetut pisteet 4])</f>
        <v>42166</v>
      </c>
      <c r="S13" s="10">
        <f>SUMIF(Ohj.lask.[Maakunta],Maakunt.[[#This Row],[Maakunta]],Ohj.lask.[%-osuus 4])</f>
        <v>2.4252153840995116E-2</v>
      </c>
      <c r="T13" s="11">
        <f>SUMIF(Ohj.lask.[Maakunta],Maakunt.[[#This Row],[Maakunta]],Ohj.lask.[Jaettava € 4])</f>
        <v>187691</v>
      </c>
      <c r="U13" s="12">
        <f>SUMIF(Ohj.lask.[Maakunta],Maakunt.[[#This Row],[Maakunta]],Ohj.lask.[Painotetut pisteet 5])</f>
        <v>286709.09999999998</v>
      </c>
      <c r="V13" s="10">
        <f>SUMIF(Ohj.lask.[Maakunta],Maakunt.[[#This Row],[Maakunta]],Ohj.lask.[%-osuus 5])</f>
        <v>2.5837343987317296E-2</v>
      </c>
      <c r="W13" s="11">
        <f>SUMIF(Ohj.lask.[Maakunta],Maakunt.[[#This Row],[Maakunta]],Ohj.lask.[Jaettava € 5])</f>
        <v>599877</v>
      </c>
      <c r="X13" s="12">
        <f>SUMIF(Ohj.lask.[Maakunta],Maakunt.[[#This Row],[Maakunta]],Ohj.lask.[Painotetut pisteet 6])</f>
        <v>12152131.1</v>
      </c>
      <c r="Y13" s="10">
        <f>SUMIF(Ohj.lask.[Maakunta],Maakunt.[[#This Row],[Maakunta]],Ohj.lask.[%-osuus 6])</f>
        <v>3.5411730720627907E-2</v>
      </c>
      <c r="Z13" s="17">
        <f>SUMIF(Ohj.lask.[Maakunta],Maakunt.[[#This Row],[Maakunta]],Ohj.lask.[Jaettava € 6])</f>
        <v>822168</v>
      </c>
      <c r="AA13" s="11">
        <f>SUMIF(Ohj.lask.[Maakunta],Maakunt.[[#This Row],[Maakunta]],Ohj.lask.[Pisteet 7])</f>
        <v>9821321.5999999996</v>
      </c>
      <c r="AB13" s="10">
        <f>SUMIF(Ohj.lask.[Maakunta],Maakunt.[[#This Row],[Maakunta]],Ohj.lask.[%-osuus 7])</f>
        <v>4.7991124568413597E-2</v>
      </c>
      <c r="AC13" s="11">
        <f>SUMIF(Ohj.lask.[Maakunta],Maakunt.[[#This Row],[Maakunta]],Ohj.lask.[Jaettava € 7])</f>
        <v>371410</v>
      </c>
      <c r="AD13" s="13">
        <f>SUMIF(Ohj.lask.[Maakunta],Maakunt.[[#This Row],[Maakunta]],Ohj.lask.[%-osuus 8])</f>
        <v>2.5584131704933441E-2</v>
      </c>
      <c r="AE13" s="11">
        <f>SUMIF(Ohj.lask.[Maakunta],Maakunt.[[#This Row],[Maakunta]],Ohj.lask.[Jaettava € 8])</f>
        <v>52212838</v>
      </c>
      <c r="AF13" s="12">
        <f>SUMIF(Ohj.lask.[Maakunta],Maakunt.[[#This Row],[Maakunta]],Ohj.lask.[Harkinnanvarainen korotus 1, €])</f>
        <v>0</v>
      </c>
      <c r="AG13" s="34">
        <f>SUMIF(Ohj.lask.[Maakunta],Maakunt.[[#This Row],[Maakunta]],Ohj.lask.[Harkinnanvarainen korotus 2, €])</f>
        <v>20000</v>
      </c>
      <c r="AH13" s="34">
        <f>SUMIF(Ohj.lask.[Maakunta],Maakunt.[[#This Row],[Maakunta]],Ohj.lask.[Harkinnanvarainen korotus 3, €])</f>
        <v>0</v>
      </c>
      <c r="AI13" s="34">
        <f>SUMIF(Ohj.lask.[Maakunta],Maakunt.[[#This Row],[Maakunta]],Ohj.lask.[Harkinnanvarainen korotus 4, €])</f>
        <v>74000</v>
      </c>
      <c r="AJ13" s="34">
        <f>SUMIF(Ohj.lask.[Maakunta],Maakunt.[[#This Row],[Maakunta]],Ohj.lask.[Harkinnanvarainen korotus 5, €])</f>
        <v>2000</v>
      </c>
      <c r="AK13" s="11">
        <f>SUMIF(Ohj.lask.[Maakunta],Maakunt.[[#This Row],[Maakunta]],Ohj.lask.[Harkinnanvarainen korotus yhteensä, €])</f>
        <v>96000</v>
      </c>
      <c r="AL13" s="12">
        <f>SUMIF(Ohj.lask.[Maakunta],Maakunt.[[#This Row],[Maakunta]],Ohj.lask.[Suoriteperusteinen (opiskelijavuosiin perustuva) sekä harkinnanvarainen korotus, €])</f>
        <v>35399204</v>
      </c>
      <c r="AM13" s="12">
        <f>SUMIF(Ohj.lask.[Maakunta],Maakunt.[[#This Row],[Maakunta]],Ohj.lask.[Suoritusrahoitus, €])</f>
        <v>10923695</v>
      </c>
      <c r="AN13" s="12">
        <f>SUMIF(Ohj.lask.[Maakunta],Maakunt.[[#This Row],[Maakunta]],Ohj.lask.[Työllistymiseen ja jatko-opintoihin siirtymiseen, opiskelijapalautteiseen sekä työelämäpalautteeseen perustuva, €])</f>
        <v>5985939</v>
      </c>
      <c r="AO13" s="34">
        <f>SUMIF(Ohj.lask.[Maakunta],Maakunt.[[#This Row],[Maakunta]],Ohj.lask.[Perus-, suoritus- ja vaikuttavuusrahoitus yhteensä, €])</f>
        <v>52308838</v>
      </c>
      <c r="AP13" s="13">
        <f>Maakunt.[[#This Row],[Jaettava € 1]]/Maakunt.[[#This Row],[Perus-, suoritus- ja vaikuttavuusrahoitus yhteensä, €]]</f>
        <v>0.67489941183552959</v>
      </c>
      <c r="AQ13" s="10">
        <f>Maakunt.[[#This Row],[Suoriteperusteinen (opiskelijavuosiin perustuva) sekä harkinnanvarainen korotus, €]]/Maakunt.[[#This Row],[Perus-, suoritus- ja vaikuttavuusrahoitus yhteensä, €]]</f>
        <v>0.67673466575571795</v>
      </c>
      <c r="AR13" s="42">
        <f>Maakunt.[[#This Row],[Suoritusrahoitus, €]]/Maakunt.[[#This Row],[Perus-, suoritus- ja vaikuttavuusrahoitus yhteensä, €]]</f>
        <v>0.20883077158012953</v>
      </c>
      <c r="AS13" s="10">
        <f>Maakunt.[[#This Row],[Työllistymiseen ja jatko-opintoihin siirtymiseen perustuva sekä opiskelija-palautteisiin perustuva, €]]/Maakunt.[[#This Row],[Perus-, suoritus- ja vaikuttavuusrahoitus yhteensä, €]]</f>
        <v>0.11443456266415247</v>
      </c>
      <c r="AT13" s="10">
        <f>SUMIF(Ohj.lask.[Maakunta],Maakunt.[[#This Row],[Maakunta]],Ohj.lask.[Jaettava € 3])/Maakunt.[[#This Row],[Perus-, suoritus- ja vaikuttavuusrahoitus yhteensä, €]]</f>
        <v>7.6560542216594446E-2</v>
      </c>
      <c r="AU13" s="10">
        <f>SUMIF(Ohj.lask.[Maakunta],Maakunt.[[#This Row],[Maakunta]],Ohj.lask.[Jaettava € 4])/Maakunt.[[#This Row],[Perus-, suoritus- ja vaikuttavuusrahoitus yhteensä, €]]</f>
        <v>3.5881317034800121E-3</v>
      </c>
      <c r="AV13" s="10">
        <f>SUMIF(Ohj.lask.[Maakunta],Maakunt.[[#This Row],[Maakunta]],Ohj.lask.[Jaettava € 5])/Maakunt.[[#This Row],[Perus-, suoritus- ja vaikuttavuusrahoitus yhteensä, €]]</f>
        <v>1.1467985582092265E-2</v>
      </c>
      <c r="AW13" s="10">
        <f>SUMIF(Ohj.lask.[Maakunta],Maakunt.[[#This Row],[Maakunta]],Ohj.lask.[Jaettava € 6])/Maakunt.[[#This Row],[Perus-, suoritus- ja vaikuttavuusrahoitus yhteensä, €]]</f>
        <v>1.5717573385973512E-2</v>
      </c>
      <c r="AX13" s="10">
        <f>SUMIF(Ohj.lask.[Maakunta],Maakunt.[[#This Row],[Maakunta]],Ohj.lask.[Jaettava € 7])/Maakunt.[[#This Row],[Perus-, suoritus- ja vaikuttavuusrahoitus yhteensä, €]]</f>
        <v>7.1003297760122291E-3</v>
      </c>
      <c r="AY13" s="12">
        <f>SUMIF(Vertailu[Maakunta],Maakunt.[[#This Row],[Maakunta]],Vertailu[Rahoitus ml. hark. kor. 
2024 ilman alv, €])</f>
        <v>55812287</v>
      </c>
      <c r="AZ13" s="12">
        <f>SUMIF(Vertailu[Maakunta],Maakunt.[[#This Row],[Maakunta]],Vertailu[Rahoitus ml. hark. kor. 
2025 ilman alv, €])</f>
        <v>52308838</v>
      </c>
      <c r="BA13" s="12">
        <f>SUMIF(Vertailu[Maakunta],Maakunt.[[#This Row],[Maakunta]],Vertailu[Muutos, € 2])</f>
        <v>-3503449</v>
      </c>
      <c r="BB13" s="35">
        <f>IFERROR(Maakunt.[[#This Row],[Muutos, € 2]]/Maakunt.[[#This Row],[Rahoitus ml. hark. kor. 
2024 ilman alv, €]],0)</f>
        <v>-6.2772002157876094E-2</v>
      </c>
    </row>
    <row r="14" spans="1:54" x14ac:dyDescent="0.2">
      <c r="A14" s="16" t="s">
        <v>223</v>
      </c>
      <c r="B14" s="16">
        <f>COUNTIF(Ohj.lask.[Maakunta],Maakunt.[[#This Row],[Maakunta]])</f>
        <v>4</v>
      </c>
      <c r="C14" s="16">
        <f>COUNTIFS(Ohj.lask.[Maakunta],Maakunt.[[#This Row],[Maakunta]],Ohj.lask.[Omistajatyyppi],"=yksityinen")</f>
        <v>2</v>
      </c>
      <c r="D14" s="16">
        <f>COUNTIFS(Ohj.lask.[Maakunta],Maakunt.[[#This Row],[Maakunta]],Ohj.lask.[Omistajatyyppi],"=kunta")</f>
        <v>0</v>
      </c>
      <c r="E14" s="16">
        <f>COUNTIFS(Ohj.lask.[Maakunta],Maakunt.[[#This Row],[Maakunta]],Ohj.lask.[Omistajatyyppi],"=kuntayhtymä")</f>
        <v>2</v>
      </c>
      <c r="F14" s="12">
        <f>SUMIF(Ohj.lask.[Maakunta],Maakunt.[[#This Row],[Maakunta]],Ohj.lask.[Järjestämisluvan opisk.vuosien vähimmäismäärä (ei noudateta 2025)])</f>
        <v>5651</v>
      </c>
      <c r="G14" s="11">
        <f>SUMIF(Ohj.lask.[Maakunta],Maakunt.[[#This Row],[Maakunta]],Ohj.lask.[Tavoitteelliset opiskelija-vuodet])</f>
        <v>5410</v>
      </c>
      <c r="H14" s="73">
        <f>Maakunt.[[#This Row],[Painotetut opiskelija-vuodet]]/Maakunt.[[#This Row],[Tavoitteelliset opiske-lijavuodet]]</f>
        <v>1.2293345656192238</v>
      </c>
      <c r="I14" s="74">
        <f>SUMIF(Ohj.lask.[Maakunta],Maakunt.[[#This Row],[Maakunta]],Ohj.lask.[Painotetut opiskelija-vuodet])</f>
        <v>6650.7000000000007</v>
      </c>
      <c r="J14" s="10">
        <f>SUMIF(Ohj.lask.[Maakunta],Maakunt.[[#This Row],[Maakunta]],Ohj.lask.[%-osuus 1])</f>
        <v>3.2296553130736289E-2</v>
      </c>
      <c r="K14" s="11">
        <f>SUMIF(Ohj.lask.[Maakunta],Maakunt.[[#This Row],[Maakunta]],Ohj.lask.[Jaettava € 1])</f>
        <v>45915913</v>
      </c>
      <c r="L14" s="12">
        <f>SUMIF(Ohj.lask.[Maakunta],Maakunt.[[#This Row],[Maakunta]],Ohj.lask.[Painotetut pisteet 2])</f>
        <v>486283.2</v>
      </c>
      <c r="M14" s="10">
        <f>SUMIF(Ohj.lask.[Maakunta],Maakunt.[[#This Row],[Maakunta]],Ohj.lask.[%-osuus 2])</f>
        <v>3.0875477848336459E-2</v>
      </c>
      <c r="N14" s="11">
        <f>SUMIF(Ohj.lask.[Maakunta],Maakunt.[[#This Row],[Maakunta]],Ohj.lask.[Jaettava € 2])</f>
        <v>12744008</v>
      </c>
      <c r="O14" s="12">
        <f>SUMIF(Ohj.lask.[Maakunta],Maakunt.[[#This Row],[Maakunta]],Ohj.lask.[Painotetut pisteet 3])</f>
        <v>11074.400000000001</v>
      </c>
      <c r="P14" s="10">
        <f>SUMIF(Ohj.lask.[Maakunta],Maakunt.[[#This Row],[Maakunta]],Ohj.lask.[%-osuus 3])</f>
        <v>3.2810558017097965E-2</v>
      </c>
      <c r="Q14" s="11">
        <f>SUMIF(Ohj.lask.[Maakunta],Maakunt.[[#This Row],[Maakunta]],Ohj.lask.[Jaettava € 3])</f>
        <v>4739941</v>
      </c>
      <c r="R14" s="12">
        <f>SUMIF(Ohj.lask.[Maakunta],Maakunt.[[#This Row],[Maakunta]],Ohj.lask.[Painotetut pisteet 4])</f>
        <v>61857.400000000009</v>
      </c>
      <c r="S14" s="10">
        <f>SUMIF(Ohj.lask.[Maakunta],Maakunt.[[#This Row],[Maakunta]],Ohj.lask.[%-osuus 4])</f>
        <v>3.5577839515343435E-2</v>
      </c>
      <c r="T14" s="11">
        <f>SUMIF(Ohj.lask.[Maakunta],Maakunt.[[#This Row],[Maakunta]],Ohj.lask.[Jaettava € 4])</f>
        <v>275342</v>
      </c>
      <c r="U14" s="12">
        <f>SUMIF(Ohj.lask.[Maakunta],Maakunt.[[#This Row],[Maakunta]],Ohj.lask.[Painotetut pisteet 5])</f>
        <v>345118</v>
      </c>
      <c r="V14" s="10">
        <f>SUMIF(Ohj.lask.[Maakunta],Maakunt.[[#This Row],[Maakunta]],Ohj.lask.[%-osuus 5])</f>
        <v>3.1100974758788508E-2</v>
      </c>
      <c r="W14" s="11">
        <f>SUMIF(Ohj.lask.[Maakunta],Maakunt.[[#This Row],[Maakunta]],Ohj.lask.[Jaettava € 5])</f>
        <v>722084</v>
      </c>
      <c r="X14" s="12">
        <f>SUMIF(Ohj.lask.[Maakunta],Maakunt.[[#This Row],[Maakunta]],Ohj.lask.[Painotetut pisteet 6])</f>
        <v>11636758.300000001</v>
      </c>
      <c r="Y14" s="10">
        <f>SUMIF(Ohj.lask.[Maakunta],Maakunt.[[#This Row],[Maakunta]],Ohj.lask.[%-osuus 6])</f>
        <v>3.3909916539711447E-2</v>
      </c>
      <c r="Z14" s="17">
        <f>SUMIF(Ohj.lask.[Maakunta],Maakunt.[[#This Row],[Maakunta]],Ohj.lask.[Jaettava € 6])</f>
        <v>787300</v>
      </c>
      <c r="AA14" s="11">
        <f>SUMIF(Ohj.lask.[Maakunta],Maakunt.[[#This Row],[Maakunta]],Ohj.lask.[Pisteet 7])</f>
        <v>7397079.5999999996</v>
      </c>
      <c r="AB14" s="10">
        <f>SUMIF(Ohj.lask.[Maakunta],Maakunt.[[#This Row],[Maakunta]],Ohj.lask.[%-osuus 7])</f>
        <v>3.6145254476349802E-2</v>
      </c>
      <c r="AC14" s="11">
        <f>SUMIF(Ohj.lask.[Maakunta],Maakunt.[[#This Row],[Maakunta]],Ohj.lask.[Jaettava € 7])</f>
        <v>279734</v>
      </c>
      <c r="AD14" s="13">
        <f>SUMIF(Ohj.lask.[Maakunta],Maakunt.[[#This Row],[Maakunta]],Ohj.lask.[%-osuus 8])</f>
        <v>3.2077318532698254E-2</v>
      </c>
      <c r="AE14" s="11">
        <f>SUMIF(Ohj.lask.[Maakunta],Maakunt.[[#This Row],[Maakunta]],Ohj.lask.[Jaettava € 8])</f>
        <v>65464322</v>
      </c>
      <c r="AF14" s="12">
        <f>SUMIF(Ohj.lask.[Maakunta],Maakunt.[[#This Row],[Maakunta]],Ohj.lask.[Harkinnanvarainen korotus 1, €])</f>
        <v>0</v>
      </c>
      <c r="AG14" s="34">
        <f>SUMIF(Ohj.lask.[Maakunta],Maakunt.[[#This Row],[Maakunta]],Ohj.lask.[Harkinnanvarainen korotus 2, €])</f>
        <v>30000</v>
      </c>
      <c r="AH14" s="34">
        <f>SUMIF(Ohj.lask.[Maakunta],Maakunt.[[#This Row],[Maakunta]],Ohj.lask.[Harkinnanvarainen korotus 3, €])</f>
        <v>0</v>
      </c>
      <c r="AI14" s="34">
        <f>SUMIF(Ohj.lask.[Maakunta],Maakunt.[[#This Row],[Maakunta]],Ohj.lask.[Harkinnanvarainen korotus 4, €])</f>
        <v>72000</v>
      </c>
      <c r="AJ14" s="34">
        <f>SUMIF(Ohj.lask.[Maakunta],Maakunt.[[#This Row],[Maakunta]],Ohj.lask.[Harkinnanvarainen korotus 5, €])</f>
        <v>20000</v>
      </c>
      <c r="AK14" s="11">
        <f>SUMIF(Ohj.lask.[Maakunta],Maakunt.[[#This Row],[Maakunta]],Ohj.lask.[Harkinnanvarainen korotus yhteensä, €])</f>
        <v>122000</v>
      </c>
      <c r="AL14" s="12">
        <f>SUMIF(Ohj.lask.[Maakunta],Maakunt.[[#This Row],[Maakunta]],Ohj.lask.[Suoriteperusteinen (opiskelijavuosiin perustuva) sekä harkinnanvarainen korotus, €])</f>
        <v>46037913</v>
      </c>
      <c r="AM14" s="12">
        <f>SUMIF(Ohj.lask.[Maakunta],Maakunt.[[#This Row],[Maakunta]],Ohj.lask.[Suoritusrahoitus, €])</f>
        <v>12744008</v>
      </c>
      <c r="AN14" s="12">
        <f>SUMIF(Ohj.lask.[Maakunta],Maakunt.[[#This Row],[Maakunta]],Ohj.lask.[Työllistymiseen ja jatko-opintoihin siirtymiseen, opiskelijapalautteiseen sekä työelämäpalautteeseen perustuva, €])</f>
        <v>6804401</v>
      </c>
      <c r="AO14" s="34">
        <f>SUMIF(Ohj.lask.[Maakunta],Maakunt.[[#This Row],[Maakunta]],Ohj.lask.[Perus-, suoritus- ja vaikuttavuusrahoitus yhteensä, €])</f>
        <v>65586322</v>
      </c>
      <c r="AP14" s="13">
        <f>Maakunt.[[#This Row],[Jaettava € 1]]/Maakunt.[[#This Row],[Perus-, suoritus- ja vaikuttavuusrahoitus yhteensä, €]]</f>
        <v>0.7000836698847055</v>
      </c>
      <c r="AQ14" s="10">
        <f>Maakunt.[[#This Row],[Suoriteperusteinen (opiskelijavuosiin perustuva) sekä harkinnanvarainen korotus, €]]/Maakunt.[[#This Row],[Perus-, suoritus- ja vaikuttavuusrahoitus yhteensä, €]]</f>
        <v>0.70194381383362225</v>
      </c>
      <c r="AR14" s="42">
        <f>Maakunt.[[#This Row],[Suoritusrahoitus, €]]/Maakunt.[[#This Row],[Perus-, suoritus- ja vaikuttavuusrahoitus yhteensä, €]]</f>
        <v>0.19430892923070148</v>
      </c>
      <c r="AS14" s="10">
        <f>Maakunt.[[#This Row],[Työllistymiseen ja jatko-opintoihin siirtymiseen perustuva sekä opiskelija-palautteisiin perustuva, €]]/Maakunt.[[#This Row],[Perus-, suoritus- ja vaikuttavuusrahoitus yhteensä, €]]</f>
        <v>0.10374725693567631</v>
      </c>
      <c r="AT14" s="10">
        <f>SUMIF(Ohj.lask.[Maakunta],Maakunt.[[#This Row],[Maakunta]],Ohj.lask.[Jaettava € 3])/Maakunt.[[#This Row],[Perus-, suoritus- ja vaikuttavuusrahoitus yhteensä, €]]</f>
        <v>7.2270266962065663E-2</v>
      </c>
      <c r="AU14" s="10">
        <f>SUMIF(Ohj.lask.[Maakunta],Maakunt.[[#This Row],[Maakunta]],Ohj.lask.[Jaettava € 4])/Maakunt.[[#This Row],[Perus-, suoritus- ja vaikuttavuusrahoitus yhteensä, €]]</f>
        <v>4.198161927726333E-3</v>
      </c>
      <c r="AV14" s="10">
        <f>SUMIF(Ohj.lask.[Maakunta],Maakunt.[[#This Row],[Maakunta]],Ohj.lask.[Jaettava € 5])/Maakunt.[[#This Row],[Perus-, suoritus- ja vaikuttavuusrahoitus yhteensä, €]]</f>
        <v>1.1009673632865096E-2</v>
      </c>
      <c r="AW14" s="10">
        <f>SUMIF(Ohj.lask.[Maakunta],Maakunt.[[#This Row],[Maakunta]],Ohj.lask.[Jaettava € 6])/Maakunt.[[#This Row],[Perus-, suoritus- ja vaikuttavuusrahoitus yhteensä, €]]</f>
        <v>1.2004027303131893E-2</v>
      </c>
      <c r="AX14" s="10">
        <f>SUMIF(Ohj.lask.[Maakunta],Maakunt.[[#This Row],[Maakunta]],Ohj.lask.[Jaettava € 7])/Maakunt.[[#This Row],[Perus-, suoritus- ja vaikuttavuusrahoitus yhteensä, €]]</f>
        <v>4.2651271098873332E-3</v>
      </c>
      <c r="AY14" s="12">
        <f>SUMIF(Vertailu[Maakunta],Maakunt.[[#This Row],[Maakunta]],Vertailu[Rahoitus ml. hark. kor. 
2024 ilman alv, €])</f>
        <v>68419052</v>
      </c>
      <c r="AZ14" s="12">
        <f>SUMIF(Vertailu[Maakunta],Maakunt.[[#This Row],[Maakunta]],Vertailu[Rahoitus ml. hark. kor. 
2025 ilman alv, €])</f>
        <v>65586322</v>
      </c>
      <c r="BA14" s="12">
        <f>SUMIF(Vertailu[Maakunta],Maakunt.[[#This Row],[Maakunta]],Vertailu[Muutos, € 2])</f>
        <v>-2832730</v>
      </c>
      <c r="BB14" s="35">
        <f>IFERROR(Maakunt.[[#This Row],[Muutos, € 2]]/Maakunt.[[#This Row],[Rahoitus ml. hark. kor. 
2024 ilman alv, €]],0)</f>
        <v>-4.1402649074997418E-2</v>
      </c>
    </row>
    <row r="15" spans="1:54" x14ac:dyDescent="0.2">
      <c r="A15" s="16" t="s">
        <v>183</v>
      </c>
      <c r="B15" s="16">
        <f>COUNTIF(Ohj.lask.[Maakunta],Maakunt.[[#This Row],[Maakunta]])</f>
        <v>9</v>
      </c>
      <c r="C15" s="16">
        <f>COUNTIFS(Ohj.lask.[Maakunta],Maakunt.[[#This Row],[Maakunta]],Ohj.lask.[Omistajatyyppi],"=yksityinen")</f>
        <v>6</v>
      </c>
      <c r="D15" s="16">
        <f>COUNTIFS(Ohj.lask.[Maakunta],Maakunt.[[#This Row],[Maakunta]],Ohj.lask.[Omistajatyyppi],"=kunta")</f>
        <v>1</v>
      </c>
      <c r="E15" s="16">
        <f>COUNTIFS(Ohj.lask.[Maakunta],Maakunt.[[#This Row],[Maakunta]],Ohj.lask.[Omistajatyyppi],"=kuntayhtymä")</f>
        <v>2</v>
      </c>
      <c r="F15" s="12">
        <f>SUMIF(Ohj.lask.[Maakunta],Maakunt.[[#This Row],[Maakunta]],Ohj.lask.[Järjestämisluvan opisk.vuosien vähimmäismäärä (ei noudateta 2025)])</f>
        <v>14035</v>
      </c>
      <c r="G15" s="11">
        <f>SUMIF(Ohj.lask.[Maakunta],Maakunt.[[#This Row],[Maakunta]],Ohj.lask.[Tavoitteelliset opiskelija-vuodet])</f>
        <v>15725</v>
      </c>
      <c r="H15" s="73">
        <f>Maakunt.[[#This Row],[Painotetut opiskelija-vuodet]]/Maakunt.[[#This Row],[Tavoitteelliset opiske-lijavuodet]]</f>
        <v>1.1327949125596184</v>
      </c>
      <c r="I15" s="74">
        <f>SUMIF(Ohj.lask.[Maakunta],Maakunt.[[#This Row],[Maakunta]],Ohj.lask.[Painotetut opiskelija-vuodet])</f>
        <v>17813.2</v>
      </c>
      <c r="J15" s="10">
        <f>SUMIF(Ohj.lask.[Maakunta],Maakunt.[[#This Row],[Maakunta]],Ohj.lask.[%-osuus 1])</f>
        <v>8.6502918524130015E-2</v>
      </c>
      <c r="K15" s="11">
        <f>SUMIF(Ohj.lask.[Maakunta],Maakunt.[[#This Row],[Maakunta]],Ohj.lask.[Jaettava € 1])</f>
        <v>122980940</v>
      </c>
      <c r="L15" s="12">
        <f>SUMIF(Ohj.lask.[Maakunta],Maakunt.[[#This Row],[Maakunta]],Ohj.lask.[Painotetut pisteet 2])</f>
        <v>1487112.7</v>
      </c>
      <c r="M15" s="10">
        <f>SUMIF(Ohj.lask.[Maakunta],Maakunt.[[#This Row],[Maakunta]],Ohj.lask.[%-osuus 2])</f>
        <v>9.4420936661660987E-2</v>
      </c>
      <c r="N15" s="11">
        <f>SUMIF(Ohj.lask.[Maakunta],Maakunt.[[#This Row],[Maakunta]],Ohj.lask.[Jaettava € 2])</f>
        <v>38972713</v>
      </c>
      <c r="O15" s="12">
        <f>SUMIF(Ohj.lask.[Maakunta],Maakunt.[[#This Row],[Maakunta]],Ohj.lask.[Painotetut pisteet 3])</f>
        <v>33827</v>
      </c>
      <c r="P15" s="10">
        <f>SUMIF(Ohj.lask.[Maakunta],Maakunt.[[#This Row],[Maakunta]],Ohj.lask.[%-osuus 3])</f>
        <v>0.1002205759268559</v>
      </c>
      <c r="Q15" s="11">
        <f>SUMIF(Ohj.lask.[Maakunta],Maakunt.[[#This Row],[Maakunta]],Ohj.lask.[Jaettava € 3])</f>
        <v>14478255</v>
      </c>
      <c r="R15" s="12">
        <f>SUMIF(Ohj.lask.[Maakunta],Maakunt.[[#This Row],[Maakunta]],Ohj.lask.[Painotetut pisteet 4])</f>
        <v>145860.19999999998</v>
      </c>
      <c r="S15" s="10">
        <f>SUMIF(Ohj.lask.[Maakunta],Maakunt.[[#This Row],[Maakunta]],Ohj.lask.[%-osuus 4])</f>
        <v>8.389280485885113E-2</v>
      </c>
      <c r="T15" s="11">
        <f>SUMIF(Ohj.lask.[Maakunta],Maakunt.[[#This Row],[Maakunta]],Ohj.lask.[Jaettava € 4])</f>
        <v>649258</v>
      </c>
      <c r="U15" s="12">
        <f>SUMIF(Ohj.lask.[Maakunta],Maakunt.[[#This Row],[Maakunta]],Ohj.lask.[Painotetut pisteet 5])</f>
        <v>974503.4</v>
      </c>
      <c r="V15" s="10">
        <f>SUMIF(Ohj.lask.[Maakunta],Maakunt.[[#This Row],[Maakunta]],Ohj.lask.[%-osuus 5])</f>
        <v>8.7819254996127652E-2</v>
      </c>
      <c r="W15" s="11">
        <f>SUMIF(Ohj.lask.[Maakunta],Maakunt.[[#This Row],[Maakunta]],Ohj.lask.[Jaettava € 5])</f>
        <v>2038936</v>
      </c>
      <c r="X15" s="12">
        <f>SUMIF(Ohj.lask.[Maakunta],Maakunt.[[#This Row],[Maakunta]],Ohj.lask.[Painotetut pisteet 6])</f>
        <v>35081661</v>
      </c>
      <c r="Y15" s="10">
        <f>SUMIF(Ohj.lask.[Maakunta],Maakunt.[[#This Row],[Maakunta]],Ohj.lask.[%-osuus 6])</f>
        <v>0.1022291746477582</v>
      </c>
      <c r="Z15" s="17">
        <f>SUMIF(Ohj.lask.[Maakunta],Maakunt.[[#This Row],[Maakunta]],Ohj.lask.[Jaettava € 6])</f>
        <v>2373497</v>
      </c>
      <c r="AA15" s="11">
        <f>SUMIF(Ohj.lask.[Maakunta],Maakunt.[[#This Row],[Maakunta]],Ohj.lask.[Pisteet 7])</f>
        <v>15474117.299999999</v>
      </c>
      <c r="AB15" s="10">
        <f>SUMIF(Ohj.lask.[Maakunta],Maakunt.[[#This Row],[Maakunta]],Ohj.lask.[%-osuus 7])</f>
        <v>7.5613071353914707E-2</v>
      </c>
      <c r="AC15" s="11">
        <f>SUMIF(Ohj.lask.[Maakunta],Maakunt.[[#This Row],[Maakunta]],Ohj.lask.[Jaettava € 7])</f>
        <v>585180</v>
      </c>
      <c r="AD15" s="13">
        <f>SUMIF(Ohj.lask.[Maakunta],Maakunt.[[#This Row],[Maakunta]],Ohj.lask.[%-osuus 8])</f>
        <v>8.9218047534774275E-2</v>
      </c>
      <c r="AE15" s="11">
        <f>SUMIF(Ohj.lask.[Maakunta],Maakunt.[[#This Row],[Maakunta]],Ohj.lask.[Jaettava € 8])</f>
        <v>182078779</v>
      </c>
      <c r="AF15" s="12">
        <f>SUMIF(Ohj.lask.[Maakunta],Maakunt.[[#This Row],[Maakunta]],Ohj.lask.[Harkinnanvarainen korotus 1, €])</f>
        <v>0</v>
      </c>
      <c r="AG15" s="34">
        <f>SUMIF(Ohj.lask.[Maakunta],Maakunt.[[#This Row],[Maakunta]],Ohj.lask.[Harkinnanvarainen korotus 2, €])</f>
        <v>250000</v>
      </c>
      <c r="AH15" s="34">
        <f>SUMIF(Ohj.lask.[Maakunta],Maakunt.[[#This Row],[Maakunta]],Ohj.lask.[Harkinnanvarainen korotus 3, €])</f>
        <v>0</v>
      </c>
      <c r="AI15" s="34">
        <f>SUMIF(Ohj.lask.[Maakunta],Maakunt.[[#This Row],[Maakunta]],Ohj.lask.[Harkinnanvarainen korotus 4, €])</f>
        <v>277000</v>
      </c>
      <c r="AJ15" s="34">
        <f>SUMIF(Ohj.lask.[Maakunta],Maakunt.[[#This Row],[Maakunta]],Ohj.lask.[Harkinnanvarainen korotus 5, €])</f>
        <v>100000</v>
      </c>
      <c r="AK15" s="11">
        <f>SUMIF(Ohj.lask.[Maakunta],Maakunt.[[#This Row],[Maakunta]],Ohj.lask.[Harkinnanvarainen korotus yhteensä, €])</f>
        <v>627000</v>
      </c>
      <c r="AL15" s="12">
        <f>SUMIF(Ohj.lask.[Maakunta],Maakunt.[[#This Row],[Maakunta]],Ohj.lask.[Suoriteperusteinen (opiskelijavuosiin perustuva) sekä harkinnanvarainen korotus, €])</f>
        <v>123607940</v>
      </c>
      <c r="AM15" s="12">
        <f>SUMIF(Ohj.lask.[Maakunta],Maakunt.[[#This Row],[Maakunta]],Ohj.lask.[Suoritusrahoitus, €])</f>
        <v>38972713</v>
      </c>
      <c r="AN15" s="12">
        <f>SUMIF(Ohj.lask.[Maakunta],Maakunt.[[#This Row],[Maakunta]],Ohj.lask.[Työllistymiseen ja jatko-opintoihin siirtymiseen, opiskelijapalautteiseen sekä työelämäpalautteeseen perustuva, €])</f>
        <v>20125126</v>
      </c>
      <c r="AO15" s="34">
        <f>SUMIF(Ohj.lask.[Maakunta],Maakunt.[[#This Row],[Maakunta]],Ohj.lask.[Perus-, suoritus- ja vaikuttavuusrahoitus yhteensä, €])</f>
        <v>182705779</v>
      </c>
      <c r="AP15" s="13">
        <f>Maakunt.[[#This Row],[Jaettava € 1]]/Maakunt.[[#This Row],[Perus-, suoritus- ja vaikuttavuusrahoitus yhteensä, €]]</f>
        <v>0.67310919596035323</v>
      </c>
      <c r="AQ15" s="10">
        <f>Maakunt.[[#This Row],[Suoriteperusteinen (opiskelijavuosiin perustuva) sekä harkinnanvarainen korotus, €]]/Maakunt.[[#This Row],[Perus-, suoritus- ja vaikuttavuusrahoitus yhteensä, €]]</f>
        <v>0.67654094291128031</v>
      </c>
      <c r="AR15" s="42">
        <f>Maakunt.[[#This Row],[Suoritusrahoitus, €]]/Maakunt.[[#This Row],[Perus-, suoritus- ja vaikuttavuusrahoitus yhteensä, €]]</f>
        <v>0.21330859490766299</v>
      </c>
      <c r="AS15" s="10">
        <f>Maakunt.[[#This Row],[Työllistymiseen ja jatko-opintoihin siirtymiseen perustuva sekä opiskelija-palautteisiin perustuva, €]]/Maakunt.[[#This Row],[Perus-, suoritus- ja vaikuttavuusrahoitus yhteensä, €]]</f>
        <v>0.11015046218105669</v>
      </c>
      <c r="AT15" s="10">
        <f>SUMIF(Ohj.lask.[Maakunta],Maakunt.[[#This Row],[Maakunta]],Ohj.lask.[Jaettava € 3])/Maakunt.[[#This Row],[Perus-, suoritus- ja vaikuttavuusrahoitus yhteensä, €]]</f>
        <v>7.9243552553419777E-2</v>
      </c>
      <c r="AU15" s="10">
        <f>SUMIF(Ohj.lask.[Maakunta],Maakunt.[[#This Row],[Maakunta]],Ohj.lask.[Jaettava € 4])/Maakunt.[[#This Row],[Perus-, suoritus- ja vaikuttavuusrahoitus yhteensä, €]]</f>
        <v>3.5535712310446402E-3</v>
      </c>
      <c r="AV15" s="10">
        <f>SUMIF(Ohj.lask.[Maakunta],Maakunt.[[#This Row],[Maakunta]],Ohj.lask.[Jaettava € 5])/Maakunt.[[#This Row],[Perus-, suoritus- ja vaikuttavuusrahoitus yhteensä, €]]</f>
        <v>1.1159668901332343E-2</v>
      </c>
      <c r="AW15" s="10">
        <f>SUMIF(Ohj.lask.[Maakunta],Maakunt.[[#This Row],[Maakunta]],Ohj.lask.[Jaettava € 6])/Maakunt.[[#This Row],[Perus-, suoritus- ja vaikuttavuusrahoitus yhteensä, €]]</f>
        <v>1.2990815140007148E-2</v>
      </c>
      <c r="AX15" s="10">
        <f>SUMIF(Ohj.lask.[Maakunta],Maakunt.[[#This Row],[Maakunta]],Ohj.lask.[Jaettava € 7])/Maakunt.[[#This Row],[Perus-, suoritus- ja vaikuttavuusrahoitus yhteensä, €]]</f>
        <v>3.2028543552527697E-3</v>
      </c>
      <c r="AY15" s="12">
        <f>SUMIF(Vertailu[Maakunta],Maakunt.[[#This Row],[Maakunta]],Vertailu[Rahoitus ml. hark. kor. 
2024 ilman alv, €])</f>
        <v>191052401</v>
      </c>
      <c r="AZ15" s="12">
        <f>SUMIF(Vertailu[Maakunta],Maakunt.[[#This Row],[Maakunta]],Vertailu[Rahoitus ml. hark. kor. 
2025 ilman alv, €])</f>
        <v>182705779</v>
      </c>
      <c r="BA15" s="12">
        <f>SUMIF(Vertailu[Maakunta],Maakunt.[[#This Row],[Maakunta]],Vertailu[Muutos, € 2])</f>
        <v>-8346622</v>
      </c>
      <c r="BB15" s="35">
        <f>IFERROR(Maakunt.[[#This Row],[Muutos, € 2]]/Maakunt.[[#This Row],[Rahoitus ml. hark. kor. 
2024 ilman alv, €]],0)</f>
        <v>-4.3687605894049977E-2</v>
      </c>
    </row>
    <row r="16" spans="1:54" x14ac:dyDescent="0.2">
      <c r="A16" s="16" t="s">
        <v>180</v>
      </c>
      <c r="B16" s="16">
        <f>COUNTIF(Ohj.lask.[Maakunta],Maakunt.[[#This Row],[Maakunta]])</f>
        <v>5</v>
      </c>
      <c r="C16" s="16">
        <f>COUNTIFS(Ohj.lask.[Maakunta],Maakunt.[[#This Row],[Maakunta]],Ohj.lask.[Omistajatyyppi],"=yksityinen")</f>
        <v>1</v>
      </c>
      <c r="D16" s="16">
        <f>COUNTIFS(Ohj.lask.[Maakunta],Maakunt.[[#This Row],[Maakunta]],Ohj.lask.[Omistajatyyppi],"=kunta")</f>
        <v>1</v>
      </c>
      <c r="E16" s="16">
        <f>COUNTIFS(Ohj.lask.[Maakunta],Maakunt.[[#This Row],[Maakunta]],Ohj.lask.[Omistajatyyppi],"=kuntayhtymä")</f>
        <v>3</v>
      </c>
      <c r="F16" s="12">
        <f>SUMIF(Ohj.lask.[Maakunta],Maakunt.[[#This Row],[Maakunta]],Ohj.lask.[Järjestämisluvan opisk.vuosien vähimmäismäärä (ei noudateta 2025)])</f>
        <v>5007</v>
      </c>
      <c r="G16" s="11">
        <f>SUMIF(Ohj.lask.[Maakunta],Maakunt.[[#This Row],[Maakunta]],Ohj.lask.[Tavoitteelliset opiskelija-vuodet])</f>
        <v>5027</v>
      </c>
      <c r="H16" s="73">
        <f>Maakunt.[[#This Row],[Painotetut opiskelija-vuodet]]/Maakunt.[[#This Row],[Tavoitteelliset opiske-lijavuodet]]</f>
        <v>1.2124527551223394</v>
      </c>
      <c r="I16" s="74">
        <f>SUMIF(Ohj.lask.[Maakunta],Maakunt.[[#This Row],[Maakunta]],Ohj.lask.[Painotetut opiskelija-vuodet])</f>
        <v>6095</v>
      </c>
      <c r="J16" s="10">
        <f>SUMIF(Ohj.lask.[Maakunta],Maakunt.[[#This Row],[Maakunta]],Ohj.lask.[%-osuus 1])</f>
        <v>2.9598010935967291E-2</v>
      </c>
      <c r="K16" s="11">
        <f>SUMIF(Ohj.lask.[Maakunta],Maakunt.[[#This Row],[Maakunta]],Ohj.lask.[Jaettava € 1])</f>
        <v>42079403</v>
      </c>
      <c r="L16" s="12">
        <f>SUMIF(Ohj.lask.[Maakunta],Maakunt.[[#This Row],[Maakunta]],Ohj.lask.[Painotetut pisteet 2])</f>
        <v>466577.4</v>
      </c>
      <c r="M16" s="10">
        <f>SUMIF(Ohj.lask.[Maakunta],Maakunt.[[#This Row],[Maakunta]],Ohj.lask.[%-osuus 2])</f>
        <v>2.9624301596753538E-2</v>
      </c>
      <c r="N16" s="11">
        <f>SUMIF(Ohj.lask.[Maakunta],Maakunt.[[#This Row],[Maakunta]],Ohj.lask.[Jaettava € 2])</f>
        <v>12227579</v>
      </c>
      <c r="O16" s="12">
        <f>SUMIF(Ohj.lask.[Maakunta],Maakunt.[[#This Row],[Maakunta]],Ohj.lask.[Painotetut pisteet 3])</f>
        <v>10545</v>
      </c>
      <c r="P16" s="10">
        <f>SUMIF(Ohj.lask.[Maakunta],Maakunt.[[#This Row],[Maakunta]],Ohj.lask.[%-osuus 3])</f>
        <v>3.124208393143629E-2</v>
      </c>
      <c r="Q16" s="11">
        <f>SUMIF(Ohj.lask.[Maakunta],Maakunt.[[#This Row],[Maakunta]],Ohj.lask.[Jaettava € 3])</f>
        <v>4513353</v>
      </c>
      <c r="R16" s="12">
        <f>SUMIF(Ohj.lask.[Maakunta],Maakunt.[[#This Row],[Maakunta]],Ohj.lask.[Painotetut pisteet 4])</f>
        <v>43257</v>
      </c>
      <c r="S16" s="10">
        <f>SUMIF(Ohj.lask.[Maakunta],Maakunt.[[#This Row],[Maakunta]],Ohj.lask.[%-osuus 4])</f>
        <v>2.4879652295686706E-2</v>
      </c>
      <c r="T16" s="11">
        <f>SUMIF(Ohj.lask.[Maakunta],Maakunt.[[#This Row],[Maakunta]],Ohj.lask.[Jaettava € 4])</f>
        <v>192546</v>
      </c>
      <c r="U16" s="12">
        <f>SUMIF(Ohj.lask.[Maakunta],Maakunt.[[#This Row],[Maakunta]],Ohj.lask.[Painotetut pisteet 5])</f>
        <v>263204.19999999995</v>
      </c>
      <c r="V16" s="10">
        <f>SUMIF(Ohj.lask.[Maakunta],Maakunt.[[#This Row],[Maakunta]],Ohj.lask.[%-osuus 5])</f>
        <v>2.3719154551797128E-2</v>
      </c>
      <c r="W16" s="11">
        <f>SUMIF(Ohj.lask.[Maakunta],Maakunt.[[#This Row],[Maakunta]],Ohj.lask.[Jaettava € 5])</f>
        <v>550698</v>
      </c>
      <c r="X16" s="12">
        <f>SUMIF(Ohj.lask.[Maakunta],Maakunt.[[#This Row],[Maakunta]],Ohj.lask.[Painotetut pisteet 6])</f>
        <v>11177015.899999999</v>
      </c>
      <c r="Y16" s="10">
        <f>SUMIF(Ohj.lask.[Maakunta],Maakunt.[[#This Row],[Maakunta]],Ohj.lask.[%-osuus 6])</f>
        <v>3.2570211270266547E-2</v>
      </c>
      <c r="Z16" s="17">
        <f>SUMIF(Ohj.lask.[Maakunta],Maakunt.[[#This Row],[Maakunta]],Ohj.lask.[Jaettava € 6])</f>
        <v>756197</v>
      </c>
      <c r="AA16" s="11">
        <f>SUMIF(Ohj.lask.[Maakunta],Maakunt.[[#This Row],[Maakunta]],Ohj.lask.[Pisteet 7])</f>
        <v>3300434.5</v>
      </c>
      <c r="AB16" s="10">
        <f>SUMIF(Ohj.lask.[Maakunta],Maakunt.[[#This Row],[Maakunta]],Ohj.lask.[%-osuus 7])</f>
        <v>1.6127316635206185E-2</v>
      </c>
      <c r="AC16" s="11">
        <f>SUMIF(Ohj.lask.[Maakunta],Maakunt.[[#This Row],[Maakunta]],Ohj.lask.[Jaettava € 7])</f>
        <v>124811</v>
      </c>
      <c r="AD16" s="13">
        <f>SUMIF(Ohj.lask.[Maakunta],Maakunt.[[#This Row],[Maakunta]],Ohj.lask.[%-osuus 8])</f>
        <v>2.9617663660770704E-2</v>
      </c>
      <c r="AE16" s="11">
        <f>SUMIF(Ohj.lask.[Maakunta],Maakunt.[[#This Row],[Maakunta]],Ohj.lask.[Jaettava € 8])</f>
        <v>60444587</v>
      </c>
      <c r="AF16" s="12">
        <f>SUMIF(Ohj.lask.[Maakunta],Maakunt.[[#This Row],[Maakunta]],Ohj.lask.[Harkinnanvarainen korotus 1, €])</f>
        <v>0</v>
      </c>
      <c r="AG16" s="34">
        <f>SUMIF(Ohj.lask.[Maakunta],Maakunt.[[#This Row],[Maakunta]],Ohj.lask.[Harkinnanvarainen korotus 2, €])</f>
        <v>0</v>
      </c>
      <c r="AH16" s="34">
        <f>SUMIF(Ohj.lask.[Maakunta],Maakunt.[[#This Row],[Maakunta]],Ohj.lask.[Harkinnanvarainen korotus 3, €])</f>
        <v>0</v>
      </c>
      <c r="AI16" s="34">
        <f>SUMIF(Ohj.lask.[Maakunta],Maakunt.[[#This Row],[Maakunta]],Ohj.lask.[Harkinnanvarainen korotus 4, €])</f>
        <v>60000</v>
      </c>
      <c r="AJ16" s="34">
        <f>SUMIF(Ohj.lask.[Maakunta],Maakunt.[[#This Row],[Maakunta]],Ohj.lask.[Harkinnanvarainen korotus 5, €])</f>
        <v>11000</v>
      </c>
      <c r="AK16" s="11">
        <f>SUMIF(Ohj.lask.[Maakunta],Maakunt.[[#This Row],[Maakunta]],Ohj.lask.[Harkinnanvarainen korotus yhteensä, €])</f>
        <v>71000</v>
      </c>
      <c r="AL16" s="12">
        <f>SUMIF(Ohj.lask.[Maakunta],Maakunt.[[#This Row],[Maakunta]],Ohj.lask.[Suoriteperusteinen (opiskelijavuosiin perustuva) sekä harkinnanvarainen korotus, €])</f>
        <v>42150403</v>
      </c>
      <c r="AM16" s="12">
        <f>SUMIF(Ohj.lask.[Maakunta],Maakunt.[[#This Row],[Maakunta]],Ohj.lask.[Suoritusrahoitus, €])</f>
        <v>12227579</v>
      </c>
      <c r="AN16" s="12">
        <f>SUMIF(Ohj.lask.[Maakunta],Maakunt.[[#This Row],[Maakunta]],Ohj.lask.[Työllistymiseen ja jatko-opintoihin siirtymiseen, opiskelijapalautteiseen sekä työelämäpalautteeseen perustuva, €])</f>
        <v>6137605</v>
      </c>
      <c r="AO16" s="34">
        <f>SUMIF(Ohj.lask.[Maakunta],Maakunt.[[#This Row],[Maakunta]],Ohj.lask.[Perus-, suoritus- ja vaikuttavuusrahoitus yhteensä, €])</f>
        <v>60515587</v>
      </c>
      <c r="AP16" s="13">
        <f>Maakunt.[[#This Row],[Jaettava € 1]]/Maakunt.[[#This Row],[Perus-, suoritus- ja vaikuttavuusrahoitus yhteensä, €]]</f>
        <v>0.6953481753386942</v>
      </c>
      <c r="AQ16" s="10">
        <f>Maakunt.[[#This Row],[Suoriteperusteinen (opiskelijavuosiin perustuva) sekä harkinnanvarainen korotus, €]]/Maakunt.[[#This Row],[Perus-, suoritus- ja vaikuttavuusrahoitus yhteensä, €]]</f>
        <v>0.69652142678546602</v>
      </c>
      <c r="AR16" s="42">
        <f>Maakunt.[[#This Row],[Suoritusrahoitus, €]]/Maakunt.[[#This Row],[Perus-, suoritus- ja vaikuttavuusrahoitus yhteensä, €]]</f>
        <v>0.20205668665165555</v>
      </c>
      <c r="AS16" s="10">
        <f>Maakunt.[[#This Row],[Työllistymiseen ja jatko-opintoihin siirtymiseen perustuva sekä opiskelija-palautteisiin perustuva, €]]/Maakunt.[[#This Row],[Perus-, suoritus- ja vaikuttavuusrahoitus yhteensä, €]]</f>
        <v>0.10142188656287841</v>
      </c>
      <c r="AT16" s="10">
        <f>SUMIF(Ohj.lask.[Maakunta],Maakunt.[[#This Row],[Maakunta]],Ohj.lask.[Jaettava € 3])/Maakunt.[[#This Row],[Perus-, suoritus- ja vaikuttavuusrahoitus yhteensä, €]]</f>
        <v>7.4581661085101919E-2</v>
      </c>
      <c r="AU16" s="10">
        <f>SUMIF(Ohj.lask.[Maakunta],Maakunt.[[#This Row],[Maakunta]],Ohj.lask.[Jaettava € 4])/Maakunt.[[#This Row],[Perus-, suoritus- ja vaikuttavuusrahoitus yhteensä, €]]</f>
        <v>3.1817587756357711E-3</v>
      </c>
      <c r="AV16" s="10">
        <f>SUMIF(Ohj.lask.[Maakunta],Maakunt.[[#This Row],[Maakunta]],Ohj.lask.[Jaettava € 5])/Maakunt.[[#This Row],[Perus-, suoritus- ja vaikuttavuusrahoitus yhteensä, €]]</f>
        <v>9.1001017638645734E-3</v>
      </c>
      <c r="AW16" s="10">
        <f>SUMIF(Ohj.lask.[Maakunta],Maakunt.[[#This Row],[Maakunta]],Ohj.lask.[Jaettava € 6])/Maakunt.[[#This Row],[Perus-, suoritus- ja vaikuttavuusrahoitus yhteensä, €]]</f>
        <v>1.2495904567529024E-2</v>
      </c>
      <c r="AX16" s="10">
        <f>SUMIF(Ohj.lask.[Maakunta],Maakunt.[[#This Row],[Maakunta]],Ohj.lask.[Jaettava € 7])/Maakunt.[[#This Row],[Perus-, suoritus- ja vaikuttavuusrahoitus yhteensä, €]]</f>
        <v>2.0624603707471265E-3</v>
      </c>
      <c r="AY16" s="12">
        <f>SUMIF(Vertailu[Maakunta],Maakunt.[[#This Row],[Maakunta]],Vertailu[Rahoitus ml. hark. kor. 
2024 ilman alv, €])</f>
        <v>61665261</v>
      </c>
      <c r="AZ16" s="12">
        <f>SUMIF(Vertailu[Maakunta],Maakunt.[[#This Row],[Maakunta]],Vertailu[Rahoitus ml. hark. kor. 
2025 ilman alv, €])</f>
        <v>60515587</v>
      </c>
      <c r="BA16" s="12">
        <f>SUMIF(Vertailu[Maakunta],Maakunt.[[#This Row],[Maakunta]],Vertailu[Muutos, € 2])</f>
        <v>-1149674</v>
      </c>
      <c r="BB16" s="35">
        <f>IFERROR(Maakunt.[[#This Row],[Muutos, € 2]]/Maakunt.[[#This Row],[Rahoitus ml. hark. kor. 
2024 ilman alv, €]],0)</f>
        <v>-1.8643787139731721E-2</v>
      </c>
    </row>
    <row r="17" spans="1:54" x14ac:dyDescent="0.2">
      <c r="A17" s="16" t="s">
        <v>242</v>
      </c>
      <c r="B17" s="16">
        <f>COUNTIF(Ohj.lask.[Maakunta],Maakunt.[[#This Row],[Maakunta]])</f>
        <v>4</v>
      </c>
      <c r="C17" s="16">
        <f>COUNTIFS(Ohj.lask.[Maakunta],Maakunt.[[#This Row],[Maakunta]],Ohj.lask.[Omistajatyyppi],"=yksityinen")</f>
        <v>2</v>
      </c>
      <c r="D17" s="16">
        <f>COUNTIFS(Ohj.lask.[Maakunta],Maakunt.[[#This Row],[Maakunta]],Ohj.lask.[Omistajatyyppi],"=kunta")</f>
        <v>1</v>
      </c>
      <c r="E17" s="16">
        <f>COUNTIFS(Ohj.lask.[Maakunta],Maakunt.[[#This Row],[Maakunta]],Ohj.lask.[Omistajatyyppi],"=kuntayhtymä")</f>
        <v>1</v>
      </c>
      <c r="F17" s="12">
        <f>SUMIF(Ohj.lask.[Maakunta],Maakunt.[[#This Row],[Maakunta]],Ohj.lask.[Järjestämisluvan opisk.vuosien vähimmäismäärä (ei noudateta 2025)])</f>
        <v>4948</v>
      </c>
      <c r="G17" s="11">
        <f>SUMIF(Ohj.lask.[Maakunta],Maakunt.[[#This Row],[Maakunta]],Ohj.lask.[Tavoitteelliset opiskelija-vuodet])</f>
        <v>5169</v>
      </c>
      <c r="H17" s="73">
        <f>Maakunt.[[#This Row],[Painotetut opiskelija-vuodet]]/Maakunt.[[#This Row],[Tavoitteelliset opiske-lijavuodet]]</f>
        <v>1.1719674985490425</v>
      </c>
      <c r="I17" s="74">
        <f>SUMIF(Ohj.lask.[Maakunta],Maakunt.[[#This Row],[Maakunta]],Ohj.lask.[Painotetut opiskelija-vuodet])</f>
        <v>6057.9000000000005</v>
      </c>
      <c r="J17" s="10">
        <f>SUMIF(Ohj.lask.[Maakunta],Maakunt.[[#This Row],[Maakunta]],Ohj.lask.[%-osuus 1])</f>
        <v>2.9417849130270096E-2</v>
      </c>
      <c r="K17" s="11">
        <f>SUMIF(Ohj.lask.[Maakunta],Maakunt.[[#This Row],[Maakunta]],Ohj.lask.[Jaettava € 1])</f>
        <v>41823268</v>
      </c>
      <c r="L17" s="12">
        <f>SUMIF(Ohj.lask.[Maakunta],Maakunt.[[#This Row],[Maakunta]],Ohj.lask.[Painotetut pisteet 2])</f>
        <v>462742.1</v>
      </c>
      <c r="M17" s="10">
        <f>SUMIF(Ohj.lask.[Maakunta],Maakunt.[[#This Row],[Maakunta]],Ohj.lask.[%-osuus 2])</f>
        <v>2.9380787693349668E-2</v>
      </c>
      <c r="N17" s="11">
        <f>SUMIF(Ohj.lask.[Maakunta],Maakunt.[[#This Row],[Maakunta]],Ohj.lask.[Jaettava € 2])</f>
        <v>12127067</v>
      </c>
      <c r="O17" s="12">
        <f>SUMIF(Ohj.lask.[Maakunta],Maakunt.[[#This Row],[Maakunta]],Ohj.lask.[Painotetut pisteet 3])</f>
        <v>10859.3</v>
      </c>
      <c r="P17" s="10">
        <f>SUMIF(Ohj.lask.[Maakunta],Maakunt.[[#This Row],[Maakunta]],Ohj.lask.[%-osuus 3])</f>
        <v>3.2173272834200677E-2</v>
      </c>
      <c r="Q17" s="11">
        <f>SUMIF(Ohj.lask.[Maakunta],Maakunt.[[#This Row],[Maakunta]],Ohj.lask.[Jaettava € 3])</f>
        <v>4647876</v>
      </c>
      <c r="R17" s="12">
        <f>SUMIF(Ohj.lask.[Maakunta],Maakunt.[[#This Row],[Maakunta]],Ohj.lask.[Painotetut pisteet 4])</f>
        <v>53540.6</v>
      </c>
      <c r="S17" s="10">
        <f>SUMIF(Ohj.lask.[Maakunta],Maakunt.[[#This Row],[Maakunta]],Ohj.lask.[%-osuus 4])</f>
        <v>3.079435725321783E-2</v>
      </c>
      <c r="T17" s="11">
        <f>SUMIF(Ohj.lask.[Maakunta],Maakunt.[[#This Row],[Maakunta]],Ohj.lask.[Jaettava € 4])</f>
        <v>238322</v>
      </c>
      <c r="U17" s="12">
        <f>SUMIF(Ohj.lask.[Maakunta],Maakunt.[[#This Row],[Maakunta]],Ohj.lask.[Painotetut pisteet 5])</f>
        <v>341799.89999999997</v>
      </c>
      <c r="V17" s="10">
        <f>SUMIF(Ohj.lask.[Maakunta],Maakunt.[[#This Row],[Maakunta]],Ohj.lask.[%-osuus 5])</f>
        <v>3.0801957772287843E-2</v>
      </c>
      <c r="W17" s="11">
        <f>SUMIF(Ohj.lask.[Maakunta],Maakunt.[[#This Row],[Maakunta]],Ohj.lask.[Jaettava € 5])</f>
        <v>715142</v>
      </c>
      <c r="X17" s="12">
        <f>SUMIF(Ohj.lask.[Maakunta],Maakunt.[[#This Row],[Maakunta]],Ohj.lask.[Painotetut pisteet 6])</f>
        <v>12738562.699999999</v>
      </c>
      <c r="Y17" s="10">
        <f>SUMIF(Ohj.lask.[Maakunta],Maakunt.[[#This Row],[Maakunta]],Ohj.lask.[%-osuus 6])</f>
        <v>3.7120612704732492E-2</v>
      </c>
      <c r="Z17" s="17">
        <f>SUMIF(Ohj.lask.[Maakunta],Maakunt.[[#This Row],[Maakunta]],Ohj.lask.[Jaettava € 6])</f>
        <v>861845</v>
      </c>
      <c r="AA17" s="11">
        <f>SUMIF(Ohj.lask.[Maakunta],Maakunt.[[#This Row],[Maakunta]],Ohj.lask.[Pisteet 7])</f>
        <v>9452690.5999999996</v>
      </c>
      <c r="AB17" s="10">
        <f>SUMIF(Ohj.lask.[Maakunta],Maakunt.[[#This Row],[Maakunta]],Ohj.lask.[%-osuus 7])</f>
        <v>4.6189837841301547E-2</v>
      </c>
      <c r="AC17" s="11">
        <f>SUMIF(Ohj.lask.[Maakunta],Maakunt.[[#This Row],[Maakunta]],Ohj.lask.[Jaettava € 7])</f>
        <v>357470</v>
      </c>
      <c r="AD17" s="13">
        <f>SUMIF(Ohj.lask.[Maakunta],Maakunt.[[#This Row],[Maakunta]],Ohj.lask.[%-osuus 8])</f>
        <v>2.9777600137330076E-2</v>
      </c>
      <c r="AE17" s="11">
        <f>SUMIF(Ohj.lask.[Maakunta],Maakunt.[[#This Row],[Maakunta]],Ohj.lask.[Jaettava € 8])</f>
        <v>60770990</v>
      </c>
      <c r="AF17" s="12">
        <f>SUMIF(Ohj.lask.[Maakunta],Maakunt.[[#This Row],[Maakunta]],Ohj.lask.[Harkinnanvarainen korotus 1, €])</f>
        <v>0</v>
      </c>
      <c r="AG17" s="34">
        <f>SUMIF(Ohj.lask.[Maakunta],Maakunt.[[#This Row],[Maakunta]],Ohj.lask.[Harkinnanvarainen korotus 2, €])</f>
        <v>0</v>
      </c>
      <c r="AH17" s="34">
        <f>SUMIF(Ohj.lask.[Maakunta],Maakunt.[[#This Row],[Maakunta]],Ohj.lask.[Harkinnanvarainen korotus 3, €])</f>
        <v>0</v>
      </c>
      <c r="AI17" s="34">
        <f>SUMIF(Ohj.lask.[Maakunta],Maakunt.[[#This Row],[Maakunta]],Ohj.lask.[Harkinnanvarainen korotus 4, €])</f>
        <v>83000</v>
      </c>
      <c r="AJ17" s="34">
        <f>SUMIF(Ohj.lask.[Maakunta],Maakunt.[[#This Row],[Maakunta]],Ohj.lask.[Harkinnanvarainen korotus 5, €])</f>
        <v>9000</v>
      </c>
      <c r="AK17" s="11">
        <f>SUMIF(Ohj.lask.[Maakunta],Maakunt.[[#This Row],[Maakunta]],Ohj.lask.[Harkinnanvarainen korotus yhteensä, €])</f>
        <v>92000</v>
      </c>
      <c r="AL17" s="12">
        <f>SUMIF(Ohj.lask.[Maakunta],Maakunt.[[#This Row],[Maakunta]],Ohj.lask.[Suoriteperusteinen (opiskelijavuosiin perustuva) sekä harkinnanvarainen korotus, €])</f>
        <v>41915268</v>
      </c>
      <c r="AM17" s="12">
        <f>SUMIF(Ohj.lask.[Maakunta],Maakunt.[[#This Row],[Maakunta]],Ohj.lask.[Suoritusrahoitus, €])</f>
        <v>12127067</v>
      </c>
      <c r="AN17" s="12">
        <f>SUMIF(Ohj.lask.[Maakunta],Maakunt.[[#This Row],[Maakunta]],Ohj.lask.[Työllistymiseen ja jatko-opintoihin siirtymiseen, opiskelijapalautteiseen sekä työelämäpalautteeseen perustuva, €])</f>
        <v>6820655</v>
      </c>
      <c r="AO17" s="34">
        <f>SUMIF(Ohj.lask.[Maakunta],Maakunt.[[#This Row],[Maakunta]],Ohj.lask.[Perus-, suoritus- ja vaikuttavuusrahoitus yhteensä, €])</f>
        <v>60862990</v>
      </c>
      <c r="AP17" s="13">
        <f>Maakunt.[[#This Row],[Jaettava € 1]]/Maakunt.[[#This Row],[Perus-, suoritus- ja vaikuttavuusrahoitus yhteensä, €]]</f>
        <v>0.68717077488306111</v>
      </c>
      <c r="AQ17" s="10">
        <f>Maakunt.[[#This Row],[Suoriteperusteinen (opiskelijavuosiin perustuva) sekä harkinnanvarainen korotus, €]]/Maakunt.[[#This Row],[Perus-, suoritus- ja vaikuttavuusrahoitus yhteensä, €]]</f>
        <v>0.68868236673880134</v>
      </c>
      <c r="AR17" s="42">
        <f>Maakunt.[[#This Row],[Suoritusrahoitus, €]]/Maakunt.[[#This Row],[Perus-, suoritus- ja vaikuttavuusrahoitus yhteensä, €]]</f>
        <v>0.1992519099045249</v>
      </c>
      <c r="AS17" s="10">
        <f>Maakunt.[[#This Row],[Työllistymiseen ja jatko-opintoihin siirtymiseen perustuva sekä opiskelija-palautteisiin perustuva, €]]/Maakunt.[[#This Row],[Perus-, suoritus- ja vaikuttavuusrahoitus yhteensä, €]]</f>
        <v>0.11206572335667374</v>
      </c>
      <c r="AT17" s="10">
        <f>SUMIF(Ohj.lask.[Maakunta],Maakunt.[[#This Row],[Maakunta]],Ohj.lask.[Jaettava € 3])/Maakunt.[[#This Row],[Perus-, suoritus- ja vaikuttavuusrahoitus yhteensä, €]]</f>
        <v>7.6366212044462492E-2</v>
      </c>
      <c r="AU17" s="10">
        <f>SUMIF(Ohj.lask.[Maakunta],Maakunt.[[#This Row],[Maakunta]],Ohj.lask.[Jaettava € 4])/Maakunt.[[#This Row],[Perus-, suoritus- ja vaikuttavuusrahoitus yhteensä, €]]</f>
        <v>3.9157129809100737E-3</v>
      </c>
      <c r="AV17" s="10">
        <f>SUMIF(Ohj.lask.[Maakunta],Maakunt.[[#This Row],[Maakunta]],Ohj.lask.[Jaettava € 5])/Maakunt.[[#This Row],[Perus-, suoritus- ja vaikuttavuusrahoitus yhteensä, €]]</f>
        <v>1.1750030683671637E-2</v>
      </c>
      <c r="AW17" s="10">
        <f>SUMIF(Ohj.lask.[Maakunta],Maakunt.[[#This Row],[Maakunta]],Ohj.lask.[Jaettava € 6])/Maakunt.[[#This Row],[Perus-, suoritus- ja vaikuttavuusrahoitus yhteensä, €]]</f>
        <v>1.4160411770765781E-2</v>
      </c>
      <c r="AX17" s="10">
        <f>SUMIF(Ohj.lask.[Maakunta],Maakunt.[[#This Row],[Maakunta]],Ohj.lask.[Jaettava € 7])/Maakunt.[[#This Row],[Perus-, suoritus- ja vaikuttavuusrahoitus yhteensä, €]]</f>
        <v>5.8733558768637555E-3</v>
      </c>
      <c r="AY17" s="12">
        <f>SUMIF(Vertailu[Maakunta],Maakunt.[[#This Row],[Maakunta]],Vertailu[Rahoitus ml. hark. kor. 
2024 ilman alv, €])</f>
        <v>64149334</v>
      </c>
      <c r="AZ17" s="12">
        <f>SUMIF(Vertailu[Maakunta],Maakunt.[[#This Row],[Maakunta]],Vertailu[Rahoitus ml. hark. kor. 
2025 ilman alv, €])</f>
        <v>60862990</v>
      </c>
      <c r="BA17" s="12">
        <f>SUMIF(Vertailu[Maakunta],Maakunt.[[#This Row],[Maakunta]],Vertailu[Muutos, € 2])</f>
        <v>-3286344</v>
      </c>
      <c r="BB17" s="35">
        <f>IFERROR(Maakunt.[[#This Row],[Muutos, € 2]]/Maakunt.[[#This Row],[Rahoitus ml. hark. kor. 
2024 ilman alv, €]],0)</f>
        <v>-5.1229588759253528E-2</v>
      </c>
    </row>
    <row r="18" spans="1:54" x14ac:dyDescent="0.2">
      <c r="A18" s="16" t="s">
        <v>181</v>
      </c>
      <c r="B18" s="16">
        <f>COUNTIF(Ohj.lask.[Maakunta],Maakunt.[[#This Row],[Maakunta]])</f>
        <v>11</v>
      </c>
      <c r="C18" s="16">
        <f>COUNTIFS(Ohj.lask.[Maakunta],Maakunt.[[#This Row],[Maakunta]],Ohj.lask.[Omistajatyyppi],"=yksityinen")</f>
        <v>7</v>
      </c>
      <c r="D18" s="16">
        <f>COUNTIFS(Ohj.lask.[Maakunta],Maakunt.[[#This Row],[Maakunta]],Ohj.lask.[Omistajatyyppi],"=kunta")</f>
        <v>1</v>
      </c>
      <c r="E18" s="16">
        <f>COUNTIFS(Ohj.lask.[Maakunta],Maakunt.[[#This Row],[Maakunta]],Ohj.lask.[Omistajatyyppi],"=kuntayhtymä")</f>
        <v>3</v>
      </c>
      <c r="F18" s="12">
        <f>SUMIF(Ohj.lask.[Maakunta],Maakunt.[[#This Row],[Maakunta]],Ohj.lask.[Järjestämisluvan opisk.vuosien vähimmäismäärä (ei noudateta 2025)])</f>
        <v>10967</v>
      </c>
      <c r="G18" s="11">
        <f>SUMIF(Ohj.lask.[Maakunta],Maakunt.[[#This Row],[Maakunta]],Ohj.lask.[Tavoitteelliset opiskelija-vuodet])</f>
        <v>10978</v>
      </c>
      <c r="H18" s="73">
        <f>Maakunt.[[#This Row],[Painotetut opiskelija-vuodet]]/Maakunt.[[#This Row],[Tavoitteelliset opiske-lijavuodet]]</f>
        <v>1.1714428857715429</v>
      </c>
      <c r="I18" s="74">
        <f>SUMIF(Ohj.lask.[Maakunta],Maakunt.[[#This Row],[Maakunta]],Ohj.lask.[Painotetut opiskelija-vuodet])</f>
        <v>12860.099999999999</v>
      </c>
      <c r="J18" s="10">
        <f>SUMIF(Ohj.lask.[Maakunta],Maakunt.[[#This Row],[Maakunta]],Ohj.lask.[%-osuus 1])</f>
        <v>6.2450103435214593E-2</v>
      </c>
      <c r="K18" s="11">
        <f>SUMIF(Ohj.lask.[Maakunta],Maakunt.[[#This Row],[Maakunta]],Ohj.lask.[Jaettava € 1])</f>
        <v>88785125</v>
      </c>
      <c r="L18" s="12">
        <f>SUMIF(Ohj.lask.[Maakunta],Maakunt.[[#This Row],[Maakunta]],Ohj.lask.[Painotetut pisteet 2])</f>
        <v>1034216.3000000002</v>
      </c>
      <c r="M18" s="10">
        <f>SUMIF(Ohj.lask.[Maakunta],Maakunt.[[#This Row],[Maakunta]],Ohj.lask.[%-osuus 2])</f>
        <v>6.5665279946003657E-2</v>
      </c>
      <c r="N18" s="11">
        <f>SUMIF(Ohj.lask.[Maakunta],Maakunt.[[#This Row],[Maakunta]],Ohj.lask.[Jaettava € 2])</f>
        <v>27103671</v>
      </c>
      <c r="O18" s="12">
        <f>SUMIF(Ohj.lask.[Maakunta],Maakunt.[[#This Row],[Maakunta]],Ohj.lask.[Painotetut pisteet 3])</f>
        <v>23506.799999999996</v>
      </c>
      <c r="P18" s="10">
        <f>SUMIF(Ohj.lask.[Maakunta],Maakunt.[[#This Row],[Maakunta]],Ohj.lask.[%-osuus 3])</f>
        <v>6.9644515747699046E-2</v>
      </c>
      <c r="Q18" s="11">
        <f>SUMIF(Ohj.lask.[Maakunta],Maakunt.[[#This Row],[Maakunta]],Ohj.lask.[Jaettava € 3])</f>
        <v>10061118</v>
      </c>
      <c r="R18" s="12">
        <f>SUMIF(Ohj.lask.[Maakunta],Maakunt.[[#This Row],[Maakunta]],Ohj.lask.[Painotetut pisteet 4])</f>
        <v>101112.5</v>
      </c>
      <c r="S18" s="10">
        <f>SUMIF(Ohj.lask.[Maakunta],Maakunt.[[#This Row],[Maakunta]],Ohj.lask.[%-osuus 4])</f>
        <v>5.8155763061414859E-2</v>
      </c>
      <c r="T18" s="11">
        <f>SUMIF(Ohj.lask.[Maakunta],Maakunt.[[#This Row],[Maakunta]],Ohj.lask.[Jaettava € 4])</f>
        <v>450075</v>
      </c>
      <c r="U18" s="12">
        <f>SUMIF(Ohj.lask.[Maakunta],Maakunt.[[#This Row],[Maakunta]],Ohj.lask.[Painotetut pisteet 5])</f>
        <v>720893.40000000014</v>
      </c>
      <c r="V18" s="10">
        <f>SUMIF(Ohj.lask.[Maakunta],Maakunt.[[#This Row],[Maakunta]],Ohj.lask.[%-osuus 5])</f>
        <v>6.4964700297223649E-2</v>
      </c>
      <c r="W18" s="11">
        <f>SUMIF(Ohj.lask.[Maakunta],Maakunt.[[#This Row],[Maakunta]],Ohj.lask.[Jaettava € 5])</f>
        <v>1508313</v>
      </c>
      <c r="X18" s="12">
        <f>SUMIF(Ohj.lask.[Maakunta],Maakunt.[[#This Row],[Maakunta]],Ohj.lask.[Painotetut pisteet 6])</f>
        <v>24598279.800000001</v>
      </c>
      <c r="Y18" s="10">
        <f>SUMIF(Ohj.lask.[Maakunta],Maakunt.[[#This Row],[Maakunta]],Ohj.lask.[%-osuus 6])</f>
        <v>7.1680238906265667E-2</v>
      </c>
      <c r="Z18" s="17">
        <f>SUMIF(Ohj.lask.[Maakunta],Maakunt.[[#This Row],[Maakunta]],Ohj.lask.[Jaettava € 6])</f>
        <v>1664229</v>
      </c>
      <c r="AA18" s="11">
        <f>SUMIF(Ohj.lask.[Maakunta],Maakunt.[[#This Row],[Maakunta]],Ohj.lask.[Pisteet 7])</f>
        <v>18027209.699999999</v>
      </c>
      <c r="AB18" s="10">
        <f>SUMIF(Ohj.lask.[Maakunta],Maakunt.[[#This Row],[Maakunta]],Ohj.lask.[%-osuus 7])</f>
        <v>8.8088558909792128E-2</v>
      </c>
      <c r="AC18" s="11">
        <f>SUMIF(Ohj.lask.[Maakunta],Maakunt.[[#This Row],[Maakunta]],Ohj.lask.[Jaettava € 7])</f>
        <v>681729</v>
      </c>
      <c r="AD18" s="13">
        <f>SUMIF(Ohj.lask.[Maakunta],Maakunt.[[#This Row],[Maakunta]],Ohj.lask.[%-osuus 8])</f>
        <v>6.3824190957952595E-2</v>
      </c>
      <c r="AE18" s="11">
        <f>SUMIF(Ohj.lask.[Maakunta],Maakunt.[[#This Row],[Maakunta]],Ohj.lask.[Jaettava € 8])</f>
        <v>130254260</v>
      </c>
      <c r="AF18" s="12">
        <f>SUMIF(Ohj.lask.[Maakunta],Maakunt.[[#This Row],[Maakunta]],Ohj.lask.[Harkinnanvarainen korotus 1, €])</f>
        <v>0</v>
      </c>
      <c r="AG18" s="34">
        <f>SUMIF(Ohj.lask.[Maakunta],Maakunt.[[#This Row],[Maakunta]],Ohj.lask.[Harkinnanvarainen korotus 2, €])</f>
        <v>0</v>
      </c>
      <c r="AH18" s="34">
        <f>SUMIF(Ohj.lask.[Maakunta],Maakunt.[[#This Row],[Maakunta]],Ohj.lask.[Harkinnanvarainen korotus 3, €])</f>
        <v>0</v>
      </c>
      <c r="AI18" s="34">
        <f>SUMIF(Ohj.lask.[Maakunta],Maakunt.[[#This Row],[Maakunta]],Ohj.lask.[Harkinnanvarainen korotus 4, €])</f>
        <v>146000</v>
      </c>
      <c r="AJ18" s="34">
        <f>SUMIF(Ohj.lask.[Maakunta],Maakunt.[[#This Row],[Maakunta]],Ohj.lask.[Harkinnanvarainen korotus 5, €])</f>
        <v>51000</v>
      </c>
      <c r="AK18" s="11">
        <f>SUMIF(Ohj.lask.[Maakunta],Maakunt.[[#This Row],[Maakunta]],Ohj.lask.[Harkinnanvarainen korotus yhteensä, €])</f>
        <v>197000</v>
      </c>
      <c r="AL18" s="12">
        <f>SUMIF(Ohj.lask.[Maakunta],Maakunt.[[#This Row],[Maakunta]],Ohj.lask.[Suoriteperusteinen (opiskelijavuosiin perustuva) sekä harkinnanvarainen korotus, €])</f>
        <v>88982125</v>
      </c>
      <c r="AM18" s="12">
        <f>SUMIF(Ohj.lask.[Maakunta],Maakunt.[[#This Row],[Maakunta]],Ohj.lask.[Suoritusrahoitus, €])</f>
        <v>27103671</v>
      </c>
      <c r="AN18" s="12">
        <f>SUMIF(Ohj.lask.[Maakunta],Maakunt.[[#This Row],[Maakunta]],Ohj.lask.[Työllistymiseen ja jatko-opintoihin siirtymiseen, opiskelijapalautteiseen sekä työelämäpalautteeseen perustuva, €])</f>
        <v>14365464</v>
      </c>
      <c r="AO18" s="34">
        <f>SUMIF(Ohj.lask.[Maakunta],Maakunt.[[#This Row],[Maakunta]],Ohj.lask.[Perus-, suoritus- ja vaikuttavuusrahoitus yhteensä, €])</f>
        <v>130451260</v>
      </c>
      <c r="AP18" s="13">
        <f>Maakunt.[[#This Row],[Jaettava € 1]]/Maakunt.[[#This Row],[Perus-, suoritus- ja vaikuttavuusrahoitus yhteensä, €]]</f>
        <v>0.68059998040647518</v>
      </c>
      <c r="AQ18" s="10">
        <f>Maakunt.[[#This Row],[Suoriteperusteinen (opiskelijavuosiin perustuva) sekä harkinnanvarainen korotus, €]]/Maakunt.[[#This Row],[Perus-, suoritus- ja vaikuttavuusrahoitus yhteensä, €]]</f>
        <v>0.68211012296853246</v>
      </c>
      <c r="AR18" s="42">
        <f>Maakunt.[[#This Row],[Suoritusrahoitus, €]]/Maakunt.[[#This Row],[Perus-, suoritus- ja vaikuttavuusrahoitus yhteensä, €]]</f>
        <v>0.20776856428983514</v>
      </c>
      <c r="AS18" s="10">
        <f>Maakunt.[[#This Row],[Työllistymiseen ja jatko-opintoihin siirtymiseen perustuva sekä opiskelija-palautteisiin perustuva, €]]/Maakunt.[[#This Row],[Perus-, suoritus- ja vaikuttavuusrahoitus yhteensä, €]]</f>
        <v>0.11012131274163239</v>
      </c>
      <c r="AT18" s="10">
        <f>SUMIF(Ohj.lask.[Maakunta],Maakunt.[[#This Row],[Maakunta]],Ohj.lask.[Jaettava € 3])/Maakunt.[[#This Row],[Perus-, suoritus- ja vaikuttavuusrahoitus yhteensä, €]]</f>
        <v>7.7125494993302485E-2</v>
      </c>
      <c r="AU18" s="10">
        <f>SUMIF(Ohj.lask.[Maakunta],Maakunt.[[#This Row],[Maakunta]],Ohj.lask.[Jaettava € 4])/Maakunt.[[#This Row],[Perus-, suoritus- ja vaikuttavuusrahoitus yhteensä, €]]</f>
        <v>3.4501391554209596E-3</v>
      </c>
      <c r="AV18" s="10">
        <f>SUMIF(Ohj.lask.[Maakunta],Maakunt.[[#This Row],[Maakunta]],Ohj.lask.[Jaettava € 5])/Maakunt.[[#This Row],[Perus-, suoritus- ja vaikuttavuusrahoitus yhteensä, €]]</f>
        <v>1.1562272376671562E-2</v>
      </c>
      <c r="AW18" s="10">
        <f>SUMIF(Ohj.lask.[Maakunta],Maakunt.[[#This Row],[Maakunta]],Ohj.lask.[Jaettava € 6])/Maakunt.[[#This Row],[Perus-, suoritus- ja vaikuttavuusrahoitus yhteensä, €]]</f>
        <v>1.2757477390406195E-2</v>
      </c>
      <c r="AX18" s="10">
        <f>SUMIF(Ohj.lask.[Maakunta],Maakunt.[[#This Row],[Maakunta]],Ohj.lask.[Jaettava € 7])/Maakunt.[[#This Row],[Perus-, suoritus- ja vaikuttavuusrahoitus yhteensä, €]]</f>
        <v>5.2259288258311954E-3</v>
      </c>
      <c r="AY18" s="12">
        <f>SUMIF(Vertailu[Maakunta],Maakunt.[[#This Row],[Maakunta]],Vertailu[Rahoitus ml. hark. kor. 
2024 ilman alv, €])</f>
        <v>135870833</v>
      </c>
      <c r="AZ18" s="12">
        <f>SUMIF(Vertailu[Maakunta],Maakunt.[[#This Row],[Maakunta]],Vertailu[Rahoitus ml. hark. kor. 
2025 ilman alv, €])</f>
        <v>130451260</v>
      </c>
      <c r="BA18" s="12">
        <f>SUMIF(Vertailu[Maakunta],Maakunt.[[#This Row],[Maakunta]],Vertailu[Muutos, € 2])</f>
        <v>-5419573</v>
      </c>
      <c r="BB18" s="35">
        <f>IFERROR(Maakunt.[[#This Row],[Muutos, € 2]]/Maakunt.[[#This Row],[Rahoitus ml. hark. kor. 
2024 ilman alv, €]],0)</f>
        <v>-3.9887685092796922E-2</v>
      </c>
    </row>
    <row r="19" spans="1:54" x14ac:dyDescent="0.2">
      <c r="A19" s="16" t="s">
        <v>178</v>
      </c>
      <c r="B19" s="16">
        <f>COUNTIF(Ohj.lask.[Maakunta],Maakunt.[[#This Row],[Maakunta]])</f>
        <v>8</v>
      </c>
      <c r="C19" s="16">
        <f>COUNTIFS(Ohj.lask.[Maakunta],Maakunt.[[#This Row],[Maakunta]],Ohj.lask.[Omistajatyyppi],"=yksityinen")</f>
        <v>6</v>
      </c>
      <c r="D19" s="16">
        <f>COUNTIFS(Ohj.lask.[Maakunta],Maakunt.[[#This Row],[Maakunta]],Ohj.lask.[Omistajatyyppi],"=kunta")</f>
        <v>0</v>
      </c>
      <c r="E19" s="16">
        <f>COUNTIFS(Ohj.lask.[Maakunta],Maakunt.[[#This Row],[Maakunta]],Ohj.lask.[Omistajatyyppi],"=kuntayhtymä")</f>
        <v>2</v>
      </c>
      <c r="F19" s="12">
        <f>SUMIF(Ohj.lask.[Maakunta],Maakunt.[[#This Row],[Maakunta]],Ohj.lask.[Järjestämisluvan opisk.vuosien vähimmäismäärä (ei noudateta 2025)])</f>
        <v>7376</v>
      </c>
      <c r="G19" s="11">
        <f>SUMIF(Ohj.lask.[Maakunta],Maakunt.[[#This Row],[Maakunta]],Ohj.lask.[Tavoitteelliset opiskelija-vuodet])</f>
        <v>7558</v>
      </c>
      <c r="H19" s="73">
        <f>Maakunt.[[#This Row],[Painotetut opiskelija-vuodet]]/Maakunt.[[#This Row],[Tavoitteelliset opiske-lijavuodet]]</f>
        <v>1.170336067742789</v>
      </c>
      <c r="I19" s="74">
        <f>SUMIF(Ohj.lask.[Maakunta],Maakunt.[[#This Row],[Maakunta]],Ohj.lask.[Painotetut opiskelija-vuodet])</f>
        <v>8845.4</v>
      </c>
      <c r="J19" s="10">
        <f>SUMIF(Ohj.lask.[Maakunta],Maakunt.[[#This Row],[Maakunta]],Ohj.lask.[%-osuus 1])</f>
        <v>4.2954265124365065E-2</v>
      </c>
      <c r="K19" s="11">
        <f>SUMIF(Ohj.lask.[Maakunta],Maakunt.[[#This Row],[Maakunta]],Ohj.lask.[Jaettava € 1])</f>
        <v>61067952</v>
      </c>
      <c r="L19" s="12">
        <f>SUMIF(Ohj.lask.[Maakunta],Maakunt.[[#This Row],[Maakunta]],Ohj.lask.[Painotetut pisteet 2])</f>
        <v>689189.89999999991</v>
      </c>
      <c r="M19" s="10">
        <f>SUMIF(Ohj.lask.[Maakunta],Maakunt.[[#This Row],[Maakunta]],Ohj.lask.[%-osuus 2])</f>
        <v>4.3758590654061708E-2</v>
      </c>
      <c r="N19" s="11">
        <f>SUMIF(Ohj.lask.[Maakunta],Maakunt.[[#This Row],[Maakunta]],Ohj.lask.[Jaettava € 2])</f>
        <v>18061577</v>
      </c>
      <c r="O19" s="12">
        <f>SUMIF(Ohj.lask.[Maakunta],Maakunt.[[#This Row],[Maakunta]],Ohj.lask.[Painotetut pisteet 3])</f>
        <v>14912.199999999999</v>
      </c>
      <c r="P19" s="10">
        <f>SUMIF(Ohj.lask.[Maakunta],Maakunt.[[#This Row],[Maakunta]],Ohj.lask.[%-osuus 3])</f>
        <v>4.4180958179456067E-2</v>
      </c>
      <c r="Q19" s="11">
        <f>SUMIF(Ohj.lask.[Maakunta],Maakunt.[[#This Row],[Maakunta]],Ohj.lask.[Jaettava € 3])</f>
        <v>6382554</v>
      </c>
      <c r="R19" s="12">
        <f>SUMIF(Ohj.lask.[Maakunta],Maakunt.[[#This Row],[Maakunta]],Ohj.lask.[Painotetut pisteet 4])</f>
        <v>93356.6</v>
      </c>
      <c r="S19" s="10">
        <f>SUMIF(Ohj.lask.[Maakunta],Maakunt.[[#This Row],[Maakunta]],Ohj.lask.[%-osuus 4])</f>
        <v>5.3694887475033079E-2</v>
      </c>
      <c r="T19" s="11">
        <f>SUMIF(Ohj.lask.[Maakunta],Maakunt.[[#This Row],[Maakunta]],Ohj.lask.[Jaettava € 4])</f>
        <v>415551</v>
      </c>
      <c r="U19" s="12">
        <f>SUMIF(Ohj.lask.[Maakunta],Maakunt.[[#This Row],[Maakunta]],Ohj.lask.[Painotetut pisteet 5])</f>
        <v>526804.69999999995</v>
      </c>
      <c r="V19" s="10">
        <f>SUMIF(Ohj.lask.[Maakunta],Maakunt.[[#This Row],[Maakunta]],Ohj.lask.[%-osuus 5])</f>
        <v>4.7474022443080785E-2</v>
      </c>
      <c r="W19" s="11">
        <f>SUMIF(Ohj.lask.[Maakunta],Maakunt.[[#This Row],[Maakunta]],Ohj.lask.[Jaettava € 5])</f>
        <v>1102225</v>
      </c>
      <c r="X19" s="12">
        <f>SUMIF(Ohj.lask.[Maakunta],Maakunt.[[#This Row],[Maakunta]],Ohj.lask.[Painotetut pisteet 6])</f>
        <v>19614128.699999999</v>
      </c>
      <c r="Y19" s="10">
        <f>SUMIF(Ohj.lask.[Maakunta],Maakunt.[[#This Row],[Maakunta]],Ohj.lask.[%-osuus 6])</f>
        <v>5.7156250054292083E-2</v>
      </c>
      <c r="Z19" s="17">
        <f>SUMIF(Ohj.lask.[Maakunta],Maakunt.[[#This Row],[Maakunta]],Ohj.lask.[Jaettava € 6])</f>
        <v>1327020</v>
      </c>
      <c r="AA19" s="11">
        <f>SUMIF(Ohj.lask.[Maakunta],Maakunt.[[#This Row],[Maakunta]],Ohj.lask.[Pisteet 7])</f>
        <v>8276199.4000000004</v>
      </c>
      <c r="AB19" s="10">
        <f>SUMIF(Ohj.lask.[Maakunta],Maakunt.[[#This Row],[Maakunta]],Ohj.lask.[%-osuus 7])</f>
        <v>4.0441005043397607E-2</v>
      </c>
      <c r="AC19" s="11">
        <f>SUMIF(Ohj.lask.[Maakunta],Maakunt.[[#This Row],[Maakunta]],Ohj.lask.[Jaettava € 7])</f>
        <v>312977</v>
      </c>
      <c r="AD19" s="13">
        <f>SUMIF(Ohj.lask.[Maakunta],Maakunt.[[#This Row],[Maakunta]],Ohj.lask.[%-osuus 8])</f>
        <v>4.3447959564302606E-2</v>
      </c>
      <c r="AE19" s="11">
        <f>SUMIF(Ohj.lask.[Maakunta],Maakunt.[[#This Row],[Maakunta]],Ohj.lask.[Jaettava € 8])</f>
        <v>88669856</v>
      </c>
      <c r="AF19" s="12">
        <f>SUMIF(Ohj.lask.[Maakunta],Maakunt.[[#This Row],[Maakunta]],Ohj.lask.[Harkinnanvarainen korotus 1, €])</f>
        <v>0</v>
      </c>
      <c r="AG19" s="34">
        <f>SUMIF(Ohj.lask.[Maakunta],Maakunt.[[#This Row],[Maakunta]],Ohj.lask.[Harkinnanvarainen korotus 2, €])</f>
        <v>15000</v>
      </c>
      <c r="AH19" s="34">
        <f>SUMIF(Ohj.lask.[Maakunta],Maakunt.[[#This Row],[Maakunta]],Ohj.lask.[Harkinnanvarainen korotus 3, €])</f>
        <v>0</v>
      </c>
      <c r="AI19" s="34">
        <f>SUMIF(Ohj.lask.[Maakunta],Maakunt.[[#This Row],[Maakunta]],Ohj.lask.[Harkinnanvarainen korotus 4, €])</f>
        <v>118000</v>
      </c>
      <c r="AJ19" s="34">
        <f>SUMIF(Ohj.lask.[Maakunta],Maakunt.[[#This Row],[Maakunta]],Ohj.lask.[Harkinnanvarainen korotus 5, €])</f>
        <v>41000</v>
      </c>
      <c r="AK19" s="11">
        <f>SUMIF(Ohj.lask.[Maakunta],Maakunt.[[#This Row],[Maakunta]],Ohj.lask.[Harkinnanvarainen korotus yhteensä, €])</f>
        <v>174000</v>
      </c>
      <c r="AL19" s="12">
        <f>SUMIF(Ohj.lask.[Maakunta],Maakunt.[[#This Row],[Maakunta]],Ohj.lask.[Suoriteperusteinen (opiskelijavuosiin perustuva) sekä harkinnanvarainen korotus, €])</f>
        <v>61241952</v>
      </c>
      <c r="AM19" s="12">
        <f>SUMIF(Ohj.lask.[Maakunta],Maakunt.[[#This Row],[Maakunta]],Ohj.lask.[Suoritusrahoitus, €])</f>
        <v>18061577</v>
      </c>
      <c r="AN19" s="12">
        <f>SUMIF(Ohj.lask.[Maakunta],Maakunt.[[#This Row],[Maakunta]],Ohj.lask.[Työllistymiseen ja jatko-opintoihin siirtymiseen, opiskelijapalautteiseen sekä työelämäpalautteeseen perustuva, €])</f>
        <v>9540327</v>
      </c>
      <c r="AO19" s="34">
        <f>SUMIF(Ohj.lask.[Maakunta],Maakunt.[[#This Row],[Maakunta]],Ohj.lask.[Perus-, suoritus- ja vaikuttavuusrahoitus yhteensä, €])</f>
        <v>88843856</v>
      </c>
      <c r="AP19" s="13">
        <f>Maakunt.[[#This Row],[Jaettava € 1]]/Maakunt.[[#This Row],[Perus-, suoritus- ja vaikuttavuusrahoitus yhteensä, €]]</f>
        <v>0.68736269168686237</v>
      </c>
      <c r="AQ19" s="10">
        <f>Maakunt.[[#This Row],[Suoriteperusteinen (opiskelijavuosiin perustuva) sekä harkinnanvarainen korotus, €]]/Maakunt.[[#This Row],[Perus-, suoritus- ja vaikuttavuusrahoitus yhteensä, €]]</f>
        <v>0.68932118389818653</v>
      </c>
      <c r="AR19" s="42">
        <f>Maakunt.[[#This Row],[Suoritusrahoitus, €]]/Maakunt.[[#This Row],[Perus-, suoritus- ja vaikuttavuusrahoitus yhteensä, €]]</f>
        <v>0.2032957349352329</v>
      </c>
      <c r="AS19" s="10">
        <f>Maakunt.[[#This Row],[Työllistymiseen ja jatko-opintoihin siirtymiseen perustuva sekä opiskelija-palautteisiin perustuva, €]]/Maakunt.[[#This Row],[Perus-, suoritus- ja vaikuttavuusrahoitus yhteensä, €]]</f>
        <v>0.10738308116658062</v>
      </c>
      <c r="AT19" s="10">
        <f>SUMIF(Ohj.lask.[Maakunta],Maakunt.[[#This Row],[Maakunta]],Ohj.lask.[Jaettava € 3])/Maakunt.[[#This Row],[Perus-, suoritus- ja vaikuttavuusrahoitus yhteensä, €]]</f>
        <v>7.1840128145721188E-2</v>
      </c>
      <c r="AU19" s="10">
        <f>SUMIF(Ohj.lask.[Maakunta],Maakunt.[[#This Row],[Maakunta]],Ohj.lask.[Jaettava € 4])/Maakunt.[[#This Row],[Perus-, suoritus- ja vaikuttavuusrahoitus yhteensä, €]]</f>
        <v>4.6773183730341467E-3</v>
      </c>
      <c r="AV19" s="10">
        <f>SUMIF(Ohj.lask.[Maakunta],Maakunt.[[#This Row],[Maakunta]],Ohj.lask.[Jaettava € 5])/Maakunt.[[#This Row],[Perus-, suoritus- ja vaikuttavuusrahoitus yhteensä, €]]</f>
        <v>1.2406316538084524E-2</v>
      </c>
      <c r="AW19" s="10">
        <f>SUMIF(Ohj.lask.[Maakunta],Maakunt.[[#This Row],[Maakunta]],Ohj.lask.[Jaettava € 6])/Maakunt.[[#This Row],[Perus-, suoritus- ja vaikuttavuusrahoitus yhteensä, €]]</f>
        <v>1.4936542150984531E-2</v>
      </c>
      <c r="AX19" s="10">
        <f>SUMIF(Ohj.lask.[Maakunta],Maakunt.[[#This Row],[Maakunta]],Ohj.lask.[Jaettava € 7])/Maakunt.[[#This Row],[Perus-, suoritus- ja vaikuttavuusrahoitus yhteensä, €]]</f>
        <v>3.5227759587562251E-3</v>
      </c>
      <c r="AY19" s="12">
        <f>SUMIF(Vertailu[Maakunta],Maakunt.[[#This Row],[Maakunta]],Vertailu[Rahoitus ml. hark. kor. 
2024 ilman alv, €])</f>
        <v>94138336</v>
      </c>
      <c r="AZ19" s="12">
        <f>SUMIF(Vertailu[Maakunta],Maakunt.[[#This Row],[Maakunta]],Vertailu[Rahoitus ml. hark. kor. 
2025 ilman alv, €])</f>
        <v>88843856</v>
      </c>
      <c r="BA19" s="12">
        <f>SUMIF(Vertailu[Maakunta],Maakunt.[[#This Row],[Maakunta]],Vertailu[Muutos, € 2])</f>
        <v>-5294480</v>
      </c>
      <c r="BB19" s="35">
        <f>IFERROR(Maakunt.[[#This Row],[Muutos, € 2]]/Maakunt.[[#This Row],[Rahoitus ml. hark. kor. 
2024 ilman alv, €]],0)</f>
        <v>-5.6241486996328464E-2</v>
      </c>
    </row>
    <row r="20" spans="1:54" x14ac:dyDescent="0.2">
      <c r="A20" s="16" t="s">
        <v>186</v>
      </c>
      <c r="B20" s="16">
        <f>COUNTIF(Ohj.lask.[Maakunta],Maakunt.[[#This Row],[Maakunta]])</f>
        <v>4</v>
      </c>
      <c r="C20" s="16">
        <f>COUNTIFS(Ohj.lask.[Maakunta],Maakunt.[[#This Row],[Maakunta]],Ohj.lask.[Omistajatyyppi],"=yksityinen")</f>
        <v>3</v>
      </c>
      <c r="D20" s="16">
        <f>COUNTIFS(Ohj.lask.[Maakunta],Maakunt.[[#This Row],[Maakunta]],Ohj.lask.[Omistajatyyppi],"=kunta")</f>
        <v>0</v>
      </c>
      <c r="E20" s="16">
        <f>COUNTIFS(Ohj.lask.[Maakunta],Maakunt.[[#This Row],[Maakunta]],Ohj.lask.[Omistajatyyppi],"=kuntayhtymä")</f>
        <v>1</v>
      </c>
      <c r="F20" s="12">
        <f>SUMIF(Ohj.lask.[Maakunta],Maakunt.[[#This Row],[Maakunta]],Ohj.lask.[Järjestämisluvan opisk.vuosien vähimmäismäärä (ei noudateta 2025)])</f>
        <v>5750</v>
      </c>
      <c r="G20" s="11">
        <f>SUMIF(Ohj.lask.[Maakunta],Maakunt.[[#This Row],[Maakunta]],Ohj.lask.[Tavoitteelliset opiskelija-vuodet])</f>
        <v>5881</v>
      </c>
      <c r="H20" s="73">
        <f>Maakunt.[[#This Row],[Painotetut opiskelija-vuodet]]/Maakunt.[[#This Row],[Tavoitteelliset opiske-lijavuodet]]</f>
        <v>1.0880292467267472</v>
      </c>
      <c r="I20" s="74">
        <f>SUMIF(Ohj.lask.[Maakunta],Maakunt.[[#This Row],[Maakunta]],Ohj.lask.[Painotetut opiskelija-vuodet])</f>
        <v>6398.7000000000007</v>
      </c>
      <c r="J20" s="10">
        <f>SUMIF(Ohj.lask.[Maakunta],Maakunt.[[#This Row],[Maakunta]],Ohj.lask.[%-osuus 1])</f>
        <v>3.1072812563736486E-2</v>
      </c>
      <c r="K20" s="11">
        <f>SUMIF(Ohj.lask.[Maakunta],Maakunt.[[#This Row],[Maakunta]],Ohj.lask.[Jaettava € 1])</f>
        <v>44176124</v>
      </c>
      <c r="L20" s="12">
        <f>SUMIF(Ohj.lask.[Maakunta],Maakunt.[[#This Row],[Maakunta]],Ohj.lask.[Painotetut pisteet 2])</f>
        <v>492444.8</v>
      </c>
      <c r="M20" s="10">
        <f>SUMIF(Ohj.lask.[Maakunta],Maakunt.[[#This Row],[Maakunta]],Ohj.lask.[%-osuus 2])</f>
        <v>3.1266695032706203E-2</v>
      </c>
      <c r="N20" s="11">
        <f>SUMIF(Ohj.lask.[Maakunta],Maakunt.[[#This Row],[Maakunta]],Ohj.lask.[Jaettava € 2])</f>
        <v>12905485</v>
      </c>
      <c r="O20" s="12">
        <f>SUMIF(Ohj.lask.[Maakunta],Maakunt.[[#This Row],[Maakunta]],Ohj.lask.[Painotetut pisteet 3])</f>
        <v>11780</v>
      </c>
      <c r="P20" s="10">
        <f>SUMIF(Ohj.lask.[Maakunta],Maakunt.[[#This Row],[Maakunta]],Ohj.lask.[%-osuus 3])</f>
        <v>3.4901066734217126E-2</v>
      </c>
      <c r="Q20" s="11">
        <f>SUMIF(Ohj.lask.[Maakunta],Maakunt.[[#This Row],[Maakunta]],Ohj.lask.[Jaettava € 3])</f>
        <v>5041944</v>
      </c>
      <c r="R20" s="12">
        <f>SUMIF(Ohj.lask.[Maakunta],Maakunt.[[#This Row],[Maakunta]],Ohj.lask.[Painotetut pisteet 4])</f>
        <v>67126.600000000006</v>
      </c>
      <c r="S20" s="10">
        <f>SUMIF(Ohj.lask.[Maakunta],Maakunt.[[#This Row],[Maakunta]],Ohj.lask.[%-osuus 4])</f>
        <v>3.8608467249038159E-2</v>
      </c>
      <c r="T20" s="11">
        <f>SUMIF(Ohj.lask.[Maakunta],Maakunt.[[#This Row],[Maakunta]],Ohj.lask.[Jaettava € 4])</f>
        <v>298796</v>
      </c>
      <c r="U20" s="12">
        <f>SUMIF(Ohj.lask.[Maakunta],Maakunt.[[#This Row],[Maakunta]],Ohj.lask.[Painotetut pisteet 5])</f>
        <v>415879.49999999994</v>
      </c>
      <c r="V20" s="10">
        <f>SUMIF(Ohj.lask.[Maakunta],Maakunt.[[#This Row],[Maakunta]],Ohj.lask.[%-osuus 5])</f>
        <v>3.7477783923752409E-2</v>
      </c>
      <c r="W20" s="11">
        <f>SUMIF(Ohj.lask.[Maakunta],Maakunt.[[#This Row],[Maakunta]],Ohj.lask.[Jaettava € 5])</f>
        <v>870137</v>
      </c>
      <c r="X20" s="12">
        <f>SUMIF(Ohj.lask.[Maakunta],Maakunt.[[#This Row],[Maakunta]],Ohj.lask.[Painotetut pisteet 6])</f>
        <v>17476558.599999994</v>
      </c>
      <c r="Y20" s="10">
        <f>SUMIF(Ohj.lask.[Maakunta],Maakunt.[[#This Row],[Maakunta]],Ohj.lask.[%-osuus 6])</f>
        <v>5.0927296782247014E-2</v>
      </c>
      <c r="Z20" s="17">
        <f>SUMIF(Ohj.lask.[Maakunta],Maakunt.[[#This Row],[Maakunta]],Ohj.lask.[Jaettava € 6])</f>
        <v>1182400</v>
      </c>
      <c r="AA20" s="11">
        <f>SUMIF(Ohj.lask.[Maakunta],Maakunt.[[#This Row],[Maakunta]],Ohj.lask.[Pisteet 7])</f>
        <v>15686798.800000001</v>
      </c>
      <c r="AB20" s="10">
        <f>SUMIF(Ohj.lask.[Maakunta],Maakunt.[[#This Row],[Maakunta]],Ohj.lask.[%-osuus 7])</f>
        <v>7.6652322971527673E-2</v>
      </c>
      <c r="AC20" s="11">
        <f>SUMIF(Ohj.lask.[Maakunta],Maakunt.[[#This Row],[Maakunta]],Ohj.lask.[Jaettava € 7])</f>
        <v>593223</v>
      </c>
      <c r="AD20" s="13">
        <f>SUMIF(Ohj.lask.[Maakunta],Maakunt.[[#This Row],[Maakunta]],Ohj.lask.[%-osuus 8])</f>
        <v>3.1883175368612696E-2</v>
      </c>
      <c r="AE20" s="11">
        <f>SUMIF(Ohj.lask.[Maakunta],Maakunt.[[#This Row],[Maakunta]],Ohj.lask.[Jaettava € 8])</f>
        <v>65068109</v>
      </c>
      <c r="AF20" s="12">
        <f>SUMIF(Ohj.lask.[Maakunta],Maakunt.[[#This Row],[Maakunta]],Ohj.lask.[Harkinnanvarainen korotus 1, €])</f>
        <v>0</v>
      </c>
      <c r="AG20" s="34">
        <f>SUMIF(Ohj.lask.[Maakunta],Maakunt.[[#This Row],[Maakunta]],Ohj.lask.[Harkinnanvarainen korotus 2, €])</f>
        <v>0</v>
      </c>
      <c r="AH20" s="34">
        <f>SUMIF(Ohj.lask.[Maakunta],Maakunt.[[#This Row],[Maakunta]],Ohj.lask.[Harkinnanvarainen korotus 3, €])</f>
        <v>0</v>
      </c>
      <c r="AI20" s="34">
        <f>SUMIF(Ohj.lask.[Maakunta],Maakunt.[[#This Row],[Maakunta]],Ohj.lask.[Harkinnanvarainen korotus 4, €])</f>
        <v>108000</v>
      </c>
      <c r="AJ20" s="34">
        <f>SUMIF(Ohj.lask.[Maakunta],Maakunt.[[#This Row],[Maakunta]],Ohj.lask.[Harkinnanvarainen korotus 5, €])</f>
        <v>35000</v>
      </c>
      <c r="AK20" s="11">
        <f>SUMIF(Ohj.lask.[Maakunta],Maakunt.[[#This Row],[Maakunta]],Ohj.lask.[Harkinnanvarainen korotus yhteensä, €])</f>
        <v>143000</v>
      </c>
      <c r="AL20" s="12">
        <f>SUMIF(Ohj.lask.[Maakunta],Maakunt.[[#This Row],[Maakunta]],Ohj.lask.[Suoriteperusteinen (opiskelijavuosiin perustuva) sekä harkinnanvarainen korotus, €])</f>
        <v>44319124</v>
      </c>
      <c r="AM20" s="12">
        <f>SUMIF(Ohj.lask.[Maakunta],Maakunt.[[#This Row],[Maakunta]],Ohj.lask.[Suoritusrahoitus, €])</f>
        <v>12905485</v>
      </c>
      <c r="AN20" s="12">
        <f>SUMIF(Ohj.lask.[Maakunta],Maakunt.[[#This Row],[Maakunta]],Ohj.lask.[Työllistymiseen ja jatko-opintoihin siirtymiseen, opiskelijapalautteiseen sekä työelämäpalautteeseen perustuva, €])</f>
        <v>7986500</v>
      </c>
      <c r="AO20" s="34">
        <f>SUMIF(Ohj.lask.[Maakunta],Maakunt.[[#This Row],[Maakunta]],Ohj.lask.[Perus-, suoritus- ja vaikuttavuusrahoitus yhteensä, €])</f>
        <v>65211109</v>
      </c>
      <c r="AP20" s="13">
        <f>Maakunt.[[#This Row],[Jaettava € 1]]/Maakunt.[[#This Row],[Perus-, suoritus- ja vaikuttavuusrahoitus yhteensä, €]]</f>
        <v>0.67743249083526547</v>
      </c>
      <c r="AQ20" s="10">
        <f>Maakunt.[[#This Row],[Suoriteperusteinen (opiskelijavuosiin perustuva) sekä harkinnanvarainen korotus, €]]/Maakunt.[[#This Row],[Perus-, suoritus- ja vaikuttavuusrahoitus yhteensä, €]]</f>
        <v>0.67962536873893675</v>
      </c>
      <c r="AR20" s="42">
        <f>Maakunt.[[#This Row],[Suoritusrahoitus, €]]/Maakunt.[[#This Row],[Perus-, suoritus- ja vaikuttavuusrahoitus yhteensä, €]]</f>
        <v>0.1979031670815474</v>
      </c>
      <c r="AS20" s="10">
        <f>Maakunt.[[#This Row],[Työllistymiseen ja jatko-opintoihin siirtymiseen perustuva sekä opiskelija-palautteisiin perustuva, €]]/Maakunt.[[#This Row],[Perus-, suoritus- ja vaikuttavuusrahoitus yhteensä, €]]</f>
        <v>0.12247146417951579</v>
      </c>
      <c r="AT20" s="10">
        <f>SUMIF(Ohj.lask.[Maakunta],Maakunt.[[#This Row],[Maakunta]],Ohj.lask.[Jaettava € 3])/Maakunt.[[#This Row],[Perus-, suoritus- ja vaikuttavuusrahoitus yhteensä, €]]</f>
        <v>7.7317255868168108E-2</v>
      </c>
      <c r="AU20" s="10">
        <f>SUMIF(Ohj.lask.[Maakunta],Maakunt.[[#This Row],[Maakunta]],Ohj.lask.[Jaettava € 4])/Maakunt.[[#This Row],[Perus-, suoritus- ja vaikuttavuusrahoitus yhteensä, €]]</f>
        <v>4.5819800426948731E-3</v>
      </c>
      <c r="AV20" s="10">
        <f>SUMIF(Ohj.lask.[Maakunta],Maakunt.[[#This Row],[Maakunta]],Ohj.lask.[Jaettava € 5])/Maakunt.[[#This Row],[Perus-, suoritus- ja vaikuttavuusrahoitus yhteensä, €]]</f>
        <v>1.3343386017250528E-2</v>
      </c>
      <c r="AW20" s="10">
        <f>SUMIF(Ohj.lask.[Maakunta],Maakunt.[[#This Row],[Maakunta]],Ohj.lask.[Jaettava € 6])/Maakunt.[[#This Row],[Perus-, suoritus- ja vaikuttavuusrahoitus yhteensä, €]]</f>
        <v>1.8131879953153379E-2</v>
      </c>
      <c r="AX20" s="10">
        <f>SUMIF(Ohj.lask.[Maakunta],Maakunt.[[#This Row],[Maakunta]],Ohj.lask.[Jaettava € 7])/Maakunt.[[#This Row],[Perus-, suoritus- ja vaikuttavuusrahoitus yhteensä, €]]</f>
        <v>9.0969622982489066E-3</v>
      </c>
      <c r="AY20" s="12">
        <f>SUMIF(Vertailu[Maakunta],Maakunt.[[#This Row],[Maakunta]],Vertailu[Rahoitus ml. hark. kor. 
2024 ilman alv, €])</f>
        <v>69307280</v>
      </c>
      <c r="AZ20" s="12">
        <f>SUMIF(Vertailu[Maakunta],Maakunt.[[#This Row],[Maakunta]],Vertailu[Rahoitus ml. hark. kor. 
2025 ilman alv, €])</f>
        <v>65211109</v>
      </c>
      <c r="BA20" s="12">
        <f>SUMIF(Vertailu[Maakunta],Maakunt.[[#This Row],[Maakunta]],Vertailu[Muutos, € 2])</f>
        <v>-4096171</v>
      </c>
      <c r="BB20" s="35">
        <f>IFERROR(Maakunt.[[#This Row],[Muutos, € 2]]/Maakunt.[[#This Row],[Rahoitus ml. hark. kor. 
2024 ilman alv, €]],0)</f>
        <v>-5.9101597985089009E-2</v>
      </c>
    </row>
    <row r="21" spans="1:54" x14ac:dyDescent="0.2">
      <c r="A21" s="16" t="s">
        <v>215</v>
      </c>
      <c r="B21" s="16">
        <f>COUNTIF(Ohj.lask.[Maakunta],Maakunt.[[#This Row],[Maakunta]])</f>
        <v>5</v>
      </c>
      <c r="C21" s="16">
        <f>COUNTIFS(Ohj.lask.[Maakunta],Maakunt.[[#This Row],[Maakunta]],Ohj.lask.[Omistajatyyppi],"=yksityinen")</f>
        <v>4</v>
      </c>
      <c r="D21" s="16">
        <f>COUNTIFS(Ohj.lask.[Maakunta],Maakunt.[[#This Row],[Maakunta]],Ohj.lask.[Omistajatyyppi],"=kunta")</f>
        <v>0</v>
      </c>
      <c r="E21" s="16">
        <f>COUNTIFS(Ohj.lask.[Maakunta],Maakunt.[[#This Row],[Maakunta]],Ohj.lask.[Omistajatyyppi],"=kuntayhtymä")</f>
        <v>1</v>
      </c>
      <c r="F21" s="12">
        <f>SUMIF(Ohj.lask.[Maakunta],Maakunt.[[#This Row],[Maakunta]],Ohj.lask.[Järjestämisluvan opisk.vuosien vähimmäismäärä (ei noudateta 2025)])</f>
        <v>6272</v>
      </c>
      <c r="G21" s="11">
        <f>SUMIF(Ohj.lask.[Maakunta],Maakunt.[[#This Row],[Maakunta]],Ohj.lask.[Tavoitteelliset opiskelija-vuodet])</f>
        <v>6780</v>
      </c>
      <c r="H21" s="73">
        <f>Maakunt.[[#This Row],[Painotetut opiskelija-vuodet]]/Maakunt.[[#This Row],[Tavoitteelliset opiske-lijavuodet]]</f>
        <v>1.0576106194690267</v>
      </c>
      <c r="I21" s="74">
        <f>SUMIF(Ohj.lask.[Maakunta],Maakunt.[[#This Row],[Maakunta]],Ohj.lask.[Painotetut opiskelija-vuodet])</f>
        <v>7170.6</v>
      </c>
      <c r="J21" s="10">
        <f>SUMIF(Ohj.lask.[Maakunta],Maakunt.[[#This Row],[Maakunta]],Ohj.lask.[%-osuus 1])</f>
        <v>3.4821246467177533E-2</v>
      </c>
      <c r="K21" s="11">
        <f>SUMIF(Ohj.lask.[Maakunta],Maakunt.[[#This Row],[Maakunta]],Ohj.lask.[Jaettava € 1])</f>
        <v>49505261</v>
      </c>
      <c r="L21" s="12">
        <f>SUMIF(Ohj.lask.[Maakunta],Maakunt.[[#This Row],[Maakunta]],Ohj.lask.[Painotetut pisteet 2])</f>
        <v>656144.89999999991</v>
      </c>
      <c r="M21" s="10">
        <f>SUMIF(Ohj.lask.[Maakunta],Maakunt.[[#This Row],[Maakunta]],Ohj.lask.[%-osuus 2])</f>
        <v>4.1660471357531863E-2</v>
      </c>
      <c r="N21" s="11">
        <f>SUMIF(Ohj.lask.[Maakunta],Maakunt.[[#This Row],[Maakunta]],Ohj.lask.[Jaettava € 2])</f>
        <v>17195569</v>
      </c>
      <c r="O21" s="12">
        <f>SUMIF(Ohj.lask.[Maakunta],Maakunt.[[#This Row],[Maakunta]],Ohj.lask.[Painotetut pisteet 3])</f>
        <v>14100.9</v>
      </c>
      <c r="P21" s="10">
        <f>SUMIF(Ohj.lask.[Maakunta],Maakunt.[[#This Row],[Maakunta]],Ohj.lask.[%-osuus 3])</f>
        <v>4.1777287938244659E-2</v>
      </c>
      <c r="Q21" s="11">
        <f>SUMIF(Ohj.lask.[Maakunta],Maakunt.[[#This Row],[Maakunta]],Ohj.lask.[Jaettava € 3])</f>
        <v>6035310</v>
      </c>
      <c r="R21" s="12">
        <f>SUMIF(Ohj.lask.[Maakunta],Maakunt.[[#This Row],[Maakunta]],Ohj.lask.[Painotetut pisteet 4])</f>
        <v>79555.199999999997</v>
      </c>
      <c r="S21" s="10">
        <f>SUMIF(Ohj.lask.[Maakunta],Maakunt.[[#This Row],[Maakunta]],Ohj.lask.[%-osuus 4])</f>
        <v>4.5756888233437716E-2</v>
      </c>
      <c r="T21" s="11">
        <f>SUMIF(Ohj.lask.[Maakunta],Maakunt.[[#This Row],[Maakunta]],Ohj.lask.[Jaettava € 4])</f>
        <v>354119</v>
      </c>
      <c r="U21" s="12">
        <f>SUMIF(Ohj.lask.[Maakunta],Maakunt.[[#This Row],[Maakunta]],Ohj.lask.[Painotetut pisteet 5])</f>
        <v>558484.5</v>
      </c>
      <c r="V21" s="10">
        <f>SUMIF(Ohj.lask.[Maakunta],Maakunt.[[#This Row],[Maakunta]],Ohj.lask.[%-osuus 5])</f>
        <v>5.0328908772288385E-2</v>
      </c>
      <c r="W21" s="11">
        <f>SUMIF(Ohj.lask.[Maakunta],Maakunt.[[#This Row],[Maakunta]],Ohj.lask.[Jaettava € 5])</f>
        <v>1168507</v>
      </c>
      <c r="X21" s="12">
        <f>SUMIF(Ohj.lask.[Maakunta],Maakunt.[[#This Row],[Maakunta]],Ohj.lask.[Painotetut pisteet 6])</f>
        <v>19293369.300000001</v>
      </c>
      <c r="Y21" s="10">
        <f>SUMIF(Ohj.lask.[Maakunta],Maakunt.[[#This Row],[Maakunta]],Ohj.lask.[%-osuus 6])</f>
        <v>5.6221546058306551E-2</v>
      </c>
      <c r="Z21" s="17">
        <f>SUMIF(Ohj.lask.[Maakunta],Maakunt.[[#This Row],[Maakunta]],Ohj.lask.[Jaettava € 6])</f>
        <v>1305318</v>
      </c>
      <c r="AA21" s="11">
        <f>SUMIF(Ohj.lask.[Maakunta],Maakunt.[[#This Row],[Maakunta]],Ohj.lask.[Pisteet 7])</f>
        <v>23295128.899999999</v>
      </c>
      <c r="AB21" s="10">
        <f>SUMIF(Ohj.lask.[Maakunta],Maakunt.[[#This Row],[Maakunta]],Ohj.lask.[%-osuus 7])</f>
        <v>0.11382983659522478</v>
      </c>
      <c r="AC21" s="11">
        <f>SUMIF(Ohj.lask.[Maakunta],Maakunt.[[#This Row],[Maakunta]],Ohj.lask.[Jaettava € 7])</f>
        <v>880945</v>
      </c>
      <c r="AD21" s="13">
        <f>SUMIF(Ohj.lask.[Maakunta],Maakunt.[[#This Row],[Maakunta]],Ohj.lask.[%-osuus 8])</f>
        <v>3.7457831541803106E-2</v>
      </c>
      <c r="AE21" s="11">
        <f>SUMIF(Ohj.lask.[Maakunta],Maakunt.[[#This Row],[Maakunta]],Ohj.lask.[Jaettava € 8])</f>
        <v>76445029</v>
      </c>
      <c r="AF21" s="12">
        <f>SUMIF(Ohj.lask.[Maakunta],Maakunt.[[#This Row],[Maakunta]],Ohj.lask.[Harkinnanvarainen korotus 1, €])</f>
        <v>6750000</v>
      </c>
      <c r="AG21" s="34">
        <f>SUMIF(Ohj.lask.[Maakunta],Maakunt.[[#This Row],[Maakunta]],Ohj.lask.[Harkinnanvarainen korotus 2, €])</f>
        <v>20000</v>
      </c>
      <c r="AH21" s="34">
        <f>SUMIF(Ohj.lask.[Maakunta],Maakunt.[[#This Row],[Maakunta]],Ohj.lask.[Harkinnanvarainen korotus 3, €])</f>
        <v>0</v>
      </c>
      <c r="AI21" s="34">
        <f>SUMIF(Ohj.lask.[Maakunta],Maakunt.[[#This Row],[Maakunta]],Ohj.lask.[Harkinnanvarainen korotus 4, €])</f>
        <v>129000</v>
      </c>
      <c r="AJ21" s="34">
        <f>SUMIF(Ohj.lask.[Maakunta],Maakunt.[[#This Row],[Maakunta]],Ohj.lask.[Harkinnanvarainen korotus 5, €])</f>
        <v>0</v>
      </c>
      <c r="AK21" s="11">
        <f>SUMIF(Ohj.lask.[Maakunta],Maakunt.[[#This Row],[Maakunta]],Ohj.lask.[Harkinnanvarainen korotus yhteensä, €])</f>
        <v>6899000</v>
      </c>
      <c r="AL21" s="12">
        <f>SUMIF(Ohj.lask.[Maakunta],Maakunt.[[#This Row],[Maakunta]],Ohj.lask.[Suoriteperusteinen (opiskelijavuosiin perustuva) sekä harkinnanvarainen korotus, €])</f>
        <v>56404261</v>
      </c>
      <c r="AM21" s="12">
        <f>SUMIF(Ohj.lask.[Maakunta],Maakunt.[[#This Row],[Maakunta]],Ohj.lask.[Suoritusrahoitus, €])</f>
        <v>17195569</v>
      </c>
      <c r="AN21" s="12">
        <f>SUMIF(Ohj.lask.[Maakunta],Maakunt.[[#This Row],[Maakunta]],Ohj.lask.[Työllistymiseen ja jatko-opintoihin siirtymiseen, opiskelijapalautteiseen sekä työelämäpalautteeseen perustuva, €])</f>
        <v>9744199</v>
      </c>
      <c r="AO21" s="34">
        <f>SUMIF(Ohj.lask.[Maakunta],Maakunt.[[#This Row],[Maakunta]],Ohj.lask.[Perus-, suoritus- ja vaikuttavuusrahoitus yhteensä, €])</f>
        <v>83344029</v>
      </c>
      <c r="AP21" s="13">
        <f>Maakunt.[[#This Row],[Jaettava € 1]]/Maakunt.[[#This Row],[Perus-, suoritus- ja vaikuttavuusrahoitus yhteensä, €]]</f>
        <v>0.59398689497000434</v>
      </c>
      <c r="AQ21" s="10">
        <f>Maakunt.[[#This Row],[Suoriteperusteinen (opiskelijavuosiin perustuva) sekä harkinnanvarainen korotus, €]]/Maakunt.[[#This Row],[Perus-, suoritus- ja vaikuttavuusrahoitus yhteensä, €]]</f>
        <v>0.67676427065938938</v>
      </c>
      <c r="AR21" s="42">
        <f>Maakunt.[[#This Row],[Suoritusrahoitus, €]]/Maakunt.[[#This Row],[Perus-, suoritus- ja vaikuttavuusrahoitus yhteensä, €]]</f>
        <v>0.20632034719607809</v>
      </c>
      <c r="AS21" s="10">
        <f>Maakunt.[[#This Row],[Työllistymiseen ja jatko-opintoihin siirtymiseen perustuva sekä opiskelija-palautteisiin perustuva, €]]/Maakunt.[[#This Row],[Perus-, suoritus- ja vaikuttavuusrahoitus yhteensä, €]]</f>
        <v>0.11691538214453251</v>
      </c>
      <c r="AT21" s="10">
        <f>SUMIF(Ohj.lask.[Maakunta],Maakunt.[[#This Row],[Maakunta]],Ohj.lask.[Jaettava € 3])/Maakunt.[[#This Row],[Perus-, suoritus- ja vaikuttavuusrahoitus yhteensä, €]]</f>
        <v>7.2414425753283412E-2</v>
      </c>
      <c r="AU21" s="10">
        <f>SUMIF(Ohj.lask.[Maakunta],Maakunt.[[#This Row],[Maakunta]],Ohj.lask.[Jaettava € 4])/Maakunt.[[#This Row],[Perus-, suoritus- ja vaikuttavuusrahoitus yhteensä, €]]</f>
        <v>4.2488826644077882E-3</v>
      </c>
      <c r="AV21" s="10">
        <f>SUMIF(Ohj.lask.[Maakunta],Maakunt.[[#This Row],[Maakunta]],Ohj.lask.[Jaettava € 5])/Maakunt.[[#This Row],[Perus-, suoritus- ja vaikuttavuusrahoitus yhteensä, €]]</f>
        <v>1.4020284524521847E-2</v>
      </c>
      <c r="AW21" s="10">
        <f>SUMIF(Ohj.lask.[Maakunta],Maakunt.[[#This Row],[Maakunta]],Ohj.lask.[Jaettava € 6])/Maakunt.[[#This Row],[Perus-, suoritus- ja vaikuttavuusrahoitus yhteensä, €]]</f>
        <v>1.5661805838544235E-2</v>
      </c>
      <c r="AX21" s="10">
        <f>SUMIF(Ohj.lask.[Maakunta],Maakunt.[[#This Row],[Maakunta]],Ohj.lask.[Jaettava € 7])/Maakunt.[[#This Row],[Perus-, suoritus- ja vaikuttavuusrahoitus yhteensä, €]]</f>
        <v>1.0569983363775227E-2</v>
      </c>
      <c r="AY21" s="12">
        <f>SUMIF(Vertailu[Maakunta],Maakunt.[[#This Row],[Maakunta]],Vertailu[Rahoitus ml. hark. kor. 
2024 ilman alv, €])</f>
        <v>85714084</v>
      </c>
      <c r="AZ21" s="12">
        <f>SUMIF(Vertailu[Maakunta],Maakunt.[[#This Row],[Maakunta]],Vertailu[Rahoitus ml. hark. kor. 
2025 ilman alv, €])</f>
        <v>83344029</v>
      </c>
      <c r="BA21" s="12">
        <f>SUMIF(Vertailu[Maakunta],Maakunt.[[#This Row],[Maakunta]],Vertailu[Muutos, € 2])</f>
        <v>-2370055</v>
      </c>
      <c r="BB21" s="35">
        <f>IFERROR(Maakunt.[[#This Row],[Muutos, € 2]]/Maakunt.[[#This Row],[Rahoitus ml. hark. kor. 
2024 ilman alv, €]],0)</f>
        <v>-2.7650706737996522E-2</v>
      </c>
    </row>
    <row r="22" spans="1:54" x14ac:dyDescent="0.2">
      <c r="A22" s="16" t="s">
        <v>174</v>
      </c>
      <c r="B22" s="16">
        <f>COUNTIF(Ohj.lask.[Maakunta],Maakunt.[[#This Row],[Maakunta]])</f>
        <v>42</v>
      </c>
      <c r="C22" s="16">
        <f>COUNTIFS(Ohj.lask.[Maakunta],Maakunt.[[#This Row],[Maakunta]],Ohj.lask.[Omistajatyyppi],"=yksityinen")</f>
        <v>37</v>
      </c>
      <c r="D22" s="16">
        <f>COUNTIFS(Ohj.lask.[Maakunta],Maakunt.[[#This Row],[Maakunta]],Ohj.lask.[Omistajatyyppi],"=kunta")</f>
        <v>2</v>
      </c>
      <c r="E22" s="16">
        <f>COUNTIFS(Ohj.lask.[Maakunta],Maakunt.[[#This Row],[Maakunta]],Ohj.lask.[Omistajatyyppi],"=kuntayhtymä")</f>
        <v>3</v>
      </c>
      <c r="F22" s="12">
        <f>SUMIF(Ohj.lask.[Maakunta],Maakunt.[[#This Row],[Maakunta]],Ohj.lask.[Järjestämisluvan opisk.vuosien vähimmäismäärä (ei noudateta 2025)])</f>
        <v>50551</v>
      </c>
      <c r="G22" s="11">
        <f>SUMIF(Ohj.lask.[Maakunta],Maakunt.[[#This Row],[Maakunta]],Ohj.lask.[Tavoitteelliset opiskelija-vuodet])</f>
        <v>56771</v>
      </c>
      <c r="H22" s="73">
        <f>Maakunt.[[#This Row],[Painotetut opiskelija-vuodet]]/Maakunt.[[#This Row],[Tavoitteelliset opiske-lijavuodet]]</f>
        <v>1.3602719698437584</v>
      </c>
      <c r="I22" s="74">
        <f>SUMIF(Ohj.lask.[Maakunta],Maakunt.[[#This Row],[Maakunta]],Ohj.lask.[Painotetut opiskelija-vuodet])</f>
        <v>77224.000000000015</v>
      </c>
      <c r="J22" s="10">
        <f>SUMIF(Ohj.lask.[Maakunta],Maakunt.[[#This Row],[Maakunta]],Ohj.lask.[%-osuus 1])</f>
        <v>0.37500849819838183</v>
      </c>
      <c r="K22" s="11">
        <f>SUMIF(Ohj.lask.[Maakunta],Maakunt.[[#This Row],[Maakunta]],Ohj.lask.[Jaettava € 1])</f>
        <v>533148459</v>
      </c>
      <c r="L22" s="12">
        <f>SUMIF(Ohj.lask.[Maakunta],Maakunt.[[#This Row],[Maakunta]],Ohj.lask.[Painotetut pisteet 2])</f>
        <v>5418670.299999998</v>
      </c>
      <c r="M22" s="10">
        <f>SUMIF(Ohj.lask.[Maakunta],Maakunt.[[#This Row],[Maakunta]],Ohj.lask.[%-osuus 2])</f>
        <v>0.34404650379673551</v>
      </c>
      <c r="N22" s="11">
        <f>SUMIF(Ohj.lask.[Maakunta],Maakunt.[[#This Row],[Maakunta]],Ohj.lask.[Jaettava € 2])</f>
        <v>142006915</v>
      </c>
      <c r="O22" s="12">
        <f>SUMIF(Ohj.lask.[Maakunta],Maakunt.[[#This Row],[Maakunta]],Ohj.lask.[Painotetut pisteet 3])</f>
        <v>106219.8</v>
      </c>
      <c r="P22" s="10">
        <f>SUMIF(Ohj.lask.[Maakunta],Maakunt.[[#This Row],[Maakunta]],Ohj.lask.[%-osuus 3])</f>
        <v>0.31470155588244447</v>
      </c>
      <c r="Q22" s="11">
        <f>SUMIF(Ohj.lask.[Maakunta],Maakunt.[[#This Row],[Maakunta]],Ohj.lask.[Jaettava € 3])</f>
        <v>45463014</v>
      </c>
      <c r="R22" s="12">
        <f>SUMIF(Ohj.lask.[Maakunta],Maakunt.[[#This Row],[Maakunta]],Ohj.lask.[Painotetut pisteet 4])</f>
        <v>599732.70000000007</v>
      </c>
      <c r="S22" s="10">
        <f>SUMIF(Ohj.lask.[Maakunta],Maakunt.[[#This Row],[Maakunta]],Ohj.lask.[%-osuus 4])</f>
        <v>0.34494165213383704</v>
      </c>
      <c r="T22" s="11">
        <f>SUMIF(Ohj.lask.[Maakunta],Maakunt.[[#This Row],[Maakunta]],Ohj.lask.[Jaettava € 4])</f>
        <v>2669549</v>
      </c>
      <c r="U22" s="12">
        <f>SUMIF(Ohj.lask.[Maakunta],Maakunt.[[#This Row],[Maakunta]],Ohj.lask.[Painotetut pisteet 5])</f>
        <v>3750524.6</v>
      </c>
      <c r="V22" s="10">
        <f>SUMIF(Ohj.lask.[Maakunta],Maakunt.[[#This Row],[Maakunta]],Ohj.lask.[%-osuus 5])</f>
        <v>0.33798576404828312</v>
      </c>
      <c r="W22" s="11">
        <f>SUMIF(Ohj.lask.[Maakunta],Maakunt.[[#This Row],[Maakunta]],Ohj.lask.[Jaettava € 5])</f>
        <v>7847153</v>
      </c>
      <c r="X22" s="12">
        <f>SUMIF(Ohj.lask.[Maakunta],Maakunt.[[#This Row],[Maakunta]],Ohj.lask.[Painotetut pisteet 6])</f>
        <v>92736751.400000006</v>
      </c>
      <c r="Y22" s="10">
        <f>SUMIF(Ohj.lask.[Maakunta],Maakunt.[[#This Row],[Maakunta]],Ohj.lask.[%-osuus 6])</f>
        <v>0.27023810403778586</v>
      </c>
      <c r="Z22" s="17">
        <f>SUMIF(Ohj.lask.[Maakunta],Maakunt.[[#This Row],[Maakunta]],Ohj.lask.[Jaettava € 6])</f>
        <v>6274229</v>
      </c>
      <c r="AA22" s="11">
        <f>SUMIF(Ohj.lask.[Maakunta],Maakunt.[[#This Row],[Maakunta]],Ohj.lask.[Pisteet 7])</f>
        <v>42676806.599999994</v>
      </c>
      <c r="AB22" s="10">
        <f>SUMIF(Ohj.lask.[Maakunta],Maakunt.[[#This Row],[Maakunta]],Ohj.lask.[%-osuus 7])</f>
        <v>0.20853689810164605</v>
      </c>
      <c r="AC22" s="11">
        <f>SUMIF(Ohj.lask.[Maakunta],Maakunt.[[#This Row],[Maakunta]],Ohj.lask.[Jaettava € 7])</f>
        <v>1613896</v>
      </c>
      <c r="AD22" s="13">
        <f>SUMIF(Ohj.lask.[Maakunta],Maakunt.[[#This Row],[Maakunta]],Ohj.lask.[%-osuus 8])</f>
        <v>0.36211912605791202</v>
      </c>
      <c r="AE22" s="11">
        <f>SUMIF(Ohj.lask.[Maakunta],Maakunt.[[#This Row],[Maakunta]],Ohj.lask.[Jaettava € 8])</f>
        <v>739023215</v>
      </c>
      <c r="AF22" s="12">
        <f>SUMIF(Ohj.lask.[Maakunta],Maakunt.[[#This Row],[Maakunta]],Ohj.lask.[Harkinnanvarainen korotus 1, €])</f>
        <v>1660000</v>
      </c>
      <c r="AG22" s="34">
        <f>SUMIF(Ohj.lask.[Maakunta],Maakunt.[[#This Row],[Maakunta]],Ohj.lask.[Harkinnanvarainen korotus 2, €])</f>
        <v>600000</v>
      </c>
      <c r="AH22" s="34">
        <f>SUMIF(Ohj.lask.[Maakunta],Maakunt.[[#This Row],[Maakunta]],Ohj.lask.[Harkinnanvarainen korotus 3, €])</f>
        <v>0</v>
      </c>
      <c r="AI22" s="34">
        <f>SUMIF(Ohj.lask.[Maakunta],Maakunt.[[#This Row],[Maakunta]],Ohj.lask.[Harkinnanvarainen korotus 4, €])</f>
        <v>808000</v>
      </c>
      <c r="AJ22" s="34">
        <f>SUMIF(Ohj.lask.[Maakunta],Maakunt.[[#This Row],[Maakunta]],Ohj.lask.[Harkinnanvarainen korotus 5, €])</f>
        <v>182000</v>
      </c>
      <c r="AK22" s="11">
        <f>SUMIF(Ohj.lask.[Maakunta],Maakunt.[[#This Row],[Maakunta]],Ohj.lask.[Harkinnanvarainen korotus yhteensä, €])</f>
        <v>3250000</v>
      </c>
      <c r="AL22" s="12">
        <f>SUMIF(Ohj.lask.[Maakunta],Maakunt.[[#This Row],[Maakunta]],Ohj.lask.[Suoriteperusteinen (opiskelijavuosiin perustuva) sekä harkinnanvarainen korotus, €])</f>
        <v>536398459</v>
      </c>
      <c r="AM22" s="12">
        <f>SUMIF(Ohj.lask.[Maakunta],Maakunt.[[#This Row],[Maakunta]],Ohj.lask.[Suoritusrahoitus, €])</f>
        <v>142006915</v>
      </c>
      <c r="AN22" s="12">
        <f>SUMIF(Ohj.lask.[Maakunta],Maakunt.[[#This Row],[Maakunta]],Ohj.lask.[Työllistymiseen ja jatko-opintoihin siirtymiseen, opiskelijapalautteiseen sekä työelämäpalautteeseen perustuva, €])</f>
        <v>63867841</v>
      </c>
      <c r="AO22" s="34">
        <f>SUMIF(Ohj.lask.[Maakunta],Maakunt.[[#This Row],[Maakunta]],Ohj.lask.[Perus-, suoritus- ja vaikuttavuusrahoitus yhteensä, €])</f>
        <v>742273215</v>
      </c>
      <c r="AP22" s="13">
        <f>Maakunt.[[#This Row],[Jaettava € 1]]/Maakunt.[[#This Row],[Perus-, suoritus- ja vaikuttavuusrahoitus yhteensä, €]]</f>
        <v>0.71826444525551147</v>
      </c>
      <c r="AQ22" s="10">
        <f>Maakunt.[[#This Row],[Suoriteperusteinen (opiskelijavuosiin perustuva) sekä harkinnanvarainen korotus, €]]/Maakunt.[[#This Row],[Perus-, suoritus- ja vaikuttavuusrahoitus yhteensä, €]]</f>
        <v>0.72264288695908285</v>
      </c>
      <c r="AR22" s="42">
        <f>Maakunt.[[#This Row],[Suoritusrahoitus, €]]/Maakunt.[[#This Row],[Perus-, suoritus- ja vaikuttavuusrahoitus yhteensä, €]]</f>
        <v>0.19131353810200466</v>
      </c>
      <c r="AS22" s="10">
        <f>Maakunt.[[#This Row],[Työllistymiseen ja jatko-opintoihin siirtymiseen perustuva sekä opiskelija-palautteisiin perustuva, €]]/Maakunt.[[#This Row],[Perus-, suoritus- ja vaikuttavuusrahoitus yhteensä, €]]</f>
        <v>8.6043574938912487E-2</v>
      </c>
      <c r="AT22" s="10">
        <f>SUMIF(Ohj.lask.[Maakunta],Maakunt.[[#This Row],[Maakunta]],Ohj.lask.[Jaettava € 3])/Maakunt.[[#This Row],[Perus-, suoritus- ja vaikuttavuusrahoitus yhteensä, €]]</f>
        <v>6.1248355836199746E-2</v>
      </c>
      <c r="AU22" s="10">
        <f>SUMIF(Ohj.lask.[Maakunta],Maakunt.[[#This Row],[Maakunta]],Ohj.lask.[Jaettava € 4])/Maakunt.[[#This Row],[Perus-, suoritus- ja vaikuttavuusrahoitus yhteensä, €]]</f>
        <v>3.5964506681006939E-3</v>
      </c>
      <c r="AV22" s="10">
        <f>SUMIF(Ohj.lask.[Maakunta],Maakunt.[[#This Row],[Maakunta]],Ohj.lask.[Jaettava € 5])/Maakunt.[[#This Row],[Perus-, suoritus- ja vaikuttavuusrahoitus yhteensä, €]]</f>
        <v>1.0571785215232372E-2</v>
      </c>
      <c r="AW22" s="10">
        <f>SUMIF(Ohj.lask.[Maakunta],Maakunt.[[#This Row],[Maakunta]],Ohj.lask.[Jaettava € 6])/Maakunt.[[#This Row],[Perus-, suoritus- ja vaikuttavuusrahoitus yhteensä, €]]</f>
        <v>8.4527218188790495E-3</v>
      </c>
      <c r="AX22" s="10">
        <f>SUMIF(Ohj.lask.[Maakunta],Maakunt.[[#This Row],[Maakunta]],Ohj.lask.[Jaettava € 7])/Maakunt.[[#This Row],[Perus-, suoritus- ja vaikuttavuusrahoitus yhteensä, €]]</f>
        <v>2.1742614005006229E-3</v>
      </c>
      <c r="AY22" s="12">
        <f>SUMIF(Vertailu[Maakunta],Maakunt.[[#This Row],[Maakunta]],Vertailu[Rahoitus ml. hark. kor. 
2024 ilman alv, €])</f>
        <v>763680836</v>
      </c>
      <c r="AZ22" s="12">
        <f>SUMIF(Vertailu[Maakunta],Maakunt.[[#This Row],[Maakunta]],Vertailu[Rahoitus ml. hark. kor. 
2025 ilman alv, €])</f>
        <v>742273215</v>
      </c>
      <c r="BA22" s="12">
        <f>SUMIF(Vertailu[Maakunta],Maakunt.[[#This Row],[Maakunta]],Vertailu[Muutos, € 2])</f>
        <v>-21407621</v>
      </c>
      <c r="BB22" s="35">
        <f>IFERROR(Maakunt.[[#This Row],[Muutos, € 2]]/Maakunt.[[#This Row],[Rahoitus ml. hark. kor. 
2024 ilman alv, €]],0)</f>
        <v>-2.803215687868852E-2</v>
      </c>
    </row>
    <row r="23" spans="1:54" x14ac:dyDescent="0.2">
      <c r="A23" s="16" t="s">
        <v>187</v>
      </c>
      <c r="B23" s="16">
        <f>COUNTIF(Ohj.lask.[Maakunta],Maakunt.[[#This Row],[Maakunta]])</f>
        <v>11</v>
      </c>
      <c r="C23" s="16">
        <f>COUNTIFS(Ohj.lask.[Maakunta],Maakunt.[[#This Row],[Maakunta]],Ohj.lask.[Omistajatyyppi],"=yksityinen")</f>
        <v>6</v>
      </c>
      <c r="D23" s="16">
        <f>COUNTIFS(Ohj.lask.[Maakunta],Maakunt.[[#This Row],[Maakunta]],Ohj.lask.[Omistajatyyppi],"=kunta")</f>
        <v>1</v>
      </c>
      <c r="E23" s="16">
        <f>COUNTIFS(Ohj.lask.[Maakunta],Maakunt.[[#This Row],[Maakunta]],Ohj.lask.[Omistajatyyppi],"=kuntayhtymä")</f>
        <v>4</v>
      </c>
      <c r="F23" s="12">
        <f>SUMIF(Ohj.lask.[Maakunta],Maakunt.[[#This Row],[Maakunta]],Ohj.lask.[Järjestämisluvan opisk.vuosien vähimmäismäärä (ei noudateta 2025)])</f>
        <v>11771</v>
      </c>
      <c r="G23" s="11">
        <f>SUMIF(Ohj.lask.[Maakunta],Maakunt.[[#This Row],[Maakunta]],Ohj.lask.[Tavoitteelliset opiskelija-vuodet])</f>
        <v>12046</v>
      </c>
      <c r="H23" s="73">
        <f>Maakunt.[[#This Row],[Painotetut opiskelija-vuodet]]/Maakunt.[[#This Row],[Tavoitteelliset opiske-lijavuodet]]</f>
        <v>1.0898638552216504</v>
      </c>
      <c r="I23" s="74">
        <f>SUMIF(Ohj.lask.[Maakunta],Maakunt.[[#This Row],[Maakunta]],Ohj.lask.[Painotetut opiskelija-vuodet])</f>
        <v>13128.5</v>
      </c>
      <c r="J23" s="10">
        <f>SUMIF(Ohj.lask.[Maakunta],Maakunt.[[#This Row],[Maakunta]],Ohj.lask.[%-osuus 1])</f>
        <v>6.3753484261336577E-2</v>
      </c>
      <c r="K23" s="11">
        <f>SUMIF(Ohj.lask.[Maakunta],Maakunt.[[#This Row],[Maakunta]],Ohj.lask.[Jaettava € 1])</f>
        <v>90638139</v>
      </c>
      <c r="L23" s="12">
        <f>SUMIF(Ohj.lask.[Maakunta],Maakunt.[[#This Row],[Maakunta]],Ohj.lask.[Painotetut pisteet 2])</f>
        <v>1123677.3</v>
      </c>
      <c r="M23" s="10">
        <f>SUMIF(Ohj.lask.[Maakunta],Maakunt.[[#This Row],[Maakunta]],Ohj.lask.[%-osuus 2])</f>
        <v>7.1345408570208713E-2</v>
      </c>
      <c r="N23" s="11">
        <f>SUMIF(Ohj.lask.[Maakunta],Maakunt.[[#This Row],[Maakunta]],Ohj.lask.[Jaettava € 2])</f>
        <v>29448174</v>
      </c>
      <c r="O23" s="12">
        <f>SUMIF(Ohj.lask.[Maakunta],Maakunt.[[#This Row],[Maakunta]],Ohj.lask.[Painotetut pisteet 3])</f>
        <v>26881.499999999996</v>
      </c>
      <c r="P23" s="10">
        <f>SUMIF(Ohj.lask.[Maakunta],Maakunt.[[#This Row],[Maakunta]],Ohj.lask.[%-osuus 3])</f>
        <v>7.9642871427492143E-2</v>
      </c>
      <c r="Q23" s="11">
        <f>SUMIF(Ohj.lask.[Maakunta],Maakunt.[[#This Row],[Maakunta]],Ohj.lask.[Jaettava € 3])</f>
        <v>11505519</v>
      </c>
      <c r="R23" s="12">
        <f>SUMIF(Ohj.lask.[Maakunta],Maakunt.[[#This Row],[Maakunta]],Ohj.lask.[Painotetut pisteet 4])</f>
        <v>122562.4</v>
      </c>
      <c r="S23" s="10">
        <f>SUMIF(Ohj.lask.[Maakunta],Maakunt.[[#This Row],[Maakunta]],Ohj.lask.[%-osuus 4])</f>
        <v>7.0492865814200542E-2</v>
      </c>
      <c r="T23" s="11">
        <f>SUMIF(Ohj.lask.[Maakunta],Maakunt.[[#This Row],[Maakunta]],Ohj.lask.[Jaettava € 4])</f>
        <v>545554</v>
      </c>
      <c r="U23" s="12">
        <f>SUMIF(Ohj.lask.[Maakunta],Maakunt.[[#This Row],[Maakunta]],Ohj.lask.[Painotetut pisteet 5])</f>
        <v>808618.20000000007</v>
      </c>
      <c r="V23" s="10">
        <f>SUMIF(Ohj.lask.[Maakunta],Maakunt.[[#This Row],[Maakunta]],Ohj.lask.[%-osuus 5])</f>
        <v>7.2870189986314809E-2</v>
      </c>
      <c r="W23" s="11">
        <f>SUMIF(Ohj.lask.[Maakunta],Maakunt.[[#This Row],[Maakunta]],Ohj.lask.[Jaettava € 5])</f>
        <v>1691857</v>
      </c>
      <c r="X23" s="12">
        <f>SUMIF(Ohj.lask.[Maakunta],Maakunt.[[#This Row],[Maakunta]],Ohj.lask.[Painotetut pisteet 6])</f>
        <v>21889579</v>
      </c>
      <c r="Y23" s="10">
        <f>SUMIF(Ohj.lask.[Maakunta],Maakunt.[[#This Row],[Maakunta]],Ohj.lask.[%-osuus 6])</f>
        <v>6.3786991002418622E-2</v>
      </c>
      <c r="Z23" s="17">
        <f>SUMIF(Ohj.lask.[Maakunta],Maakunt.[[#This Row],[Maakunta]],Ohj.lask.[Jaettava € 6])</f>
        <v>1480970</v>
      </c>
      <c r="AA23" s="11">
        <f>SUMIF(Ohj.lask.[Maakunta],Maakunt.[[#This Row],[Maakunta]],Ohj.lask.[Pisteet 7])</f>
        <v>8774707</v>
      </c>
      <c r="AB23" s="10">
        <f>SUMIF(Ohj.lask.[Maakunta],Maakunt.[[#This Row],[Maakunta]],Ohj.lask.[%-osuus 7])</f>
        <v>4.28769236808548E-2</v>
      </c>
      <c r="AC23" s="11">
        <f>SUMIF(Ohj.lask.[Maakunta],Maakunt.[[#This Row],[Maakunta]],Ohj.lask.[Jaettava € 7])</f>
        <v>331830</v>
      </c>
      <c r="AD23" s="13">
        <f>SUMIF(Ohj.lask.[Maakunta],Maakunt.[[#This Row],[Maakunta]],Ohj.lask.[%-osuus 8])</f>
        <v>6.6464188229688734E-2</v>
      </c>
      <c r="AE23" s="11">
        <f>SUMIF(Ohj.lask.[Maakunta],Maakunt.[[#This Row],[Maakunta]],Ohj.lask.[Jaettava € 8])</f>
        <v>135642043</v>
      </c>
      <c r="AF23" s="12">
        <f>SUMIF(Ohj.lask.[Maakunta],Maakunt.[[#This Row],[Maakunta]],Ohj.lask.[Harkinnanvarainen korotus 1, €])</f>
        <v>0</v>
      </c>
      <c r="AG23" s="34">
        <f>SUMIF(Ohj.lask.[Maakunta],Maakunt.[[#This Row],[Maakunta]],Ohj.lask.[Harkinnanvarainen korotus 2, €])</f>
        <v>480000</v>
      </c>
      <c r="AH23" s="34">
        <f>SUMIF(Ohj.lask.[Maakunta],Maakunt.[[#This Row],[Maakunta]],Ohj.lask.[Harkinnanvarainen korotus 3, €])</f>
        <v>0</v>
      </c>
      <c r="AI23" s="34">
        <f>SUMIF(Ohj.lask.[Maakunta],Maakunt.[[#This Row],[Maakunta]],Ohj.lask.[Harkinnanvarainen korotus 4, €])</f>
        <v>176000</v>
      </c>
      <c r="AJ23" s="34">
        <f>SUMIF(Ohj.lask.[Maakunta],Maakunt.[[#This Row],[Maakunta]],Ohj.lask.[Harkinnanvarainen korotus 5, €])</f>
        <v>28000</v>
      </c>
      <c r="AK23" s="11">
        <f>SUMIF(Ohj.lask.[Maakunta],Maakunt.[[#This Row],[Maakunta]],Ohj.lask.[Harkinnanvarainen korotus yhteensä, €])</f>
        <v>684000</v>
      </c>
      <c r="AL23" s="12">
        <f>SUMIF(Ohj.lask.[Maakunta],Maakunt.[[#This Row],[Maakunta]],Ohj.lask.[Suoriteperusteinen (opiskelijavuosiin perustuva) sekä harkinnanvarainen korotus, €])</f>
        <v>91322139</v>
      </c>
      <c r="AM23" s="12">
        <f>SUMIF(Ohj.lask.[Maakunta],Maakunt.[[#This Row],[Maakunta]],Ohj.lask.[Suoritusrahoitus, €])</f>
        <v>29448174</v>
      </c>
      <c r="AN23" s="12">
        <f>SUMIF(Ohj.lask.[Maakunta],Maakunt.[[#This Row],[Maakunta]],Ohj.lask.[Työllistymiseen ja jatko-opintoihin siirtymiseen, opiskelijapalautteiseen sekä työelämäpalautteeseen perustuva, €])</f>
        <v>15555730</v>
      </c>
      <c r="AO23" s="34">
        <f>SUMIF(Ohj.lask.[Maakunta],Maakunt.[[#This Row],[Maakunta]],Ohj.lask.[Perus-, suoritus- ja vaikuttavuusrahoitus yhteensä, €])</f>
        <v>136326043</v>
      </c>
      <c r="AP23" s="13">
        <f>Maakunt.[[#This Row],[Jaettava € 1]]/Maakunt.[[#This Row],[Perus-, suoritus- ja vaikuttavuusrahoitus yhteensä, €]]</f>
        <v>0.66486297852861465</v>
      </c>
      <c r="AQ23" s="118">
        <f>Maakunt.[[#This Row],[Suoriteperusteinen (opiskelijavuosiin perustuva) sekä harkinnanvarainen korotus, €]]/Maakunt.[[#This Row],[Perus-, suoritus- ja vaikuttavuusrahoitus yhteensä, €]]</f>
        <v>0.66988036174423404</v>
      </c>
      <c r="AR23" s="42">
        <f>Maakunt.[[#This Row],[Suoritusrahoitus, €]]/Maakunt.[[#This Row],[Perus-, suoritus- ja vaikuttavuusrahoitus yhteensä, €]]</f>
        <v>0.21601282742432421</v>
      </c>
      <c r="AS23" s="10">
        <f>Maakunt.[[#This Row],[Työllistymiseen ja jatko-opintoihin siirtymiseen perustuva sekä opiskelija-palautteisiin perustuva, €]]/Maakunt.[[#This Row],[Perus-, suoritus- ja vaikuttavuusrahoitus yhteensä, €]]</f>
        <v>0.11410681083144179</v>
      </c>
      <c r="AT23" s="10">
        <f>SUMIF(Ohj.lask.[Maakunta],Maakunt.[[#This Row],[Maakunta]],Ohj.lask.[Jaettava € 3])/Maakunt.[[#This Row],[Perus-, suoritus- ja vaikuttavuusrahoitus yhteensä, €]]</f>
        <v>8.4397072978931842E-2</v>
      </c>
      <c r="AU23" s="10">
        <f>SUMIF(Ohj.lask.[Maakunta],Maakunt.[[#This Row],[Maakunta]],Ohj.lask.[Jaettava € 4])/Maakunt.[[#This Row],[Perus-, suoritus- ja vaikuttavuusrahoitus yhteensä, €]]</f>
        <v>4.0018325772134379E-3</v>
      </c>
      <c r="AV23" s="10">
        <f>SUMIF(Ohj.lask.[Maakunta],Maakunt.[[#This Row],[Maakunta]],Ohj.lask.[Jaettava € 5])/Maakunt.[[#This Row],[Perus-, suoritus- ja vaikuttavuusrahoitus yhteensä, €]]</f>
        <v>1.2410372682789597E-2</v>
      </c>
      <c r="AW23" s="10">
        <f>SUMIF(Ohj.lask.[Maakunta],Maakunt.[[#This Row],[Maakunta]],Ohj.lask.[Jaettava € 6])/Maakunt.[[#This Row],[Perus-, suoritus- ja vaikuttavuusrahoitus yhteensä, €]]</f>
        <v>1.0863441550929488E-2</v>
      </c>
      <c r="AX23" s="10">
        <f>SUMIF(Ohj.lask.[Maakunta],Maakunt.[[#This Row],[Maakunta]],Ohj.lask.[Jaettava € 7])/Maakunt.[[#This Row],[Perus-, suoritus- ja vaikuttavuusrahoitus yhteensä, €]]</f>
        <v>2.4340910415774335E-3</v>
      </c>
      <c r="AY23" s="12">
        <f>SUMIF(Vertailu[Maakunta],Maakunt.[[#This Row],[Maakunta]],Vertailu[Rahoitus ml. hark. kor. 
2024 ilman alv, €])</f>
        <v>143194967</v>
      </c>
      <c r="AZ23" s="12">
        <f>SUMIF(Vertailu[Maakunta],Maakunt.[[#This Row],[Maakunta]],Vertailu[Rahoitus ml. hark. kor. 
2025 ilman alv, €])</f>
        <v>136326043</v>
      </c>
      <c r="BA23" s="12">
        <f>SUMIF(Vertailu[Maakunta],Maakunt.[[#This Row],[Maakunta]],Vertailu[Muutos, € 2])</f>
        <v>-6868924</v>
      </c>
      <c r="BB23" s="35">
        <f>IFERROR(Maakunt.[[#This Row],[Muutos, € 2]]/Maakunt.[[#This Row],[Rahoitus ml. hark. kor. 
2024 ilman alv, €]],0)</f>
        <v>-4.7969032319411062E-2</v>
      </c>
    </row>
    <row r="24" spans="1:54" s="108" customFormat="1" x14ac:dyDescent="0.2">
      <c r="A24" s="138" t="s">
        <v>345</v>
      </c>
      <c r="B24" s="138">
        <f>SUBTOTAL(109,Maakunt.[Järjestäjien kokonais-määrä])</f>
        <v>133</v>
      </c>
      <c r="C24" s="138">
        <f>SUBTOTAL(109,Maakunt.[Yksityinen])</f>
        <v>92</v>
      </c>
      <c r="D24" s="138">
        <f>SUBTOTAL(109,Maakunt.[Kunta])</f>
        <v>8</v>
      </c>
      <c r="E24" s="138">
        <f>SUBTOTAL(109,Maakunt.[Kunta-yhtymä])</f>
        <v>33</v>
      </c>
      <c r="F24" s="147">
        <f>SUBTOTAL(109,Maakunt.[Järjestämisluvan opisk.vuosien vähimmäismäärä])</f>
        <v>157925</v>
      </c>
      <c r="G24" s="99">
        <f>SUBTOTAL(109,Maakunt.[Tavoitteelliset opiske-lijavuodet])</f>
        <v>166824</v>
      </c>
      <c r="H24" s="134">
        <f>Maakunt.[[#Totals],[Painotetut opiskelija-vuodet]]/Maakunt.[[#Totals],[Tavoitteelliset opiske-lijavuodet]]</f>
        <v>1.2343907351460222</v>
      </c>
      <c r="I24" s="135">
        <f>SUBTOTAL(109,Maakunt.[Painotetut opiskelija-vuodet])</f>
        <v>205926</v>
      </c>
      <c r="J24" s="145">
        <f>SUBTOTAL(109,Maakunt.[%-osuus 1])</f>
        <v>1</v>
      </c>
      <c r="K24" s="100">
        <f>SUBTOTAL(109,Maakunt.[Jaettava € 1])</f>
        <v>1421697005</v>
      </c>
      <c r="L24" s="99">
        <f>SUBTOTAL(109,Maakunt.[Painotetut pisteet 2])</f>
        <v>15749819.399999999</v>
      </c>
      <c r="M24" s="145">
        <f>SUBTOTAL(109,Maakunt.[%-osuus 2])</f>
        <v>0.99999999999999956</v>
      </c>
      <c r="N24" s="99">
        <f>SUBTOTAL(109,Maakunt.[Jaettava € 2])</f>
        <v>412755002</v>
      </c>
      <c r="O24" s="147">
        <f>SUBTOTAL(109,Maakunt.[Painotetut pisteet 3])</f>
        <v>337525.5</v>
      </c>
      <c r="P24" s="145">
        <f>SUBTOTAL(109,Maakunt.[%-osuus 3])</f>
        <v>1</v>
      </c>
      <c r="Q24" s="100">
        <f>SUBTOTAL(109,Maakunt.[Jaettava € 3])</f>
        <v>144463899</v>
      </c>
      <c r="R24" s="99">
        <f>SUBTOTAL(109,Maakunt.[Painotetut pisteet 4])</f>
        <v>1738649.6999999997</v>
      </c>
      <c r="S24" s="145">
        <f>SUBTOTAL(109,Maakunt.[%-osuus 4])</f>
        <v>1.0000000000000002</v>
      </c>
      <c r="T24" s="99">
        <f>SUBTOTAL(109,Maakunt.[Jaettava € 4])</f>
        <v>7739135</v>
      </c>
      <c r="U24" s="147">
        <f>SUBTOTAL(109,Maakunt.[Painotetut pisteet 5])</f>
        <v>11096694</v>
      </c>
      <c r="V24" s="145">
        <f>SUBTOTAL(109,Maakunt.[%-osuus 5])</f>
        <v>0.99999999999999967</v>
      </c>
      <c r="W24" s="99">
        <f>SUBTOTAL(109,Maakunt.[Jaettava € 5])</f>
        <v>23217415</v>
      </c>
      <c r="X24" s="147">
        <f>SUBTOTAL(109,Maakunt.[Painotetut pisteet 6])</f>
        <v>343166822.19999999</v>
      </c>
      <c r="Y24" s="145">
        <f>SUBTOTAL(109,Maakunt.[%-osuus 6])</f>
        <v>0.99999999999999967</v>
      </c>
      <c r="Z24" s="100">
        <f>SUBTOTAL(109,Maakunt.[Jaettava € 6])</f>
        <v>23217411</v>
      </c>
      <c r="AA24" s="99">
        <f>SUBTOTAL(109,Maakunt.[Pisteet 7])</f>
        <v>204648707.19999999</v>
      </c>
      <c r="AB24" s="145">
        <f>SUBTOTAL(109,Maakunt.[%-osuus 7])</f>
        <v>1</v>
      </c>
      <c r="AC24" s="100">
        <f>SUBTOTAL(109,Maakunt.[Jaettava € 7])</f>
        <v>7739136</v>
      </c>
      <c r="AD24" s="145">
        <f>SUBTOTAL(109,Maakunt.[%-osuus 8])</f>
        <v>0.99999999999999989</v>
      </c>
      <c r="AE24" s="99">
        <f>SUBTOTAL(109,Maakunt.[Jaettava € 8])</f>
        <v>2040829003</v>
      </c>
      <c r="AF24" s="147">
        <f>SUBTOTAL(109,Maakunt.[Harkinnanvarainen korotus 1, €])</f>
        <v>8410000</v>
      </c>
      <c r="AG24" s="148">
        <f>SUBTOTAL(109,Maakunt.[Harkinnanvarainen korotus 2, €])</f>
        <v>1535000</v>
      </c>
      <c r="AH24" s="148">
        <f>SUBTOTAL(109,Maakunt.[Harkinnanvarainen korotus 3, €])</f>
        <v>0</v>
      </c>
      <c r="AI24" s="148">
        <f>SUBTOTAL(109,Maakunt.[Harkinnanvarainen korotus 4, €])</f>
        <v>2500000</v>
      </c>
      <c r="AJ24" s="148">
        <f>SUBTOTAL(109,Maakunt.[Harkinnanvarainen korotus 5, €])</f>
        <v>500000</v>
      </c>
      <c r="AK24" s="100">
        <f>SUBTOTAL(109,Maakunt.[Harkinnanvarainen korotus yhteensä, €])</f>
        <v>12945000</v>
      </c>
      <c r="AL24" s="99">
        <f>SUBTOTAL(109,Maakunt.[Suoriteperusteinen (opiskelijavuosiin perustuva) sekä harkinnanvarainen korotus, €])</f>
        <v>1434642005</v>
      </c>
      <c r="AM24" s="148">
        <f>SUBTOTAL(109,Maakunt.[Suoritusrahoitus, €])</f>
        <v>412755002</v>
      </c>
      <c r="AN24" s="99">
        <f>SUBTOTAL(109,Maakunt.[Työllistymiseen ja jatko-opintoihin siirtymiseen perustuva sekä opiskelija-palautteisiin perustuva, €])</f>
        <v>206376996</v>
      </c>
      <c r="AO24" s="148">
        <f>SUBTOTAL(109,Maakunt.[Perus-, suoritus- ja vaikuttavuusrahoitus yhteensä, €])</f>
        <v>2053774003</v>
      </c>
      <c r="AP24" s="146">
        <f>Maakunt.[[#Totals],[Jaettava € 1]]/Maakunt.[[#Totals],[Perus-, suoritus- ja vaikuttavuusrahoitus yhteensä, €]]</f>
        <v>0.69223634290982894</v>
      </c>
      <c r="AQ24" s="152">
        <f>Maakunt.[[#Totals],[Suoriteperusteinen (opiskelijavuosiin perustuva) sekä harkinnanvarainen korotus, €]]/Maakunt.[[#Totals],[Perus-, suoritus- ja vaikuttavuusrahoitus yhteensä, €]]</f>
        <v>0.69853937332169069</v>
      </c>
      <c r="AR24" s="145">
        <f>Maakunt.[[#Totals],[Suoritusrahoitus, €]]/Maakunt.[[#Totals],[Perus-, suoritus- ja vaikuttavuusrahoitus yhteensä, €]]</f>
        <v>0.20097391504473144</v>
      </c>
      <c r="AS24" s="146">
        <f>Maakunt.[[#Totals],[Työllistymiseen ja jatko-opintoihin siirtymiseen perustuva sekä opiskelija-palautteisiin perustuva, €]]/Maakunt.[[#Totals],[Perus-, suoritus- ja vaikuttavuusrahoitus yhteensä, €]]</f>
        <v>0.10048671163357792</v>
      </c>
      <c r="AT24" s="145">
        <f>Ohj.lask.[[#Totals],[Jaettava € 3]]/Ohj.lask.[[#Totals],[Perus-, suoritus- ja vaikuttavuusrahoitus yhteensä, €]]</f>
        <v>7.0340699019939834E-2</v>
      </c>
      <c r="AU24" s="145">
        <f>Ohj.lask.[[#Totals],[Jaettava € 4]]/Ohj.lask.[[#Totals],[Perus-, suoritus- ja vaikuttavuusrahoitus yhteensä, €]]</f>
        <v>3.7682505420242188E-3</v>
      </c>
      <c r="AV24" s="145">
        <f>Ohj.lask.[[#Totals],[Jaettava € 5]]/Ohj.lask.[[#Totals],[Perus-, suoritus- ja vaikuttavuusrahoitus yhteensä, €]]</f>
        <v>1.1304756495157563E-2</v>
      </c>
      <c r="AW24" s="145">
        <f>Ohj.lask.[[#Totals],[Jaettava € 6]]/Ohj.lask.[[#Totals],[Perus-, suoritus- ja vaikuttavuusrahoitus yhteensä, €]]</f>
        <v>1.1304754547523601E-2</v>
      </c>
      <c r="AX24" s="145">
        <f>Ohj.lask.[[#Totals],[Jaettava € 7]]/Ohj.lask.[[#Totals],[Perus-, suoritus- ja vaikuttavuusrahoitus yhteensä, €]]</f>
        <v>3.7682510289327098E-3</v>
      </c>
      <c r="AY24" s="147">
        <f>SUBTOTAL(109,Maakunt.[Rahoitus ml. hark. kor. 
2024 ilman alv, €])</f>
        <v>2141251819</v>
      </c>
      <c r="AZ24" s="148">
        <f>SUBTOTAL(109,Maakunt.[Rahoitus ml. hark. kor. 
2025 ilman alv, €])</f>
        <v>2053774003</v>
      </c>
      <c r="BA24" s="147">
        <f>SUBTOTAL(109,Maakunt.[Muutos, € 2])</f>
        <v>-87477816</v>
      </c>
      <c r="BB24" s="152">
        <f>IFERROR(Maakunt.[[#Totals],[Muutos, € 2]]/Maakunt.[[#Totals],[Rahoitus ml. hark. kor. 
2024 ilman alv, €]],0)</f>
        <v>-4.0853586310485232E-2</v>
      </c>
    </row>
    <row r="25" spans="1:54" x14ac:dyDescent="0.2">
      <c r="A25" s="88" t="s">
        <v>355</v>
      </c>
    </row>
    <row r="26" spans="1:54" x14ac:dyDescent="0.2">
      <c r="A26" s="326" t="s">
        <v>577</v>
      </c>
      <c r="B26" s="89"/>
      <c r="C26" s="89"/>
      <c r="D26" s="89"/>
    </row>
    <row r="27" spans="1:54" x14ac:dyDescent="0.2">
      <c r="A27" s="89"/>
      <c r="B27" s="89"/>
      <c r="C27" s="89"/>
      <c r="D27" s="89"/>
      <c r="F27" s="3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L27" s="5"/>
      <c r="AM27" s="5"/>
      <c r="AN27" s="5"/>
      <c r="AO27" s="3"/>
      <c r="AP27" s="3"/>
      <c r="AQ27" s="3"/>
      <c r="AR27" s="3"/>
      <c r="AS27" s="3"/>
    </row>
    <row r="28" spans="1:54" ht="15" x14ac:dyDescent="0.25">
      <c r="B28" s="3"/>
      <c r="C28" s="3"/>
      <c r="D28" s="3"/>
      <c r="E28" s="3"/>
      <c r="F28" s="3"/>
      <c r="G28" s="4"/>
      <c r="H28" s="3"/>
      <c r="I28" s="3"/>
      <c r="J28" s="3"/>
      <c r="K28" s="3"/>
      <c r="L28" s="3"/>
      <c r="M28"/>
      <c r="N28"/>
      <c r="O28"/>
      <c r="P28"/>
      <c r="Q28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/>
      <c r="AJ28"/>
      <c r="AK28" s="33"/>
      <c r="AL28" s="3"/>
      <c r="AM28" s="33"/>
      <c r="AN28" s="11"/>
      <c r="AO28" s="11"/>
    </row>
  </sheetData>
  <mergeCells count="31">
    <mergeCell ref="A2:B4"/>
    <mergeCell ref="AY2:BB2"/>
    <mergeCell ref="AY3:BB4"/>
    <mergeCell ref="AF3:AF4"/>
    <mergeCell ref="AG3:AG4"/>
    <mergeCell ref="AH3:AH4"/>
    <mergeCell ref="AI3:AI4"/>
    <mergeCell ref="AL2:AO2"/>
    <mergeCell ref="AF2:AK2"/>
    <mergeCell ref="AP4:AQ4"/>
    <mergeCell ref="AP2:AX2"/>
    <mergeCell ref="AD4:AE4"/>
    <mergeCell ref="AJ3:AJ4"/>
    <mergeCell ref="AK3:AK4"/>
    <mergeCell ref="AD3:AE3"/>
    <mergeCell ref="AS4:AX4"/>
    <mergeCell ref="AO3:AO4"/>
    <mergeCell ref="AM3:AM4"/>
    <mergeCell ref="AN3:AN4"/>
    <mergeCell ref="AL3:AL4"/>
    <mergeCell ref="X4:Z4"/>
    <mergeCell ref="AA4:AC4"/>
    <mergeCell ref="O4:Q4"/>
    <mergeCell ref="R4:T4"/>
    <mergeCell ref="F4:K4"/>
    <mergeCell ref="L4:N4"/>
    <mergeCell ref="U4:W4"/>
    <mergeCell ref="L3:N3"/>
    <mergeCell ref="F3:K3"/>
    <mergeCell ref="O3:AC3"/>
    <mergeCell ref="F2:I2"/>
  </mergeCells>
  <phoneticPr fontId="2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11">
    <tabColor theme="9" tint="0.59999389629810485"/>
  </sheetPr>
  <dimension ref="A1:S271"/>
  <sheetViews>
    <sheetView zoomScale="90" zoomScaleNormal="90" workbookViewId="0">
      <pane xSplit="1" ySplit="1" topLeftCell="B245" activePane="bottomRight" state="frozen"/>
      <selection pane="topRight" activeCell="B1" sqref="B1"/>
      <selection pane="bottomLeft" activeCell="A2" sqref="A2"/>
      <selection pane="bottomRight"/>
    </sheetView>
  </sheetViews>
  <sheetFormatPr defaultColWidth="19.5703125" defaultRowHeight="15" x14ac:dyDescent="0.25"/>
  <cols>
    <col min="1" max="1" width="51.28515625" style="144" customWidth="1"/>
    <col min="2" max="19" width="17.42578125" style="144" customWidth="1"/>
    <col min="20" max="16384" width="19.5703125" style="144"/>
  </cols>
  <sheetData>
    <row r="1" spans="1:19" ht="60" x14ac:dyDescent="0.25">
      <c r="A1" s="192" t="s">
        <v>12</v>
      </c>
      <c r="B1" s="192" t="s">
        <v>352</v>
      </c>
      <c r="C1" s="192" t="s">
        <v>353</v>
      </c>
      <c r="D1" s="192" t="s">
        <v>354</v>
      </c>
      <c r="E1" s="192" t="s">
        <v>132</v>
      </c>
      <c r="F1" s="192" t="s">
        <v>133</v>
      </c>
      <c r="G1" s="192" t="s">
        <v>528</v>
      </c>
      <c r="H1" s="192" t="s">
        <v>134</v>
      </c>
      <c r="I1" s="192" t="s">
        <v>135</v>
      </c>
      <c r="J1" s="192" t="s">
        <v>444</v>
      </c>
      <c r="K1" s="192" t="s">
        <v>136</v>
      </c>
      <c r="L1" s="192" t="s">
        <v>445</v>
      </c>
      <c r="M1" s="192" t="s">
        <v>137</v>
      </c>
      <c r="N1" s="192" t="s">
        <v>446</v>
      </c>
      <c r="O1" s="192" t="s">
        <v>138</v>
      </c>
      <c r="P1" s="192" t="s">
        <v>139</v>
      </c>
      <c r="Q1" s="192" t="s">
        <v>140</v>
      </c>
      <c r="R1" s="192" t="s">
        <v>141</v>
      </c>
      <c r="S1" s="192" t="s">
        <v>142</v>
      </c>
    </row>
    <row r="2" spans="1:19" x14ac:dyDescent="0.25">
      <c r="A2" s="156" t="s">
        <v>380</v>
      </c>
      <c r="B2" s="202">
        <v>5182.685671232146</v>
      </c>
      <c r="C2" s="202">
        <v>5173.6621095883102</v>
      </c>
      <c r="D2" s="202">
        <v>9.0235616438356168</v>
      </c>
      <c r="E2" s="202">
        <v>1868.4957942465392</v>
      </c>
      <c r="F2" s="202">
        <v>2382.6109072108738</v>
      </c>
      <c r="G2" s="202">
        <v>138.84471232876763</v>
      </c>
      <c r="H2" s="202">
        <v>23.329945205479461</v>
      </c>
      <c r="I2" s="202">
        <v>8.572383561643834</v>
      </c>
      <c r="J2" s="202">
        <v>3.4552109589040976</v>
      </c>
      <c r="K2" s="202">
        <v>31.059999999999963</v>
      </c>
      <c r="L2" s="202">
        <v>31.059999999999963</v>
      </c>
      <c r="M2" s="202"/>
      <c r="N2" s="202"/>
      <c r="O2" s="202">
        <v>-9.2406422969862518</v>
      </c>
      <c r="P2" s="202">
        <v>11.180258457534212</v>
      </c>
      <c r="Q2" s="202"/>
      <c r="R2" s="202">
        <v>4458.3085696727567</v>
      </c>
      <c r="S2" s="203">
        <v>0.86023132647610989</v>
      </c>
    </row>
    <row r="3" spans="1:19" x14ac:dyDescent="0.25">
      <c r="A3" s="155" t="s">
        <v>379</v>
      </c>
      <c r="B3" s="204">
        <v>5182.6856712308791</v>
      </c>
      <c r="C3" s="204">
        <v>5173.6621095870432</v>
      </c>
      <c r="D3" s="204">
        <v>9.0235616438356168</v>
      </c>
      <c r="E3" s="204">
        <v>1868.4957942466845</v>
      </c>
      <c r="F3" s="204">
        <v>2382.6109072105164</v>
      </c>
      <c r="G3" s="204">
        <v>138.84471232876936</v>
      </c>
      <c r="H3" s="204">
        <v>23.329945205479461</v>
      </c>
      <c r="I3" s="204">
        <v>8.572383561643834</v>
      </c>
      <c r="J3" s="204">
        <v>3.4552109589041065</v>
      </c>
      <c r="K3" s="204">
        <v>31.059999999999899</v>
      </c>
      <c r="L3" s="204">
        <v>31.059999999999899</v>
      </c>
      <c r="M3" s="204"/>
      <c r="N3" s="204"/>
      <c r="O3" s="204">
        <v>-9.2406422969862518</v>
      </c>
      <c r="P3" s="204">
        <v>11.180258457533986</v>
      </c>
      <c r="Q3" s="204"/>
      <c r="R3" s="204">
        <v>4458.3085696725457</v>
      </c>
      <c r="S3" s="205">
        <v>0.86023132647627942</v>
      </c>
    </row>
    <row r="4" spans="1:19" x14ac:dyDescent="0.25">
      <c r="A4" s="156" t="s">
        <v>15</v>
      </c>
      <c r="B4" s="202">
        <v>378.40958904109527</v>
      </c>
      <c r="C4" s="202">
        <v>378.40958904109527</v>
      </c>
      <c r="D4" s="202"/>
      <c r="E4" s="202">
        <v>331.9835315068525</v>
      </c>
      <c r="F4" s="202">
        <v>75.164717342466204</v>
      </c>
      <c r="G4" s="202"/>
      <c r="H4" s="202"/>
      <c r="I4" s="202"/>
      <c r="J4" s="202">
        <v>2.0396383561643834</v>
      </c>
      <c r="K4" s="202">
        <v>32.085205479452078</v>
      </c>
      <c r="L4" s="202">
        <v>32.085205479452078</v>
      </c>
      <c r="M4" s="202"/>
      <c r="N4" s="202"/>
      <c r="O4" s="202"/>
      <c r="P4" s="202"/>
      <c r="Q4" s="202"/>
      <c r="R4" s="202">
        <v>441.27309268493519</v>
      </c>
      <c r="S4" s="203">
        <v>1.166125556709962</v>
      </c>
    </row>
    <row r="5" spans="1:19" x14ac:dyDescent="0.25">
      <c r="A5" s="155" t="s">
        <v>321</v>
      </c>
      <c r="B5" s="204">
        <v>378.40958904109789</v>
      </c>
      <c r="C5" s="204">
        <v>378.40958904109789</v>
      </c>
      <c r="D5" s="204"/>
      <c r="E5" s="204">
        <v>331.9835315068546</v>
      </c>
      <c r="F5" s="204">
        <v>75.164717342466389</v>
      </c>
      <c r="G5" s="204"/>
      <c r="H5" s="204"/>
      <c r="I5" s="204"/>
      <c r="J5" s="204">
        <v>2.0396383561643807</v>
      </c>
      <c r="K5" s="204">
        <v>32.085205479452043</v>
      </c>
      <c r="L5" s="204">
        <v>32.085205479452043</v>
      </c>
      <c r="M5" s="204"/>
      <c r="N5" s="204"/>
      <c r="O5" s="204"/>
      <c r="P5" s="204"/>
      <c r="Q5" s="204"/>
      <c r="R5" s="204">
        <v>441.27309268493747</v>
      </c>
      <c r="S5" s="205">
        <v>1.16612555670996</v>
      </c>
    </row>
    <row r="6" spans="1:19" x14ac:dyDescent="0.25">
      <c r="A6" s="156" t="s">
        <v>16</v>
      </c>
      <c r="B6" s="202">
        <v>104.72712328767123</v>
      </c>
      <c r="C6" s="202">
        <v>104.72712328767123</v>
      </c>
      <c r="D6" s="202"/>
      <c r="E6" s="202">
        <v>39.13227397260286</v>
      </c>
      <c r="F6" s="202"/>
      <c r="G6" s="202">
        <v>100.46453698630174</v>
      </c>
      <c r="H6" s="202"/>
      <c r="I6" s="202"/>
      <c r="J6" s="202">
        <v>5.8752986301370163</v>
      </c>
      <c r="K6" s="202">
        <v>376.90537534246459</v>
      </c>
      <c r="L6" s="202">
        <v>376.90537534246459</v>
      </c>
      <c r="M6" s="202">
        <v>127.16416438356192</v>
      </c>
      <c r="N6" s="202">
        <v>127.16416438356192</v>
      </c>
      <c r="O6" s="202"/>
      <c r="P6" s="202"/>
      <c r="Q6" s="202"/>
      <c r="R6" s="202">
        <v>649.54164931506807</v>
      </c>
      <c r="S6" s="203">
        <v>6.2022294599925667</v>
      </c>
    </row>
    <row r="7" spans="1:19" x14ac:dyDescent="0.25">
      <c r="A7" s="155" t="s">
        <v>320</v>
      </c>
      <c r="B7" s="204">
        <v>104.72712328767132</v>
      </c>
      <c r="C7" s="204">
        <v>104.72712328767132</v>
      </c>
      <c r="D7" s="204"/>
      <c r="E7" s="204">
        <v>39.13227397260286</v>
      </c>
      <c r="F7" s="204"/>
      <c r="G7" s="204">
        <v>100.46453698630174</v>
      </c>
      <c r="H7" s="204"/>
      <c r="I7" s="204"/>
      <c r="J7" s="204">
        <v>5.8752986301370047</v>
      </c>
      <c r="K7" s="204">
        <v>376.90537534246459</v>
      </c>
      <c r="L7" s="204">
        <v>376.90537534246459</v>
      </c>
      <c r="M7" s="204">
        <v>127.16416438356194</v>
      </c>
      <c r="N7" s="204">
        <v>127.16416438356194</v>
      </c>
      <c r="O7" s="204"/>
      <c r="P7" s="204"/>
      <c r="Q7" s="204"/>
      <c r="R7" s="204">
        <v>649.54164931506807</v>
      </c>
      <c r="S7" s="205">
        <v>6.2022294599925614</v>
      </c>
    </row>
    <row r="8" spans="1:19" x14ac:dyDescent="0.25">
      <c r="A8" s="156" t="s">
        <v>488</v>
      </c>
      <c r="B8" s="202">
        <v>1856.9226027396469</v>
      </c>
      <c r="C8" s="202">
        <v>1856.9226027396469</v>
      </c>
      <c r="D8" s="202"/>
      <c r="E8" s="202">
        <v>1032.0372671232731</v>
      </c>
      <c r="F8" s="202">
        <v>13.149017753424658</v>
      </c>
      <c r="G8" s="202">
        <v>1256.2463506848956</v>
      </c>
      <c r="H8" s="202"/>
      <c r="I8" s="202"/>
      <c r="J8" s="202">
        <v>87.587786301370372</v>
      </c>
      <c r="K8" s="202">
        <v>6860.8279342463957</v>
      </c>
      <c r="L8" s="202">
        <v>6860.8279342463957</v>
      </c>
      <c r="M8" s="202">
        <v>608.5894520547813</v>
      </c>
      <c r="N8" s="202">
        <v>608.5894520547813</v>
      </c>
      <c r="O8" s="202"/>
      <c r="P8" s="202"/>
      <c r="Q8" s="202"/>
      <c r="R8" s="202">
        <v>9858.4378081641407</v>
      </c>
      <c r="S8" s="203">
        <v>5.3090192308604047</v>
      </c>
    </row>
    <row r="9" spans="1:19" x14ac:dyDescent="0.25">
      <c r="A9" s="155" t="s">
        <v>487</v>
      </c>
      <c r="B9" s="204">
        <v>1856.9226027396626</v>
      </c>
      <c r="C9" s="204">
        <v>1856.9226027396626</v>
      </c>
      <c r="D9" s="204"/>
      <c r="E9" s="204">
        <v>1032.0372671232731</v>
      </c>
      <c r="F9" s="204">
        <v>13.149017753424658</v>
      </c>
      <c r="G9" s="204">
        <v>1256.2463506848956</v>
      </c>
      <c r="H9" s="204"/>
      <c r="I9" s="204"/>
      <c r="J9" s="204">
        <v>87.587786301370059</v>
      </c>
      <c r="K9" s="204">
        <v>6860.8279342464139</v>
      </c>
      <c r="L9" s="204">
        <v>6860.8279342464139</v>
      </c>
      <c r="M9" s="204">
        <v>608.58945205478142</v>
      </c>
      <c r="N9" s="204">
        <v>608.58945205478142</v>
      </c>
      <c r="O9" s="204"/>
      <c r="P9" s="204"/>
      <c r="Q9" s="204"/>
      <c r="R9" s="204">
        <v>9858.4378081641589</v>
      </c>
      <c r="S9" s="205">
        <v>5.3090192308603692</v>
      </c>
    </row>
    <row r="10" spans="1:19" x14ac:dyDescent="0.25">
      <c r="A10" s="156" t="s">
        <v>17</v>
      </c>
      <c r="B10" s="202">
        <v>1213.9323287671132</v>
      </c>
      <c r="C10" s="202">
        <v>1213.9323287671132</v>
      </c>
      <c r="D10" s="202"/>
      <c r="E10" s="202">
        <v>687.20394520549121</v>
      </c>
      <c r="F10" s="202"/>
      <c r="G10" s="202">
        <v>777.96201095891013</v>
      </c>
      <c r="H10" s="202"/>
      <c r="I10" s="202"/>
      <c r="J10" s="202">
        <v>57.693320547944765</v>
      </c>
      <c r="K10" s="202">
        <v>4683.9734767122891</v>
      </c>
      <c r="L10" s="202">
        <v>4683.9734767122891</v>
      </c>
      <c r="M10" s="202">
        <v>377.29957808219098</v>
      </c>
      <c r="N10" s="202">
        <v>377.29957808219098</v>
      </c>
      <c r="O10" s="202"/>
      <c r="P10" s="202"/>
      <c r="Q10" s="202"/>
      <c r="R10" s="202">
        <v>6584.1323315068257</v>
      </c>
      <c r="S10" s="203">
        <v>5.4238050799699549</v>
      </c>
    </row>
    <row r="11" spans="1:19" x14ac:dyDescent="0.25">
      <c r="A11" s="155" t="s">
        <v>319</v>
      </c>
      <c r="B11" s="204">
        <v>1213.9323287671152</v>
      </c>
      <c r="C11" s="204">
        <v>1213.9323287671152</v>
      </c>
      <c r="D11" s="204"/>
      <c r="E11" s="204">
        <v>687.20394520549121</v>
      </c>
      <c r="F11" s="204"/>
      <c r="G11" s="204">
        <v>777.96201095891013</v>
      </c>
      <c r="H11" s="204"/>
      <c r="I11" s="204"/>
      <c r="J11" s="204">
        <v>57.693320547944758</v>
      </c>
      <c r="K11" s="204">
        <v>4683.9734767122973</v>
      </c>
      <c r="L11" s="204">
        <v>4683.9734767122973</v>
      </c>
      <c r="M11" s="204">
        <v>377.29957808219103</v>
      </c>
      <c r="N11" s="204">
        <v>377.29957808219103</v>
      </c>
      <c r="O11" s="204"/>
      <c r="P11" s="204"/>
      <c r="Q11" s="204"/>
      <c r="R11" s="204">
        <v>6584.1323315068339</v>
      </c>
      <c r="S11" s="205">
        <v>5.4238050799699522</v>
      </c>
    </row>
    <row r="12" spans="1:19" x14ac:dyDescent="0.25">
      <c r="A12" s="156" t="s">
        <v>18</v>
      </c>
      <c r="B12" s="202">
        <v>158.2054794520549</v>
      </c>
      <c r="C12" s="202">
        <v>158.2054794520549</v>
      </c>
      <c r="D12" s="202"/>
      <c r="E12" s="202"/>
      <c r="F12" s="202">
        <v>114.76225479452035</v>
      </c>
      <c r="G12" s="202"/>
      <c r="H12" s="202"/>
      <c r="I12" s="202"/>
      <c r="J12" s="202">
        <v>4.9808219178082189E-2</v>
      </c>
      <c r="K12" s="202"/>
      <c r="L12" s="202"/>
      <c r="M12" s="202"/>
      <c r="N12" s="202"/>
      <c r="O12" s="202"/>
      <c r="P12" s="202"/>
      <c r="Q12" s="202"/>
      <c r="R12" s="202">
        <v>114.81206301369842</v>
      </c>
      <c r="S12" s="203">
        <v>0.72571483245302437</v>
      </c>
    </row>
    <row r="13" spans="1:19" x14ac:dyDescent="0.25">
      <c r="A13" s="155" t="s">
        <v>317</v>
      </c>
      <c r="B13" s="204">
        <v>158.20547945204976</v>
      </c>
      <c r="C13" s="204">
        <v>158.20547945204976</v>
      </c>
      <c r="D13" s="204"/>
      <c r="E13" s="204"/>
      <c r="F13" s="204">
        <v>114.76225479452027</v>
      </c>
      <c r="G13" s="204"/>
      <c r="H13" s="204"/>
      <c r="I13" s="204"/>
      <c r="J13" s="204">
        <v>4.9808219178082189E-2</v>
      </c>
      <c r="K13" s="204"/>
      <c r="L13" s="204"/>
      <c r="M13" s="204"/>
      <c r="N13" s="204"/>
      <c r="O13" s="204"/>
      <c r="P13" s="204"/>
      <c r="Q13" s="204"/>
      <c r="R13" s="204">
        <v>114.81206301369835</v>
      </c>
      <c r="S13" s="205">
        <v>0.72571483245304758</v>
      </c>
    </row>
    <row r="14" spans="1:19" x14ac:dyDescent="0.25">
      <c r="A14" s="156" t="s">
        <v>19</v>
      </c>
      <c r="B14" s="202">
        <v>1807.0698630136078</v>
      </c>
      <c r="C14" s="202">
        <v>1807.0698630136078</v>
      </c>
      <c r="D14" s="202"/>
      <c r="E14" s="202">
        <v>1546.9166958903868</v>
      </c>
      <c r="F14" s="202">
        <v>231.51399871232812</v>
      </c>
      <c r="G14" s="202">
        <v>27.6567123287671</v>
      </c>
      <c r="H14" s="202">
        <v>27.593424657534278</v>
      </c>
      <c r="I14" s="202"/>
      <c r="J14" s="202">
        <v>33.751068493150811</v>
      </c>
      <c r="K14" s="202">
        <v>82.152931506848716</v>
      </c>
      <c r="L14" s="202">
        <v>82.152931506848716</v>
      </c>
      <c r="M14" s="202">
        <v>57.037315068492802</v>
      </c>
      <c r="N14" s="202">
        <v>57.037315068492802</v>
      </c>
      <c r="O14" s="202"/>
      <c r="P14" s="202"/>
      <c r="Q14" s="202"/>
      <c r="R14" s="202">
        <v>2006.6221466575087</v>
      </c>
      <c r="S14" s="203">
        <v>1.1104286490125579</v>
      </c>
    </row>
    <row r="15" spans="1:19" x14ac:dyDescent="0.25">
      <c r="A15" s="155" t="s">
        <v>316</v>
      </c>
      <c r="B15" s="204">
        <v>1807.0698630135514</v>
      </c>
      <c r="C15" s="204">
        <v>1807.0698630135514</v>
      </c>
      <c r="D15" s="204"/>
      <c r="E15" s="204">
        <v>1546.9166958902849</v>
      </c>
      <c r="F15" s="204">
        <v>231.51399871232647</v>
      </c>
      <c r="G15" s="204">
        <v>27.656712328767085</v>
      </c>
      <c r="H15" s="204">
        <v>27.593424657534278</v>
      </c>
      <c r="I15" s="204"/>
      <c r="J15" s="204">
        <v>33.751068493150541</v>
      </c>
      <c r="K15" s="204">
        <v>82.152931506847438</v>
      </c>
      <c r="L15" s="204">
        <v>82.152931506847438</v>
      </c>
      <c r="M15" s="204">
        <v>57.037315068492802</v>
      </c>
      <c r="N15" s="204">
        <v>57.037315068492802</v>
      </c>
      <c r="O15" s="204"/>
      <c r="P15" s="204"/>
      <c r="Q15" s="204"/>
      <c r="R15" s="204">
        <v>2006.6221466574034</v>
      </c>
      <c r="S15" s="205">
        <v>1.1104286490125344</v>
      </c>
    </row>
    <row r="16" spans="1:19" x14ac:dyDescent="0.25">
      <c r="A16" s="156" t="s">
        <v>148</v>
      </c>
      <c r="B16" s="202">
        <v>3123.0764383562655</v>
      </c>
      <c r="C16" s="202">
        <v>3116.5597260274985</v>
      </c>
      <c r="D16" s="202">
        <v>6.5167123287671265</v>
      </c>
      <c r="E16" s="202">
        <v>2066.3589452054784</v>
      </c>
      <c r="F16" s="202">
        <v>663.42785753425812</v>
      </c>
      <c r="G16" s="202">
        <v>48.811671232876726</v>
      </c>
      <c r="H16" s="202">
        <v>79.218443835616782</v>
      </c>
      <c r="I16" s="202">
        <v>6.1908767123287678</v>
      </c>
      <c r="J16" s="202">
        <v>57.460997260273651</v>
      </c>
      <c r="K16" s="202">
        <v>166.17150684931346</v>
      </c>
      <c r="L16" s="202">
        <v>166.17150684931346</v>
      </c>
      <c r="M16" s="202">
        <v>12.238027397260279</v>
      </c>
      <c r="N16" s="202">
        <v>12.238027397260279</v>
      </c>
      <c r="O16" s="202">
        <v>-0.53220821917808248</v>
      </c>
      <c r="P16" s="202">
        <v>5.047559802739741</v>
      </c>
      <c r="Q16" s="202"/>
      <c r="R16" s="202">
        <v>3104.3936776109676</v>
      </c>
      <c r="S16" s="203">
        <v>0.99401783430086943</v>
      </c>
    </row>
    <row r="17" spans="1:19" x14ac:dyDescent="0.25">
      <c r="A17" s="155" t="s">
        <v>175</v>
      </c>
      <c r="B17" s="204">
        <v>3123.076438356004</v>
      </c>
      <c r="C17" s="204">
        <v>3116.559726027237</v>
      </c>
      <c r="D17" s="204">
        <v>6.5167123287671318</v>
      </c>
      <c r="E17" s="204">
        <v>2066.3589452054407</v>
      </c>
      <c r="F17" s="204">
        <v>663.42785753426926</v>
      </c>
      <c r="G17" s="204">
        <v>48.811671232876641</v>
      </c>
      <c r="H17" s="204">
        <v>79.218443835616782</v>
      </c>
      <c r="I17" s="204">
        <v>6.190876712328766</v>
      </c>
      <c r="J17" s="204">
        <v>57.460997260272812</v>
      </c>
      <c r="K17" s="204">
        <v>166.1715068493132</v>
      </c>
      <c r="L17" s="204">
        <v>166.1715068493132</v>
      </c>
      <c r="M17" s="204">
        <v>12.238027397260279</v>
      </c>
      <c r="N17" s="204">
        <v>12.238027397260279</v>
      </c>
      <c r="O17" s="204">
        <v>-0.53220821917808248</v>
      </c>
      <c r="P17" s="204">
        <v>5.0475598027397313</v>
      </c>
      <c r="Q17" s="204"/>
      <c r="R17" s="204">
        <v>3104.3936776109394</v>
      </c>
      <c r="S17" s="205">
        <v>0.99401783430094359</v>
      </c>
    </row>
    <row r="18" spans="1:19" x14ac:dyDescent="0.25">
      <c r="A18" s="156" t="s">
        <v>20</v>
      </c>
      <c r="B18" s="202">
        <v>3.7369863013698619</v>
      </c>
      <c r="C18" s="202">
        <v>3.7369863013698619</v>
      </c>
      <c r="D18" s="202"/>
      <c r="E18" s="202"/>
      <c r="F18" s="202">
        <v>2.7108098630136981</v>
      </c>
      <c r="G18" s="202"/>
      <c r="H18" s="202"/>
      <c r="I18" s="202"/>
      <c r="J18" s="202"/>
      <c r="K18" s="202"/>
      <c r="L18" s="202"/>
      <c r="M18" s="202"/>
      <c r="N18" s="202"/>
      <c r="O18" s="202"/>
      <c r="P18" s="202">
        <v>0.24397288767123251</v>
      </c>
      <c r="Q18" s="202"/>
      <c r="R18" s="202">
        <v>2.9547827506849305</v>
      </c>
      <c r="S18" s="203">
        <v>0.790686</v>
      </c>
    </row>
    <row r="19" spans="1:19" x14ac:dyDescent="0.25">
      <c r="A19" s="155" t="s">
        <v>315</v>
      </c>
      <c r="B19" s="204">
        <v>3.7369863013698605</v>
      </c>
      <c r="C19" s="204">
        <v>3.7369863013698605</v>
      </c>
      <c r="D19" s="204"/>
      <c r="E19" s="204"/>
      <c r="F19" s="204">
        <v>2.7108098630136994</v>
      </c>
      <c r="G19" s="204"/>
      <c r="H19" s="204"/>
      <c r="I19" s="204"/>
      <c r="J19" s="204"/>
      <c r="K19" s="204"/>
      <c r="L19" s="204"/>
      <c r="M19" s="204"/>
      <c r="N19" s="204"/>
      <c r="O19" s="204"/>
      <c r="P19" s="204">
        <v>0.24397288767123246</v>
      </c>
      <c r="Q19" s="204"/>
      <c r="R19" s="204">
        <v>2.9547827506849318</v>
      </c>
      <c r="S19" s="205">
        <v>0.79068600000000056</v>
      </c>
    </row>
    <row r="20" spans="1:19" x14ac:dyDescent="0.25">
      <c r="A20" s="156" t="s">
        <v>21</v>
      </c>
      <c r="B20" s="202">
        <v>7417.1843013684202</v>
      </c>
      <c r="C20" s="202">
        <v>7324.7834520533524</v>
      </c>
      <c r="D20" s="202">
        <v>92.400849315068157</v>
      </c>
      <c r="E20" s="202">
        <v>5837.3609553429123</v>
      </c>
      <c r="F20" s="202">
        <v>746.408406986312</v>
      </c>
      <c r="G20" s="202">
        <v>314.138904109588</v>
      </c>
      <c r="H20" s="202">
        <v>118.05893150685017</v>
      </c>
      <c r="I20" s="202">
        <v>87.78080684931524</v>
      </c>
      <c r="J20" s="202">
        <v>175.49432876712569</v>
      </c>
      <c r="K20" s="202">
        <v>445.69912328767498</v>
      </c>
      <c r="L20" s="202">
        <v>445.69912328767498</v>
      </c>
      <c r="M20" s="202"/>
      <c r="N20" s="202"/>
      <c r="O20" s="202">
        <v>-201.25704101698705</v>
      </c>
      <c r="P20" s="202">
        <v>21.813172989041117</v>
      </c>
      <c r="Q20" s="202"/>
      <c r="R20" s="202">
        <v>7545.4975888218323</v>
      </c>
      <c r="S20" s="203">
        <v>1.0172994605823316</v>
      </c>
    </row>
    <row r="21" spans="1:19" x14ac:dyDescent="0.25">
      <c r="A21" s="155" t="s">
        <v>314</v>
      </c>
      <c r="B21" s="204">
        <v>7417.1843013691587</v>
      </c>
      <c r="C21" s="204">
        <v>7324.78345205409</v>
      </c>
      <c r="D21" s="204">
        <v>92.400849315068299</v>
      </c>
      <c r="E21" s="204">
        <v>5837.3609553429951</v>
      </c>
      <c r="F21" s="204">
        <v>746.40840698631268</v>
      </c>
      <c r="G21" s="204">
        <v>314.13890410958942</v>
      </c>
      <c r="H21" s="204">
        <v>118.05893150685017</v>
      </c>
      <c r="I21" s="204">
        <v>87.780806849316065</v>
      </c>
      <c r="J21" s="204">
        <v>175.49432876712183</v>
      </c>
      <c r="K21" s="204">
        <v>445.69912328768919</v>
      </c>
      <c r="L21" s="204">
        <v>445.69912328768919</v>
      </c>
      <c r="M21" s="204"/>
      <c r="N21" s="204"/>
      <c r="O21" s="204">
        <v>-201.25704101698705</v>
      </c>
      <c r="P21" s="204">
        <v>21.813172989040787</v>
      </c>
      <c r="Q21" s="204"/>
      <c r="R21" s="204">
        <v>7545.4975888219278</v>
      </c>
      <c r="S21" s="205">
        <v>1.0172994605822432</v>
      </c>
    </row>
    <row r="22" spans="1:19" x14ac:dyDescent="0.25">
      <c r="A22" s="156" t="s">
        <v>22</v>
      </c>
      <c r="B22" s="202">
        <v>3155.161369863034</v>
      </c>
      <c r="C22" s="202">
        <v>3153.9586301370068</v>
      </c>
      <c r="D22" s="202">
        <v>1.2027397260273971</v>
      </c>
      <c r="E22" s="202">
        <v>2509.5642465753126</v>
      </c>
      <c r="F22" s="202">
        <v>477.51255123287558</v>
      </c>
      <c r="G22" s="202">
        <v>137.44774246575381</v>
      </c>
      <c r="H22" s="202">
        <v>15.643868493150684</v>
      </c>
      <c r="I22" s="202">
        <v>1.1426027397260261</v>
      </c>
      <c r="J22" s="202">
        <v>89.698668493150436</v>
      </c>
      <c r="K22" s="202">
        <v>265.90887671232611</v>
      </c>
      <c r="L22" s="202">
        <v>265.90887671232611</v>
      </c>
      <c r="M22" s="202">
        <v>10.628383561643838</v>
      </c>
      <c r="N22" s="202">
        <v>10.628383561643838</v>
      </c>
      <c r="O22" s="202">
        <v>-0.17170328767123288</v>
      </c>
      <c r="P22" s="202">
        <v>1.0345417643835528</v>
      </c>
      <c r="Q22" s="202"/>
      <c r="R22" s="202">
        <v>3508.4097787506512</v>
      </c>
      <c r="S22" s="203">
        <v>1.111958903991954</v>
      </c>
    </row>
    <row r="23" spans="1:19" x14ac:dyDescent="0.25">
      <c r="A23" s="155" t="s">
        <v>313</v>
      </c>
      <c r="B23" s="204">
        <v>3155.1613698628862</v>
      </c>
      <c r="C23" s="204">
        <v>3153.958630136859</v>
      </c>
      <c r="D23" s="204">
        <v>1.2027397260274029</v>
      </c>
      <c r="E23" s="204">
        <v>2509.564246575269</v>
      </c>
      <c r="F23" s="204">
        <v>477.51255123287621</v>
      </c>
      <c r="G23" s="204">
        <v>137.44774246575369</v>
      </c>
      <c r="H23" s="204">
        <v>15.643868493150684</v>
      </c>
      <c r="I23" s="204">
        <v>1.142602739726025</v>
      </c>
      <c r="J23" s="204">
        <v>89.698668493150024</v>
      </c>
      <c r="K23" s="204">
        <v>265.9088767123277</v>
      </c>
      <c r="L23" s="204">
        <v>265.9088767123277</v>
      </c>
      <c r="M23" s="204">
        <v>10.628383561643838</v>
      </c>
      <c r="N23" s="204">
        <v>10.628383561643838</v>
      </c>
      <c r="O23" s="204">
        <v>-0.17170328767123288</v>
      </c>
      <c r="P23" s="204">
        <v>1.0345417643835504</v>
      </c>
      <c r="Q23" s="204"/>
      <c r="R23" s="204">
        <v>3508.4097787506093</v>
      </c>
      <c r="S23" s="205">
        <v>1.1119589039919928</v>
      </c>
    </row>
    <row r="24" spans="1:19" x14ac:dyDescent="0.25">
      <c r="A24" s="156" t="s">
        <v>23</v>
      </c>
      <c r="B24" s="202">
        <v>2761.9205205478643</v>
      </c>
      <c r="C24" s="202">
        <v>2661.0794246574533</v>
      </c>
      <c r="D24" s="202">
        <v>100.8410958904111</v>
      </c>
      <c r="E24" s="202">
        <v>2336.5286095890156</v>
      </c>
      <c r="F24" s="202">
        <v>362.12115092876797</v>
      </c>
      <c r="G24" s="202">
        <v>94.88087671232887</v>
      </c>
      <c r="H24" s="202">
        <v>35.869342465753348</v>
      </c>
      <c r="I24" s="202">
        <v>95.799041095890402</v>
      </c>
      <c r="J24" s="202">
        <v>75.183435616438302</v>
      </c>
      <c r="K24" s="202">
        <v>232.65112328766818</v>
      </c>
      <c r="L24" s="202">
        <v>232.65112328766818</v>
      </c>
      <c r="M24" s="202">
        <v>51.722235616438304</v>
      </c>
      <c r="N24" s="202">
        <v>51.722235616438304</v>
      </c>
      <c r="O24" s="202">
        <v>-5.4641095890410997E-3</v>
      </c>
      <c r="P24" s="202">
        <v>0.25476618082191693</v>
      </c>
      <c r="Q24" s="202"/>
      <c r="R24" s="202">
        <v>3285.0051173835345</v>
      </c>
      <c r="S24" s="203">
        <v>1.1893916182395825</v>
      </c>
    </row>
    <row r="25" spans="1:19" x14ac:dyDescent="0.25">
      <c r="A25" s="155" t="s">
        <v>311</v>
      </c>
      <c r="B25" s="204">
        <v>2761.9205205476587</v>
      </c>
      <c r="C25" s="204">
        <v>2661.0794246572477</v>
      </c>
      <c r="D25" s="204">
        <v>100.84109589041118</v>
      </c>
      <c r="E25" s="204">
        <v>2336.5286095889851</v>
      </c>
      <c r="F25" s="204">
        <v>362.12115092876866</v>
      </c>
      <c r="G25" s="204">
        <v>94.880876712328984</v>
      </c>
      <c r="H25" s="204">
        <v>35.869342465753348</v>
      </c>
      <c r="I25" s="204">
        <v>95.799041095890814</v>
      </c>
      <c r="J25" s="204">
        <v>75.183435616437947</v>
      </c>
      <c r="K25" s="204">
        <v>232.65112328767088</v>
      </c>
      <c r="L25" s="204">
        <v>232.65112328767088</v>
      </c>
      <c r="M25" s="204">
        <v>51.722235616438304</v>
      </c>
      <c r="N25" s="204">
        <v>51.722235616438304</v>
      </c>
      <c r="O25" s="204">
        <v>-5.4641095890410997E-3</v>
      </c>
      <c r="P25" s="204">
        <v>0.25476618082191682</v>
      </c>
      <c r="Q25" s="204"/>
      <c r="R25" s="204">
        <v>3285.0051173835081</v>
      </c>
      <c r="S25" s="205">
        <v>1.1893916182396616</v>
      </c>
    </row>
    <row r="26" spans="1:19" x14ac:dyDescent="0.25">
      <c r="A26" s="156" t="s">
        <v>24</v>
      </c>
      <c r="B26" s="202">
        <v>9.6958904109589046</v>
      </c>
      <c r="C26" s="202">
        <v>9.6958904109589046</v>
      </c>
      <c r="D26" s="202"/>
      <c r="E26" s="202"/>
      <c r="F26" s="202">
        <v>6.9330353424657538</v>
      </c>
      <c r="G26" s="202"/>
      <c r="H26" s="202">
        <v>0.21306849315068493</v>
      </c>
      <c r="I26" s="202"/>
      <c r="J26" s="202">
        <v>5.1616438356164383E-2</v>
      </c>
      <c r="K26" s="202"/>
      <c r="L26" s="202"/>
      <c r="M26" s="202"/>
      <c r="N26" s="202"/>
      <c r="O26" s="202"/>
      <c r="P26" s="202"/>
      <c r="Q26" s="202"/>
      <c r="R26" s="202">
        <v>7.1977202739726032</v>
      </c>
      <c r="S26" s="203">
        <v>0.74234752755015543</v>
      </c>
    </row>
    <row r="27" spans="1:19" x14ac:dyDescent="0.25">
      <c r="A27" s="155" t="s">
        <v>310</v>
      </c>
      <c r="B27" s="204">
        <v>9.6958904109589277</v>
      </c>
      <c r="C27" s="204">
        <v>9.6958904109589277</v>
      </c>
      <c r="D27" s="204"/>
      <c r="E27" s="204"/>
      <c r="F27" s="204">
        <v>6.9330353424657405</v>
      </c>
      <c r="G27" s="204"/>
      <c r="H27" s="204">
        <v>0.21306849315068493</v>
      </c>
      <c r="I27" s="204"/>
      <c r="J27" s="204">
        <v>5.1616438356164383E-2</v>
      </c>
      <c r="K27" s="204"/>
      <c r="L27" s="204"/>
      <c r="M27" s="204"/>
      <c r="N27" s="204"/>
      <c r="O27" s="204"/>
      <c r="P27" s="204"/>
      <c r="Q27" s="204"/>
      <c r="R27" s="204">
        <v>7.1977202739725898</v>
      </c>
      <c r="S27" s="205">
        <v>0.74234752755015232</v>
      </c>
    </row>
    <row r="28" spans="1:19" x14ac:dyDescent="0.25">
      <c r="A28" s="156" t="s">
        <v>470</v>
      </c>
      <c r="B28" s="202">
        <v>22.536712328767063</v>
      </c>
      <c r="C28" s="202"/>
      <c r="D28" s="202">
        <v>22.536712328767063</v>
      </c>
      <c r="E28" s="202"/>
      <c r="F28" s="202"/>
      <c r="G28" s="202"/>
      <c r="H28" s="202"/>
      <c r="I28" s="202">
        <v>21.409876712328806</v>
      </c>
      <c r="J28" s="202"/>
      <c r="K28" s="202"/>
      <c r="L28" s="202"/>
      <c r="M28" s="202"/>
      <c r="N28" s="202"/>
      <c r="O28" s="202"/>
      <c r="P28" s="202"/>
      <c r="Q28" s="202"/>
      <c r="R28" s="202">
        <v>21.409876712328806</v>
      </c>
      <c r="S28" s="203">
        <v>0.95000000000000429</v>
      </c>
    </row>
    <row r="29" spans="1:19" x14ac:dyDescent="0.25">
      <c r="A29" s="155" t="s">
        <v>318</v>
      </c>
      <c r="B29" s="204">
        <v>22.536712328767091</v>
      </c>
      <c r="C29" s="204"/>
      <c r="D29" s="204">
        <v>22.536712328767091</v>
      </c>
      <c r="E29" s="204"/>
      <c r="F29" s="204"/>
      <c r="G29" s="204"/>
      <c r="H29" s="204"/>
      <c r="I29" s="204">
        <v>21.409876712328739</v>
      </c>
      <c r="J29" s="204"/>
      <c r="K29" s="204"/>
      <c r="L29" s="204"/>
      <c r="M29" s="204"/>
      <c r="N29" s="204"/>
      <c r="O29" s="204"/>
      <c r="P29" s="204"/>
      <c r="Q29" s="204"/>
      <c r="R29" s="204">
        <v>21.409876712328739</v>
      </c>
      <c r="S29" s="205">
        <v>0.95000000000000007</v>
      </c>
    </row>
    <row r="30" spans="1:19" x14ac:dyDescent="0.25">
      <c r="A30" s="156" t="s">
        <v>25</v>
      </c>
      <c r="B30" s="202">
        <v>104.45205479452041</v>
      </c>
      <c r="C30" s="202">
        <v>104.45205479452041</v>
      </c>
      <c r="D30" s="202"/>
      <c r="E30" s="202">
        <v>108.83599999999953</v>
      </c>
      <c r="F30" s="202">
        <v>21.694428493150696</v>
      </c>
      <c r="G30" s="202"/>
      <c r="H30" s="202"/>
      <c r="I30" s="202"/>
      <c r="J30" s="202">
        <v>4.1702465753424649</v>
      </c>
      <c r="K30" s="202"/>
      <c r="L30" s="202"/>
      <c r="M30" s="202">
        <v>42.398520547945324</v>
      </c>
      <c r="N30" s="202">
        <v>42.398520547945324</v>
      </c>
      <c r="O30" s="202"/>
      <c r="P30" s="202"/>
      <c r="Q30" s="202"/>
      <c r="R30" s="202">
        <v>177.09919561643804</v>
      </c>
      <c r="S30" s="203">
        <v>1.6955070531147534</v>
      </c>
    </row>
    <row r="31" spans="1:19" x14ac:dyDescent="0.25">
      <c r="A31" s="155" t="s">
        <v>309</v>
      </c>
      <c r="B31" s="204">
        <v>104.45205479452045</v>
      </c>
      <c r="C31" s="204">
        <v>104.45205479452045</v>
      </c>
      <c r="D31" s="204"/>
      <c r="E31" s="204">
        <v>108.83599999999953</v>
      </c>
      <c r="F31" s="204">
        <v>21.694428493150749</v>
      </c>
      <c r="G31" s="204"/>
      <c r="H31" s="204"/>
      <c r="I31" s="204"/>
      <c r="J31" s="204">
        <v>4.1702465753424729</v>
      </c>
      <c r="K31" s="204"/>
      <c r="L31" s="204"/>
      <c r="M31" s="204">
        <v>42.398520547945324</v>
      </c>
      <c r="N31" s="204">
        <v>42.398520547945324</v>
      </c>
      <c r="O31" s="204"/>
      <c r="P31" s="204"/>
      <c r="Q31" s="204"/>
      <c r="R31" s="204">
        <v>177.0991956164381</v>
      </c>
      <c r="S31" s="205">
        <v>1.6955070531147531</v>
      </c>
    </row>
    <row r="32" spans="1:19" x14ac:dyDescent="0.25">
      <c r="A32" s="156" t="s">
        <v>383</v>
      </c>
      <c r="B32" s="202">
        <v>24.901369863013709</v>
      </c>
      <c r="C32" s="202">
        <v>24.901369863013709</v>
      </c>
      <c r="D32" s="202"/>
      <c r="E32" s="202">
        <v>24.154328767123349</v>
      </c>
      <c r="F32" s="202"/>
      <c r="G32" s="202"/>
      <c r="H32" s="202"/>
      <c r="I32" s="202"/>
      <c r="J32" s="202">
        <v>1.4399999999999997</v>
      </c>
      <c r="K32" s="202"/>
      <c r="L32" s="202"/>
      <c r="M32" s="202">
        <v>19.110767123287641</v>
      </c>
      <c r="N32" s="202">
        <v>17.772369169999987</v>
      </c>
      <c r="O32" s="202"/>
      <c r="P32" s="202"/>
      <c r="Q32" s="202"/>
      <c r="R32" s="202">
        <v>43.366697937123334</v>
      </c>
      <c r="S32" s="203">
        <v>1.7415386452910122</v>
      </c>
    </row>
    <row r="33" spans="1:19" x14ac:dyDescent="0.25">
      <c r="A33" s="155" t="s">
        <v>308</v>
      </c>
      <c r="B33" s="204">
        <v>24.901369863013727</v>
      </c>
      <c r="C33" s="204">
        <v>24.901369863013727</v>
      </c>
      <c r="D33" s="204"/>
      <c r="E33" s="204">
        <v>24.154328767123349</v>
      </c>
      <c r="F33" s="204"/>
      <c r="G33" s="204"/>
      <c r="H33" s="204"/>
      <c r="I33" s="204"/>
      <c r="J33" s="204">
        <v>1.4399999999999966</v>
      </c>
      <c r="K33" s="204"/>
      <c r="L33" s="204"/>
      <c r="M33" s="204">
        <v>19.110767123287641</v>
      </c>
      <c r="N33" s="204">
        <v>17.772369169999987</v>
      </c>
      <c r="O33" s="204"/>
      <c r="P33" s="204"/>
      <c r="Q33" s="204"/>
      <c r="R33" s="204">
        <v>43.366697937123334</v>
      </c>
      <c r="S33" s="205">
        <v>1.7415386452910109</v>
      </c>
    </row>
    <row r="34" spans="1:19" x14ac:dyDescent="0.25">
      <c r="A34" s="156" t="s">
        <v>128</v>
      </c>
      <c r="B34" s="202">
        <v>43.786575342465746</v>
      </c>
      <c r="C34" s="202">
        <v>43.786575342465746</v>
      </c>
      <c r="D34" s="202"/>
      <c r="E34" s="202"/>
      <c r="F34" s="202">
        <v>31.762781753424669</v>
      </c>
      <c r="G34" s="202"/>
      <c r="H34" s="202"/>
      <c r="I34" s="202"/>
      <c r="J34" s="202">
        <v>3.1610958904109587E-2</v>
      </c>
      <c r="K34" s="202">
        <v>0.21095890410958903</v>
      </c>
      <c r="L34" s="202">
        <v>0.21095890410958903</v>
      </c>
      <c r="M34" s="202"/>
      <c r="N34" s="202"/>
      <c r="O34" s="202"/>
      <c r="P34" s="202"/>
      <c r="Q34" s="202"/>
      <c r="R34" s="202">
        <v>32.005351616438368</v>
      </c>
      <c r="S34" s="203">
        <v>0.73093982267661983</v>
      </c>
    </row>
    <row r="35" spans="1:19" x14ac:dyDescent="0.25">
      <c r="A35" s="155" t="s">
        <v>307</v>
      </c>
      <c r="B35" s="204">
        <v>43.786575342465802</v>
      </c>
      <c r="C35" s="204">
        <v>43.786575342465802</v>
      </c>
      <c r="D35" s="204"/>
      <c r="E35" s="204"/>
      <c r="F35" s="204">
        <v>31.762781753424811</v>
      </c>
      <c r="G35" s="204"/>
      <c r="H35" s="204"/>
      <c r="I35" s="204"/>
      <c r="J35" s="204">
        <v>3.1610958904109587E-2</v>
      </c>
      <c r="K35" s="204">
        <v>0.21095890410958903</v>
      </c>
      <c r="L35" s="204">
        <v>0.21095890410958903</v>
      </c>
      <c r="M35" s="204"/>
      <c r="N35" s="204"/>
      <c r="O35" s="204"/>
      <c r="P35" s="204"/>
      <c r="Q35" s="204"/>
      <c r="R35" s="204">
        <v>32.00535161643851</v>
      </c>
      <c r="S35" s="205">
        <v>0.73093982267662216</v>
      </c>
    </row>
    <row r="36" spans="1:19" x14ac:dyDescent="0.25">
      <c r="A36" s="156" t="s">
        <v>26</v>
      </c>
      <c r="B36" s="202">
        <v>152.05835616438304</v>
      </c>
      <c r="C36" s="202">
        <v>152.05835616438304</v>
      </c>
      <c r="D36" s="202"/>
      <c r="E36" s="202">
        <v>121.56908219178088</v>
      </c>
      <c r="F36" s="202">
        <v>16.358226082191784</v>
      </c>
      <c r="G36" s="202"/>
      <c r="H36" s="202"/>
      <c r="I36" s="202"/>
      <c r="J36" s="202">
        <v>1.9264109589041092</v>
      </c>
      <c r="K36" s="202">
        <v>5.0452054794520578</v>
      </c>
      <c r="L36" s="202">
        <v>5.0452054794520578</v>
      </c>
      <c r="M36" s="202">
        <v>6.2591506849315079</v>
      </c>
      <c r="N36" s="202">
        <v>6.2591506849315079</v>
      </c>
      <c r="O36" s="202"/>
      <c r="P36" s="202"/>
      <c r="Q36" s="202"/>
      <c r="R36" s="202">
        <v>151.15807539726035</v>
      </c>
      <c r="S36" s="203">
        <v>0.9940793732759452</v>
      </c>
    </row>
    <row r="37" spans="1:19" x14ac:dyDescent="0.25">
      <c r="A37" s="155" t="s">
        <v>306</v>
      </c>
      <c r="B37" s="204">
        <v>152.05835616438296</v>
      </c>
      <c r="C37" s="204">
        <v>152.05835616438296</v>
      </c>
      <c r="D37" s="204"/>
      <c r="E37" s="204">
        <v>121.56908219178074</v>
      </c>
      <c r="F37" s="204">
        <v>16.358226082191759</v>
      </c>
      <c r="G37" s="204"/>
      <c r="H37" s="204"/>
      <c r="I37" s="204"/>
      <c r="J37" s="204">
        <v>1.9264109589041076</v>
      </c>
      <c r="K37" s="204">
        <v>5.0452054794520631</v>
      </c>
      <c r="L37" s="204">
        <v>5.0452054794520631</v>
      </c>
      <c r="M37" s="204">
        <v>6.2591506849315079</v>
      </c>
      <c r="N37" s="204">
        <v>6.2591506849315079</v>
      </c>
      <c r="O37" s="204"/>
      <c r="P37" s="204"/>
      <c r="Q37" s="204"/>
      <c r="R37" s="204">
        <v>151.15807539726018</v>
      </c>
      <c r="S37" s="205">
        <v>0.99407937327594464</v>
      </c>
    </row>
    <row r="38" spans="1:19" x14ac:dyDescent="0.25">
      <c r="A38" s="156" t="s">
        <v>27</v>
      </c>
      <c r="B38" s="202">
        <v>193.83671232876694</v>
      </c>
      <c r="C38" s="202">
        <v>193.83671232876694</v>
      </c>
      <c r="D38" s="202"/>
      <c r="E38" s="202">
        <v>255.88454246575327</v>
      </c>
      <c r="F38" s="202">
        <v>9.9185060547945199</v>
      </c>
      <c r="G38" s="202"/>
      <c r="H38" s="202"/>
      <c r="I38" s="202"/>
      <c r="J38" s="202">
        <v>6.7868547945205533</v>
      </c>
      <c r="K38" s="202">
        <v>12.754520547945214</v>
      </c>
      <c r="L38" s="202">
        <v>12.754520547945214</v>
      </c>
      <c r="M38" s="202">
        <v>28.003512328767123</v>
      </c>
      <c r="N38" s="202">
        <v>28.003512328767123</v>
      </c>
      <c r="O38" s="202"/>
      <c r="P38" s="202"/>
      <c r="Q38" s="202"/>
      <c r="R38" s="202">
        <v>313.34793619178066</v>
      </c>
      <c r="S38" s="203">
        <v>1.6165561849827004</v>
      </c>
    </row>
    <row r="39" spans="1:19" x14ac:dyDescent="0.25">
      <c r="A39" s="155" t="s">
        <v>305</v>
      </c>
      <c r="B39" s="204">
        <v>193.83671232876642</v>
      </c>
      <c r="C39" s="204">
        <v>193.83671232876642</v>
      </c>
      <c r="D39" s="204"/>
      <c r="E39" s="204">
        <v>255.88454246575327</v>
      </c>
      <c r="F39" s="204">
        <v>9.9185060547945252</v>
      </c>
      <c r="G39" s="204"/>
      <c r="H39" s="204"/>
      <c r="I39" s="204"/>
      <c r="J39" s="204">
        <v>6.7868547945205693</v>
      </c>
      <c r="K39" s="204">
        <v>12.754520547945218</v>
      </c>
      <c r="L39" s="204">
        <v>12.754520547945218</v>
      </c>
      <c r="M39" s="204">
        <v>28.003512328767123</v>
      </c>
      <c r="N39" s="204">
        <v>28.003512328767123</v>
      </c>
      <c r="O39" s="204"/>
      <c r="P39" s="204"/>
      <c r="Q39" s="204"/>
      <c r="R39" s="204">
        <v>313.34793619178072</v>
      </c>
      <c r="S39" s="205">
        <v>1.616556184982705</v>
      </c>
    </row>
    <row r="40" spans="1:19" x14ac:dyDescent="0.25">
      <c r="A40" s="156" t="s">
        <v>143</v>
      </c>
      <c r="B40" s="202">
        <v>42.071232876712315</v>
      </c>
      <c r="C40" s="202">
        <v>42.071232876712315</v>
      </c>
      <c r="D40" s="202"/>
      <c r="E40" s="202"/>
      <c r="F40" s="202">
        <v>30.518472328767132</v>
      </c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>
        <v>30.518472328767132</v>
      </c>
      <c r="S40" s="203">
        <v>0.72540000000000038</v>
      </c>
    </row>
    <row r="41" spans="1:19" x14ac:dyDescent="0.25">
      <c r="A41" s="155" t="s">
        <v>304</v>
      </c>
      <c r="B41" s="204">
        <v>42.071232876712536</v>
      </c>
      <c r="C41" s="204">
        <v>42.071232876712536</v>
      </c>
      <c r="D41" s="204"/>
      <c r="E41" s="204"/>
      <c r="F41" s="204">
        <v>30.518472328767356</v>
      </c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>
        <v>30.518472328767356</v>
      </c>
      <c r="S41" s="205">
        <v>0.72540000000000193</v>
      </c>
    </row>
    <row r="42" spans="1:19" x14ac:dyDescent="0.25">
      <c r="A42" s="156" t="s">
        <v>28</v>
      </c>
      <c r="B42" s="202">
        <v>9553.6802739711111</v>
      </c>
      <c r="C42" s="202">
        <v>9326.8210958889213</v>
      </c>
      <c r="D42" s="202">
        <v>226.85917808219</v>
      </c>
      <c r="E42" s="202">
        <v>7867.4134137001611</v>
      </c>
      <c r="F42" s="202">
        <v>762.72817693152047</v>
      </c>
      <c r="G42" s="202">
        <v>797.06476164385572</v>
      </c>
      <c r="H42" s="202">
        <v>209.26448219177917</v>
      </c>
      <c r="I42" s="202">
        <v>215.51621917808328</v>
      </c>
      <c r="J42" s="202">
        <v>212.88540821917837</v>
      </c>
      <c r="K42" s="202">
        <v>1192.5852657533831</v>
      </c>
      <c r="L42" s="202">
        <v>1192.5852657533831</v>
      </c>
      <c r="M42" s="202"/>
      <c r="N42" s="202"/>
      <c r="O42" s="202"/>
      <c r="P42" s="202">
        <v>20.473958219178193</v>
      </c>
      <c r="Q42" s="202"/>
      <c r="R42" s="202">
        <v>11277.93168583714</v>
      </c>
      <c r="S42" s="203">
        <v>1.1804803345328325</v>
      </c>
    </row>
    <row r="43" spans="1:19" x14ac:dyDescent="0.25">
      <c r="A43" s="155" t="s">
        <v>303</v>
      </c>
      <c r="B43" s="204">
        <v>9553.6802739703417</v>
      </c>
      <c r="C43" s="204">
        <v>9326.8210958881536</v>
      </c>
      <c r="D43" s="204">
        <v>226.85917808218849</v>
      </c>
      <c r="E43" s="204">
        <v>7867.413413700614</v>
      </c>
      <c r="F43" s="204">
        <v>762.72817693155196</v>
      </c>
      <c r="G43" s="204">
        <v>797.06476164387732</v>
      </c>
      <c r="H43" s="204">
        <v>209.26448219177917</v>
      </c>
      <c r="I43" s="204">
        <v>215.51621917808492</v>
      </c>
      <c r="J43" s="204">
        <v>212.88540821917485</v>
      </c>
      <c r="K43" s="204">
        <v>1192.585265753356</v>
      </c>
      <c r="L43" s="204">
        <v>1192.585265753356</v>
      </c>
      <c r="M43" s="204"/>
      <c r="N43" s="204"/>
      <c r="O43" s="204"/>
      <c r="P43" s="204">
        <v>20.473958219177732</v>
      </c>
      <c r="Q43" s="204"/>
      <c r="R43" s="204">
        <v>11277.931685837617</v>
      </c>
      <c r="S43" s="205">
        <v>1.1804803345329775</v>
      </c>
    </row>
    <row r="44" spans="1:19" x14ac:dyDescent="0.25">
      <c r="A44" s="156" t="s">
        <v>29</v>
      </c>
      <c r="B44" s="202">
        <v>62.529863013698666</v>
      </c>
      <c r="C44" s="202">
        <v>62.529863013698666</v>
      </c>
      <c r="D44" s="202"/>
      <c r="E44" s="202">
        <v>89.933010958904077</v>
      </c>
      <c r="F44" s="202"/>
      <c r="G44" s="202"/>
      <c r="H44" s="202"/>
      <c r="I44" s="202"/>
      <c r="J44" s="202">
        <v>1.3612602739726025</v>
      </c>
      <c r="K44" s="202">
        <v>0.8287671232876711</v>
      </c>
      <c r="L44" s="202">
        <v>0.8287671232876711</v>
      </c>
      <c r="M44" s="202"/>
      <c r="N44" s="202"/>
      <c r="O44" s="202"/>
      <c r="P44" s="202"/>
      <c r="Q44" s="202"/>
      <c r="R44" s="202">
        <v>92.123038356164358</v>
      </c>
      <c r="S44" s="203">
        <v>1.4732646757275416</v>
      </c>
    </row>
    <row r="45" spans="1:19" x14ac:dyDescent="0.25">
      <c r="A45" s="155" t="s">
        <v>300</v>
      </c>
      <c r="B45" s="204">
        <v>62.529863013698574</v>
      </c>
      <c r="C45" s="204">
        <v>62.529863013698574</v>
      </c>
      <c r="D45" s="204"/>
      <c r="E45" s="204">
        <v>89.933010958904134</v>
      </c>
      <c r="F45" s="204"/>
      <c r="G45" s="204"/>
      <c r="H45" s="204"/>
      <c r="I45" s="204"/>
      <c r="J45" s="204">
        <v>1.3612602739726001</v>
      </c>
      <c r="K45" s="204">
        <v>0.8287671232876711</v>
      </c>
      <c r="L45" s="204">
        <v>0.8287671232876711</v>
      </c>
      <c r="M45" s="204"/>
      <c r="N45" s="204"/>
      <c r="O45" s="204"/>
      <c r="P45" s="204"/>
      <c r="Q45" s="204"/>
      <c r="R45" s="204">
        <v>92.123038356164415</v>
      </c>
      <c r="S45" s="205">
        <v>1.4732646757275447</v>
      </c>
    </row>
    <row r="46" spans="1:19" x14ac:dyDescent="0.25">
      <c r="A46" s="156" t="s">
        <v>30</v>
      </c>
      <c r="B46" s="202">
        <v>2142.1424657533748</v>
      </c>
      <c r="C46" s="202">
        <v>2142.1424657533748</v>
      </c>
      <c r="D46" s="202"/>
      <c r="E46" s="202">
        <v>1596.4275780821815</v>
      </c>
      <c r="F46" s="202">
        <v>176.07147287671302</v>
      </c>
      <c r="G46" s="202"/>
      <c r="H46" s="202">
        <v>51.893780821917943</v>
      </c>
      <c r="I46" s="202"/>
      <c r="J46" s="202">
        <v>64.36198356164374</v>
      </c>
      <c r="K46" s="202">
        <v>81.178630136986257</v>
      </c>
      <c r="L46" s="202">
        <v>81.178630136986257</v>
      </c>
      <c r="M46" s="202"/>
      <c r="N46" s="202"/>
      <c r="O46" s="202"/>
      <c r="P46" s="202"/>
      <c r="Q46" s="202"/>
      <c r="R46" s="202">
        <v>1969.9334454794423</v>
      </c>
      <c r="S46" s="203">
        <v>0.91960897884848758</v>
      </c>
    </row>
    <row r="47" spans="1:19" x14ac:dyDescent="0.25">
      <c r="A47" s="155" t="s">
        <v>302</v>
      </c>
      <c r="B47" s="204">
        <v>2142.1424657534476</v>
      </c>
      <c r="C47" s="204">
        <v>2142.1424657534476</v>
      </c>
      <c r="D47" s="204"/>
      <c r="E47" s="204">
        <v>1596.4275780821765</v>
      </c>
      <c r="F47" s="204">
        <v>176.07147287671256</v>
      </c>
      <c r="G47" s="204"/>
      <c r="H47" s="204">
        <v>51.893780821917943</v>
      </c>
      <c r="I47" s="204"/>
      <c r="J47" s="204">
        <v>64.361983561643527</v>
      </c>
      <c r="K47" s="204">
        <v>81.178630136986285</v>
      </c>
      <c r="L47" s="204">
        <v>81.178630136986285</v>
      </c>
      <c r="M47" s="204"/>
      <c r="N47" s="204"/>
      <c r="O47" s="204"/>
      <c r="P47" s="204"/>
      <c r="Q47" s="204"/>
      <c r="R47" s="204">
        <v>1969.9334454794368</v>
      </c>
      <c r="S47" s="205">
        <v>0.91960897884845383</v>
      </c>
    </row>
    <row r="48" spans="1:19" x14ac:dyDescent="0.25">
      <c r="A48" s="156" t="s">
        <v>31</v>
      </c>
      <c r="B48" s="202">
        <v>272.44520547945046</v>
      </c>
      <c r="C48" s="202">
        <v>272.44520547945046</v>
      </c>
      <c r="D48" s="202"/>
      <c r="E48" s="202">
        <v>262.32595068493157</v>
      </c>
      <c r="F48" s="202">
        <v>81.582660082191964</v>
      </c>
      <c r="G48" s="202"/>
      <c r="H48" s="202"/>
      <c r="I48" s="202"/>
      <c r="J48" s="202">
        <v>6.5349041095890463</v>
      </c>
      <c r="K48" s="202">
        <v>14.47534246575343</v>
      </c>
      <c r="L48" s="202">
        <v>14.47534246575343</v>
      </c>
      <c r="M48" s="202">
        <v>36.75106849315069</v>
      </c>
      <c r="N48" s="202">
        <v>36.75106849315069</v>
      </c>
      <c r="O48" s="202">
        <v>-1.8858961643835606</v>
      </c>
      <c r="P48" s="202"/>
      <c r="Q48" s="202"/>
      <c r="R48" s="202">
        <v>399.78402967123316</v>
      </c>
      <c r="S48" s="203">
        <v>1.4673924210473486</v>
      </c>
    </row>
    <row r="49" spans="1:19" x14ac:dyDescent="0.25">
      <c r="A49" s="155" t="s">
        <v>301</v>
      </c>
      <c r="B49" s="204">
        <v>272.44520547944802</v>
      </c>
      <c r="C49" s="204">
        <v>272.44520547944802</v>
      </c>
      <c r="D49" s="204"/>
      <c r="E49" s="204">
        <v>262.32595068493134</v>
      </c>
      <c r="F49" s="204">
        <v>81.582660082192064</v>
      </c>
      <c r="G49" s="204"/>
      <c r="H49" s="204"/>
      <c r="I49" s="204"/>
      <c r="J49" s="204">
        <v>6.5349041095890508</v>
      </c>
      <c r="K49" s="204">
        <v>14.475342465753437</v>
      </c>
      <c r="L49" s="204">
        <v>14.475342465753437</v>
      </c>
      <c r="M49" s="204">
        <v>36.75106849315069</v>
      </c>
      <c r="N49" s="204">
        <v>36.75106849315069</v>
      </c>
      <c r="O49" s="204">
        <v>-1.8858961643835606</v>
      </c>
      <c r="P49" s="204"/>
      <c r="Q49" s="204"/>
      <c r="R49" s="204">
        <v>399.78402967123299</v>
      </c>
      <c r="S49" s="205">
        <v>1.467392421047361</v>
      </c>
    </row>
    <row r="50" spans="1:19" x14ac:dyDescent="0.25">
      <c r="A50" s="156" t="s">
        <v>32</v>
      </c>
      <c r="B50" s="202">
        <v>3800.276164383527</v>
      </c>
      <c r="C50" s="202">
        <v>3756.8805479451707</v>
      </c>
      <c r="D50" s="202">
        <v>43.395616438356193</v>
      </c>
      <c r="E50" s="202">
        <v>3163.1631178081871</v>
      </c>
      <c r="F50" s="202">
        <v>434.13178652054592</v>
      </c>
      <c r="G50" s="202">
        <v>144.94564383561641</v>
      </c>
      <c r="H50" s="202">
        <v>21.32794520547947</v>
      </c>
      <c r="I50" s="202">
        <v>41.225835616438374</v>
      </c>
      <c r="J50" s="202">
        <v>105.28694794520602</v>
      </c>
      <c r="K50" s="202">
        <v>249.9589589041077</v>
      </c>
      <c r="L50" s="202">
        <v>249.9589589041077</v>
      </c>
      <c r="M50" s="202">
        <v>11.54416438356165</v>
      </c>
      <c r="N50" s="202">
        <v>11.54416438356165</v>
      </c>
      <c r="O50" s="202">
        <v>-7.2485744054794363</v>
      </c>
      <c r="P50" s="202">
        <v>1.160536043835616</v>
      </c>
      <c r="Q50" s="202">
        <v>22.544832876712373</v>
      </c>
      <c r="R50" s="202">
        <v>4188.0411947342118</v>
      </c>
      <c r="S50" s="203">
        <v>1.1020360135889196</v>
      </c>
    </row>
    <row r="51" spans="1:19" x14ac:dyDescent="0.25">
      <c r="A51" s="155" t="s">
        <v>298</v>
      </c>
      <c r="B51" s="204">
        <v>3800.2761643832014</v>
      </c>
      <c r="C51" s="204">
        <v>3756.8805479448451</v>
      </c>
      <c r="D51" s="204">
        <v>43.395616438356221</v>
      </c>
      <c r="E51" s="204">
        <v>3163.1631178082516</v>
      </c>
      <c r="F51" s="204">
        <v>434.13178652054381</v>
      </c>
      <c r="G51" s="204">
        <v>144.94564383561647</v>
      </c>
      <c r="H51" s="204">
        <v>21.32794520547947</v>
      </c>
      <c r="I51" s="204">
        <v>41.225835616438552</v>
      </c>
      <c r="J51" s="204">
        <v>105.2869479452049</v>
      </c>
      <c r="K51" s="204">
        <v>249.95895890410924</v>
      </c>
      <c r="L51" s="204">
        <v>249.95895890410924</v>
      </c>
      <c r="M51" s="204">
        <v>11.54416438356165</v>
      </c>
      <c r="N51" s="204">
        <v>11.54416438356165</v>
      </c>
      <c r="O51" s="204">
        <v>-7.2485744054794363</v>
      </c>
      <c r="P51" s="204">
        <v>1.1605360438356189</v>
      </c>
      <c r="Q51" s="204">
        <v>22.544832876712373</v>
      </c>
      <c r="R51" s="204">
        <v>4188.0411947342745</v>
      </c>
      <c r="S51" s="205">
        <v>1.1020360135890306</v>
      </c>
    </row>
    <row r="52" spans="1:19" x14ac:dyDescent="0.25">
      <c r="A52" s="156" t="s">
        <v>33</v>
      </c>
      <c r="B52" s="202">
        <v>557.00164383561764</v>
      </c>
      <c r="C52" s="202">
        <v>557.00164383561764</v>
      </c>
      <c r="D52" s="202"/>
      <c r="E52" s="202">
        <v>395.56601643836291</v>
      </c>
      <c r="F52" s="202">
        <v>228.19750915068488</v>
      </c>
      <c r="G52" s="202"/>
      <c r="H52" s="202"/>
      <c r="I52" s="202"/>
      <c r="J52" s="202">
        <v>5.9724493150685003</v>
      </c>
      <c r="K52" s="202">
        <v>15.777808219178103</v>
      </c>
      <c r="L52" s="202">
        <v>15.777808219178103</v>
      </c>
      <c r="M52" s="202">
        <v>52.803123287671134</v>
      </c>
      <c r="N52" s="202">
        <v>52.803123287671134</v>
      </c>
      <c r="O52" s="202"/>
      <c r="P52" s="202"/>
      <c r="Q52" s="202"/>
      <c r="R52" s="202">
        <v>698.31690641096554</v>
      </c>
      <c r="S52" s="203">
        <v>1.2537070835235324</v>
      </c>
    </row>
    <row r="53" spans="1:19" x14ac:dyDescent="0.25">
      <c r="A53" s="155" t="s">
        <v>297</v>
      </c>
      <c r="B53" s="204">
        <v>557.00164383562628</v>
      </c>
      <c r="C53" s="204">
        <v>557.00164383562628</v>
      </c>
      <c r="D53" s="204"/>
      <c r="E53" s="204">
        <v>395.56601643836376</v>
      </c>
      <c r="F53" s="204">
        <v>228.19750915068471</v>
      </c>
      <c r="G53" s="204"/>
      <c r="H53" s="204"/>
      <c r="I53" s="204"/>
      <c r="J53" s="204">
        <v>5.9724493150685287</v>
      </c>
      <c r="K53" s="204">
        <v>15.77780821917813</v>
      </c>
      <c r="L53" s="204">
        <v>15.77780821917813</v>
      </c>
      <c r="M53" s="204">
        <v>52.803123287671134</v>
      </c>
      <c r="N53" s="204">
        <v>52.803123287671134</v>
      </c>
      <c r="O53" s="204"/>
      <c r="P53" s="204"/>
      <c r="Q53" s="204"/>
      <c r="R53" s="204">
        <v>698.31690641096623</v>
      </c>
      <c r="S53" s="205">
        <v>1.2537070835235142</v>
      </c>
    </row>
    <row r="54" spans="1:19" x14ac:dyDescent="0.25">
      <c r="A54" s="156" t="s">
        <v>34</v>
      </c>
      <c r="B54" s="202">
        <v>40.187671232876809</v>
      </c>
      <c r="C54" s="202">
        <v>40.187671232876809</v>
      </c>
      <c r="D54" s="202"/>
      <c r="E54" s="202">
        <v>33.358698630137091</v>
      </c>
      <c r="F54" s="202">
        <v>4.2053326027397269</v>
      </c>
      <c r="G54" s="202"/>
      <c r="H54" s="202"/>
      <c r="I54" s="202"/>
      <c r="J54" s="202">
        <v>0.27139726027397254</v>
      </c>
      <c r="K54" s="202">
        <v>1.9219178082191772</v>
      </c>
      <c r="L54" s="202">
        <v>1.9219178082191772</v>
      </c>
      <c r="M54" s="202">
        <v>14.266095890410936</v>
      </c>
      <c r="N54" s="202">
        <v>14.266095890410936</v>
      </c>
      <c r="O54" s="202"/>
      <c r="P54" s="202"/>
      <c r="Q54" s="202"/>
      <c r="R54" s="202">
        <v>54.023442191780902</v>
      </c>
      <c r="S54" s="203">
        <v>1.3442789923986762</v>
      </c>
    </row>
    <row r="55" spans="1:19" x14ac:dyDescent="0.25">
      <c r="A55" s="155" t="s">
        <v>295</v>
      </c>
      <c r="B55" s="204">
        <v>40.187671232876838</v>
      </c>
      <c r="C55" s="204">
        <v>40.187671232876838</v>
      </c>
      <c r="D55" s="204"/>
      <c r="E55" s="204">
        <v>33.358698630137098</v>
      </c>
      <c r="F55" s="204">
        <v>4.2053326027397278</v>
      </c>
      <c r="G55" s="204"/>
      <c r="H55" s="204"/>
      <c r="I55" s="204"/>
      <c r="J55" s="204">
        <v>0.27139726027397254</v>
      </c>
      <c r="K55" s="204">
        <v>1.9219178082191772</v>
      </c>
      <c r="L55" s="204">
        <v>1.9219178082191772</v>
      </c>
      <c r="M55" s="204">
        <v>14.266095890410936</v>
      </c>
      <c r="N55" s="204">
        <v>14.266095890410936</v>
      </c>
      <c r="O55" s="204"/>
      <c r="P55" s="204"/>
      <c r="Q55" s="204"/>
      <c r="R55" s="204">
        <v>54.023442191780916</v>
      </c>
      <c r="S55" s="205">
        <v>1.3442789923986755</v>
      </c>
    </row>
    <row r="56" spans="1:19" x14ac:dyDescent="0.25">
      <c r="A56" s="156" t="s">
        <v>35</v>
      </c>
      <c r="B56" s="202">
        <v>1573.2000273972296</v>
      </c>
      <c r="C56" s="202">
        <v>1573.1013972602434</v>
      </c>
      <c r="D56" s="202">
        <v>9.8630136986301381E-2</v>
      </c>
      <c r="E56" s="202">
        <v>1033.8618287670974</v>
      </c>
      <c r="F56" s="202">
        <v>452.99918929315237</v>
      </c>
      <c r="G56" s="202">
        <v>40.466136986301386</v>
      </c>
      <c r="H56" s="202">
        <v>6.9447671232876704</v>
      </c>
      <c r="I56" s="202">
        <v>9.3698630136986302E-2</v>
      </c>
      <c r="J56" s="202">
        <v>29.95783561643826</v>
      </c>
      <c r="K56" s="202">
        <v>68.818000000000112</v>
      </c>
      <c r="L56" s="202">
        <v>68.818000000000112</v>
      </c>
      <c r="M56" s="202">
        <v>16.453873972602743</v>
      </c>
      <c r="N56" s="202">
        <v>16.453873972602743</v>
      </c>
      <c r="O56" s="202"/>
      <c r="P56" s="202">
        <v>0.18570585205479359</v>
      </c>
      <c r="Q56" s="202">
        <v>0.62071232876712334</v>
      </c>
      <c r="R56" s="202">
        <v>1650.4017485698384</v>
      </c>
      <c r="S56" s="203">
        <v>1.0490730484541972</v>
      </c>
    </row>
    <row r="57" spans="1:19" x14ac:dyDescent="0.25">
      <c r="A57" s="155" t="s">
        <v>294</v>
      </c>
      <c r="B57" s="204">
        <v>1573.200027397191</v>
      </c>
      <c r="C57" s="204">
        <v>1573.1013972602047</v>
      </c>
      <c r="D57" s="204">
        <v>9.8630136986301423E-2</v>
      </c>
      <c r="E57" s="204">
        <v>1033.8618287670938</v>
      </c>
      <c r="F57" s="204">
        <v>452.99918929315095</v>
      </c>
      <c r="G57" s="204">
        <v>40.466136986301343</v>
      </c>
      <c r="H57" s="204">
        <v>6.9447671232876704</v>
      </c>
      <c r="I57" s="204">
        <v>9.3698630136986302E-2</v>
      </c>
      <c r="J57" s="204">
        <v>29.957835616438459</v>
      </c>
      <c r="K57" s="204">
        <v>68.818000000000012</v>
      </c>
      <c r="L57" s="204">
        <v>68.818000000000012</v>
      </c>
      <c r="M57" s="204">
        <v>16.453873972602743</v>
      </c>
      <c r="N57" s="204">
        <v>16.453873972602743</v>
      </c>
      <c r="O57" s="204"/>
      <c r="P57" s="204">
        <v>0.18570585205479348</v>
      </c>
      <c r="Q57" s="204">
        <v>0.62071232876712334</v>
      </c>
      <c r="R57" s="204">
        <v>1650.4017485698334</v>
      </c>
      <c r="S57" s="205">
        <v>1.0490730484542199</v>
      </c>
    </row>
    <row r="58" spans="1:19" x14ac:dyDescent="0.25">
      <c r="A58" s="156" t="s">
        <v>36</v>
      </c>
      <c r="B58" s="202">
        <v>74.417808219178013</v>
      </c>
      <c r="C58" s="202">
        <v>64.023287671232808</v>
      </c>
      <c r="D58" s="202">
        <v>10.394520547945206</v>
      </c>
      <c r="E58" s="202"/>
      <c r="F58" s="202">
        <v>46.442492876712336</v>
      </c>
      <c r="G58" s="202"/>
      <c r="H58" s="202"/>
      <c r="I58" s="202">
        <v>9.8747945205479457</v>
      </c>
      <c r="J58" s="202">
        <v>0.13939726027397256</v>
      </c>
      <c r="K58" s="202"/>
      <c r="L58" s="202"/>
      <c r="M58" s="202"/>
      <c r="N58" s="202"/>
      <c r="O58" s="202"/>
      <c r="P58" s="202"/>
      <c r="Q58" s="202"/>
      <c r="R58" s="202">
        <v>56.456684657534254</v>
      </c>
      <c r="S58" s="203">
        <v>0.75864481914404125</v>
      </c>
    </row>
    <row r="59" spans="1:19" x14ac:dyDescent="0.25">
      <c r="A59" s="155" t="s">
        <v>293</v>
      </c>
      <c r="B59" s="204">
        <v>74.417808219177772</v>
      </c>
      <c r="C59" s="204">
        <v>64.023287671232538</v>
      </c>
      <c r="D59" s="204">
        <v>10.394520547945227</v>
      </c>
      <c r="E59" s="204"/>
      <c r="F59" s="204">
        <v>46.442492876712656</v>
      </c>
      <c r="G59" s="204"/>
      <c r="H59" s="204"/>
      <c r="I59" s="204">
        <v>9.8747945205479564</v>
      </c>
      <c r="J59" s="204">
        <v>0.13939726027397256</v>
      </c>
      <c r="K59" s="204"/>
      <c r="L59" s="204"/>
      <c r="M59" s="204"/>
      <c r="N59" s="204"/>
      <c r="O59" s="204"/>
      <c r="P59" s="204"/>
      <c r="Q59" s="204"/>
      <c r="R59" s="204">
        <v>56.456684657534588</v>
      </c>
      <c r="S59" s="205">
        <v>0.75864481914404824</v>
      </c>
    </row>
    <row r="60" spans="1:19" x14ac:dyDescent="0.25">
      <c r="A60" s="156" t="s">
        <v>37</v>
      </c>
      <c r="B60" s="202">
        <v>49.41095890410957</v>
      </c>
      <c r="C60" s="202">
        <v>49.41095890410957</v>
      </c>
      <c r="D60" s="202"/>
      <c r="E60" s="202">
        <v>70.934465753424604</v>
      </c>
      <c r="F60" s="202"/>
      <c r="G60" s="202"/>
      <c r="H60" s="202"/>
      <c r="I60" s="202"/>
      <c r="J60" s="202">
        <v>1.1720547945205466</v>
      </c>
      <c r="K60" s="202"/>
      <c r="L60" s="202"/>
      <c r="M60" s="202"/>
      <c r="N60" s="202"/>
      <c r="O60" s="202"/>
      <c r="P60" s="202"/>
      <c r="Q60" s="202"/>
      <c r="R60" s="202">
        <v>72.106520547945152</v>
      </c>
      <c r="S60" s="203">
        <v>1.4593224286110336</v>
      </c>
    </row>
    <row r="61" spans="1:19" x14ac:dyDescent="0.25">
      <c r="A61" s="155" t="s">
        <v>290</v>
      </c>
      <c r="B61" s="204">
        <v>49.410958904109577</v>
      </c>
      <c r="C61" s="204">
        <v>49.410958904109577</v>
      </c>
      <c r="D61" s="204"/>
      <c r="E61" s="204">
        <v>70.934465753424647</v>
      </c>
      <c r="F61" s="204"/>
      <c r="G61" s="204"/>
      <c r="H61" s="204"/>
      <c r="I61" s="204"/>
      <c r="J61" s="204">
        <v>1.1720547945205464</v>
      </c>
      <c r="K61" s="204"/>
      <c r="L61" s="204"/>
      <c r="M61" s="204"/>
      <c r="N61" s="204"/>
      <c r="O61" s="204"/>
      <c r="P61" s="204"/>
      <c r="Q61" s="204"/>
      <c r="R61" s="204">
        <v>72.106520547945195</v>
      </c>
      <c r="S61" s="205">
        <v>1.4593224286110342</v>
      </c>
    </row>
    <row r="62" spans="1:19" x14ac:dyDescent="0.25">
      <c r="A62" s="156" t="s">
        <v>38</v>
      </c>
      <c r="B62" s="202">
        <v>2847.5601369862457</v>
      </c>
      <c r="C62" s="202">
        <v>2847.5601369862457</v>
      </c>
      <c r="D62" s="202"/>
      <c r="E62" s="202">
        <v>2578.3132383560696</v>
      </c>
      <c r="F62" s="202">
        <v>189.34397832328736</v>
      </c>
      <c r="G62" s="202">
        <v>239.06242739725963</v>
      </c>
      <c r="H62" s="202">
        <v>18.97026849315067</v>
      </c>
      <c r="I62" s="202"/>
      <c r="J62" s="202">
        <v>91.591127671233238</v>
      </c>
      <c r="K62" s="202">
        <v>180.27023287671193</v>
      </c>
      <c r="L62" s="202">
        <v>180.27023287671193</v>
      </c>
      <c r="M62" s="202">
        <v>106.76123835616525</v>
      </c>
      <c r="N62" s="202">
        <v>106.76123835616525</v>
      </c>
      <c r="O62" s="202"/>
      <c r="P62" s="202">
        <v>6.2424147945205399E-2</v>
      </c>
      <c r="Q62" s="202">
        <v>66.458126027397441</v>
      </c>
      <c r="R62" s="202">
        <v>3470.8330616492208</v>
      </c>
      <c r="S62" s="203">
        <v>1.2188796354350657</v>
      </c>
    </row>
    <row r="63" spans="1:19" x14ac:dyDescent="0.25">
      <c r="A63" s="155" t="s">
        <v>289</v>
      </c>
      <c r="B63" s="204">
        <v>2847.560136986182</v>
      </c>
      <c r="C63" s="204">
        <v>2847.560136986182</v>
      </c>
      <c r="D63" s="204"/>
      <c r="E63" s="204">
        <v>2578.313238356041</v>
      </c>
      <c r="F63" s="204">
        <v>189.3439783232873</v>
      </c>
      <c r="G63" s="204">
        <v>239.06242739725965</v>
      </c>
      <c r="H63" s="204">
        <v>18.97026849315067</v>
      </c>
      <c r="I63" s="204"/>
      <c r="J63" s="204">
        <v>91.591127671232172</v>
      </c>
      <c r="K63" s="204">
        <v>180.27023287670983</v>
      </c>
      <c r="L63" s="204">
        <v>180.27023287670983</v>
      </c>
      <c r="M63" s="204">
        <v>106.76123835616525</v>
      </c>
      <c r="N63" s="204">
        <v>106.76123835616525</v>
      </c>
      <c r="O63" s="204"/>
      <c r="P63" s="204">
        <v>6.2424147945205406E-2</v>
      </c>
      <c r="Q63" s="204">
        <v>66.458126027397441</v>
      </c>
      <c r="R63" s="204">
        <v>3470.8330616491899</v>
      </c>
      <c r="S63" s="205">
        <v>1.2188796354350822</v>
      </c>
    </row>
    <row r="64" spans="1:19" x14ac:dyDescent="0.25">
      <c r="A64" s="156" t="s">
        <v>39</v>
      </c>
      <c r="B64" s="202">
        <v>167.92328767123252</v>
      </c>
      <c r="C64" s="202">
        <v>167.92328767123252</v>
      </c>
      <c r="D64" s="202"/>
      <c r="E64" s="202"/>
      <c r="F64" s="202">
        <v>121.81155287671275</v>
      </c>
      <c r="G64" s="202"/>
      <c r="H64" s="202"/>
      <c r="I64" s="202"/>
      <c r="J64" s="202">
        <v>3.8465753424657537E-2</v>
      </c>
      <c r="K64" s="202">
        <v>8.0821917808219179E-2</v>
      </c>
      <c r="L64" s="202">
        <v>8.0821917808219179E-2</v>
      </c>
      <c r="M64" s="202"/>
      <c r="N64" s="202"/>
      <c r="O64" s="202"/>
      <c r="P64" s="202"/>
      <c r="Q64" s="202"/>
      <c r="R64" s="202">
        <v>121.93084054794564</v>
      </c>
      <c r="S64" s="203">
        <v>0.7261103700319822</v>
      </c>
    </row>
    <row r="65" spans="1:19" x14ac:dyDescent="0.25">
      <c r="A65" s="155" t="s">
        <v>288</v>
      </c>
      <c r="B65" s="204">
        <v>167.9232876712295</v>
      </c>
      <c r="C65" s="204">
        <v>167.9232876712295</v>
      </c>
      <c r="D65" s="204"/>
      <c r="E65" s="204"/>
      <c r="F65" s="204">
        <v>121.81155287671372</v>
      </c>
      <c r="G65" s="204"/>
      <c r="H65" s="204"/>
      <c r="I65" s="204"/>
      <c r="J65" s="204">
        <v>3.8465753424657537E-2</v>
      </c>
      <c r="K65" s="204">
        <v>8.0821917808219179E-2</v>
      </c>
      <c r="L65" s="204">
        <v>8.0821917808219179E-2</v>
      </c>
      <c r="M65" s="204"/>
      <c r="N65" s="204"/>
      <c r="O65" s="204"/>
      <c r="P65" s="204"/>
      <c r="Q65" s="204"/>
      <c r="R65" s="204">
        <v>121.9308405479466</v>
      </c>
      <c r="S65" s="205">
        <v>0.72611037003200096</v>
      </c>
    </row>
    <row r="66" spans="1:19" x14ac:dyDescent="0.25">
      <c r="A66" s="156" t="s">
        <v>440</v>
      </c>
      <c r="B66" s="202">
        <v>6464.8109589039104</v>
      </c>
      <c r="C66" s="202">
        <v>6450.9682191778829</v>
      </c>
      <c r="D66" s="202">
        <v>13.842739726027411</v>
      </c>
      <c r="E66" s="202">
        <v>5252.9096424655972</v>
      </c>
      <c r="F66" s="202">
        <v>958.23098063016414</v>
      </c>
      <c r="G66" s="202">
        <v>280.85338630136863</v>
      </c>
      <c r="H66" s="202">
        <v>17.096109589041095</v>
      </c>
      <c r="I66" s="202">
        <v>13.150602739726025</v>
      </c>
      <c r="J66" s="202">
        <v>194.64567945205727</v>
      </c>
      <c r="K66" s="202">
        <v>372.85536712328616</v>
      </c>
      <c r="L66" s="202">
        <v>372.85536712328616</v>
      </c>
      <c r="M66" s="202">
        <v>103.99186849315241</v>
      </c>
      <c r="N66" s="202">
        <v>103.99186849315241</v>
      </c>
      <c r="O66" s="202"/>
      <c r="P66" s="202">
        <v>3.8795604657534115</v>
      </c>
      <c r="Q66" s="202">
        <v>1.0257534246575342</v>
      </c>
      <c r="R66" s="202">
        <v>7198.6389506848045</v>
      </c>
      <c r="S66" s="203">
        <v>1.1135111291646047</v>
      </c>
    </row>
    <row r="67" spans="1:19" x14ac:dyDescent="0.25">
      <c r="A67" s="155" t="s">
        <v>287</v>
      </c>
      <c r="B67" s="204">
        <v>6464.8109589045525</v>
      </c>
      <c r="C67" s="204">
        <v>6450.968219178525</v>
      </c>
      <c r="D67" s="204">
        <v>13.8427397260274</v>
      </c>
      <c r="E67" s="204">
        <v>5252.9096424655372</v>
      </c>
      <c r="F67" s="204">
        <v>958.23098063020984</v>
      </c>
      <c r="G67" s="204">
        <v>280.85338630136999</v>
      </c>
      <c r="H67" s="204">
        <v>17.096109589041095</v>
      </c>
      <c r="I67" s="204">
        <v>13.150602739726054</v>
      </c>
      <c r="J67" s="204">
        <v>194.64567945205422</v>
      </c>
      <c r="K67" s="204">
        <v>372.85536712329321</v>
      </c>
      <c r="L67" s="204">
        <v>372.85536712329321</v>
      </c>
      <c r="M67" s="204">
        <v>103.99186849315241</v>
      </c>
      <c r="N67" s="204">
        <v>103.99186849315241</v>
      </c>
      <c r="O67" s="204"/>
      <c r="P67" s="204">
        <v>3.8795604657534111</v>
      </c>
      <c r="Q67" s="204">
        <v>1.0257534246575342</v>
      </c>
      <c r="R67" s="204">
        <v>7198.6389506847954</v>
      </c>
      <c r="S67" s="205">
        <v>1.1135111291644928</v>
      </c>
    </row>
    <row r="68" spans="1:19" x14ac:dyDescent="0.25">
      <c r="A68" s="156" t="s">
        <v>40</v>
      </c>
      <c r="B68" s="202">
        <v>196.58673972602662</v>
      </c>
      <c r="C68" s="202">
        <v>196.58673972602662</v>
      </c>
      <c r="D68" s="202"/>
      <c r="E68" s="202">
        <v>120.10141369863045</v>
      </c>
      <c r="F68" s="202">
        <v>52.787974093150765</v>
      </c>
      <c r="G68" s="202"/>
      <c r="H68" s="202"/>
      <c r="I68" s="202"/>
      <c r="J68" s="202">
        <v>1.6796712328767112</v>
      </c>
      <c r="K68" s="202">
        <v>10.61657534246576</v>
      </c>
      <c r="L68" s="202">
        <v>10.61657534246576</v>
      </c>
      <c r="M68" s="202">
        <v>5.2528767123287698</v>
      </c>
      <c r="N68" s="202">
        <v>5.2528767123287698</v>
      </c>
      <c r="O68" s="202"/>
      <c r="P68" s="202"/>
      <c r="Q68" s="202"/>
      <c r="R68" s="202">
        <v>190.43851107945244</v>
      </c>
      <c r="S68" s="203">
        <v>0.96872511007027906</v>
      </c>
    </row>
    <row r="69" spans="1:19" x14ac:dyDescent="0.25">
      <c r="A69" s="155" t="s">
        <v>292</v>
      </c>
      <c r="B69" s="204">
        <v>196.5867397260225</v>
      </c>
      <c r="C69" s="204">
        <v>196.5867397260225</v>
      </c>
      <c r="D69" s="204"/>
      <c r="E69" s="204">
        <v>120.10141369863055</v>
      </c>
      <c r="F69" s="204">
        <v>52.787974093151149</v>
      </c>
      <c r="G69" s="204"/>
      <c r="H69" s="204"/>
      <c r="I69" s="204"/>
      <c r="J69" s="204">
        <v>1.6796712328767105</v>
      </c>
      <c r="K69" s="204">
        <v>10.616575342465771</v>
      </c>
      <c r="L69" s="204">
        <v>10.616575342465771</v>
      </c>
      <c r="M69" s="204">
        <v>5.2528767123287698</v>
      </c>
      <c r="N69" s="204">
        <v>5.2528767123287698</v>
      </c>
      <c r="O69" s="204"/>
      <c r="P69" s="204"/>
      <c r="Q69" s="204"/>
      <c r="R69" s="204">
        <v>190.43851107945295</v>
      </c>
      <c r="S69" s="205">
        <v>0.96872511007030193</v>
      </c>
    </row>
    <row r="70" spans="1:19" x14ac:dyDescent="0.25">
      <c r="A70" s="156" t="s">
        <v>41</v>
      </c>
      <c r="B70" s="202">
        <v>118.23561643835612</v>
      </c>
      <c r="C70" s="202">
        <v>118.23561643835612</v>
      </c>
      <c r="D70" s="202"/>
      <c r="E70" s="202">
        <v>111.62441095890404</v>
      </c>
      <c r="F70" s="202"/>
      <c r="G70" s="202"/>
      <c r="H70" s="202">
        <v>4.8647123287671219</v>
      </c>
      <c r="I70" s="202"/>
      <c r="J70" s="202">
        <v>0.55019178082191778</v>
      </c>
      <c r="K70" s="202">
        <v>16.47534246575346</v>
      </c>
      <c r="L70" s="202">
        <v>16.47534246575346</v>
      </c>
      <c r="M70" s="202"/>
      <c r="N70" s="202"/>
      <c r="O70" s="202"/>
      <c r="P70" s="202"/>
      <c r="Q70" s="202"/>
      <c r="R70" s="202">
        <v>133.51465753424654</v>
      </c>
      <c r="S70" s="203">
        <v>1.1292253684308093</v>
      </c>
    </row>
    <row r="71" spans="1:19" x14ac:dyDescent="0.25">
      <c r="A71" s="155" t="s">
        <v>291</v>
      </c>
      <c r="B71" s="204">
        <v>118.23561643835588</v>
      </c>
      <c r="C71" s="204">
        <v>118.23561643835588</v>
      </c>
      <c r="D71" s="204"/>
      <c r="E71" s="204">
        <v>111.62441095890419</v>
      </c>
      <c r="F71" s="204"/>
      <c r="G71" s="204"/>
      <c r="H71" s="204">
        <v>4.8647123287671219</v>
      </c>
      <c r="I71" s="204"/>
      <c r="J71" s="204">
        <v>0.55019178082191866</v>
      </c>
      <c r="K71" s="204">
        <v>16.475342465753496</v>
      </c>
      <c r="L71" s="204">
        <v>16.475342465753496</v>
      </c>
      <c r="M71" s="204"/>
      <c r="N71" s="204"/>
      <c r="O71" s="204"/>
      <c r="P71" s="204"/>
      <c r="Q71" s="204"/>
      <c r="R71" s="204">
        <v>133.51465753424671</v>
      </c>
      <c r="S71" s="205">
        <v>1.1292253684308131</v>
      </c>
    </row>
    <row r="72" spans="1:19" x14ac:dyDescent="0.25">
      <c r="A72" s="156" t="s">
        <v>42</v>
      </c>
      <c r="B72" s="202">
        <v>586.83493150684455</v>
      </c>
      <c r="C72" s="202">
        <v>584.64534246574863</v>
      </c>
      <c r="D72" s="202">
        <v>2.1895890410958923</v>
      </c>
      <c r="E72" s="202">
        <v>623.12964657534985</v>
      </c>
      <c r="F72" s="202">
        <v>2.7334865753424653</v>
      </c>
      <c r="G72" s="202"/>
      <c r="H72" s="202">
        <v>10.440356164383561</v>
      </c>
      <c r="I72" s="202">
        <v>2.0801095890410934</v>
      </c>
      <c r="J72" s="202">
        <v>17.73747945205487</v>
      </c>
      <c r="K72" s="202">
        <v>26.604109589041123</v>
      </c>
      <c r="L72" s="202">
        <v>26.604109589041123</v>
      </c>
      <c r="M72" s="202">
        <v>83.091945205479405</v>
      </c>
      <c r="N72" s="202">
        <v>83.091945205479405</v>
      </c>
      <c r="O72" s="202">
        <v>-1.0950145205479456</v>
      </c>
      <c r="P72" s="202"/>
      <c r="Q72" s="202"/>
      <c r="R72" s="202">
        <v>764.72211863014456</v>
      </c>
      <c r="S72" s="203">
        <v>1.3031298540230563</v>
      </c>
    </row>
    <row r="73" spans="1:19" x14ac:dyDescent="0.25">
      <c r="A73" s="155" t="s">
        <v>286</v>
      </c>
      <c r="B73" s="204">
        <v>586.83493150684728</v>
      </c>
      <c r="C73" s="204">
        <v>584.64534246575136</v>
      </c>
      <c r="D73" s="204">
        <v>2.1895890410958931</v>
      </c>
      <c r="E73" s="204">
        <v>623.12964657535042</v>
      </c>
      <c r="F73" s="204">
        <v>2.7334865753424653</v>
      </c>
      <c r="G73" s="204"/>
      <c r="H73" s="204">
        <v>10.440356164383561</v>
      </c>
      <c r="I73" s="204">
        <v>2.0801095890410948</v>
      </c>
      <c r="J73" s="204">
        <v>17.737479452054835</v>
      </c>
      <c r="K73" s="204">
        <v>26.60410958904113</v>
      </c>
      <c r="L73" s="204">
        <v>26.60410958904113</v>
      </c>
      <c r="M73" s="204">
        <v>83.091945205479405</v>
      </c>
      <c r="N73" s="204">
        <v>83.091945205479405</v>
      </c>
      <c r="O73" s="204">
        <v>-1.0950145205479456</v>
      </c>
      <c r="P73" s="204"/>
      <c r="Q73" s="204"/>
      <c r="R73" s="204">
        <v>764.72211863014502</v>
      </c>
      <c r="S73" s="205">
        <v>1.3031298540230509</v>
      </c>
    </row>
    <row r="74" spans="1:19" x14ac:dyDescent="0.25">
      <c r="A74" s="156" t="s">
        <v>43</v>
      </c>
      <c r="B74" s="202">
        <v>3012.4579452054109</v>
      </c>
      <c r="C74" s="202">
        <v>3009.4661643834929</v>
      </c>
      <c r="D74" s="202">
        <v>2.9917808219178079</v>
      </c>
      <c r="E74" s="202">
        <v>2398.903405479411</v>
      </c>
      <c r="F74" s="202">
        <v>560.38557230137314</v>
      </c>
      <c r="G74" s="202">
        <v>64.839484931506888</v>
      </c>
      <c r="H74" s="202">
        <v>10.463561643835622</v>
      </c>
      <c r="I74" s="202">
        <v>2.8421917808219179</v>
      </c>
      <c r="J74" s="202">
        <v>87.069304109588487</v>
      </c>
      <c r="K74" s="202">
        <v>84.656876712328639</v>
      </c>
      <c r="L74" s="202">
        <v>84.656876712328639</v>
      </c>
      <c r="M74" s="202">
        <v>172.69075616438468</v>
      </c>
      <c r="N74" s="202">
        <v>172.69075616438468</v>
      </c>
      <c r="O74" s="202">
        <v>-0.51503399999999966</v>
      </c>
      <c r="P74" s="202">
        <v>0.52246686575342394</v>
      </c>
      <c r="Q74" s="202"/>
      <c r="R74" s="202">
        <v>3381.8585859890031</v>
      </c>
      <c r="S74" s="203">
        <v>1.1226243311949053</v>
      </c>
    </row>
    <row r="75" spans="1:19" x14ac:dyDescent="0.25">
      <c r="A75" s="155" t="s">
        <v>285</v>
      </c>
      <c r="B75" s="204">
        <v>3012.457945205193</v>
      </c>
      <c r="C75" s="204">
        <v>3009.4661643832751</v>
      </c>
      <c r="D75" s="204">
        <v>2.991780821917807</v>
      </c>
      <c r="E75" s="204">
        <v>2398.9034054794033</v>
      </c>
      <c r="F75" s="204">
        <v>560.3855723013703</v>
      </c>
      <c r="G75" s="204">
        <v>64.83948493150686</v>
      </c>
      <c r="H75" s="204">
        <v>10.463561643835622</v>
      </c>
      <c r="I75" s="204">
        <v>2.8421917808219166</v>
      </c>
      <c r="J75" s="204">
        <v>87.069304109587819</v>
      </c>
      <c r="K75" s="204">
        <v>84.656876712328312</v>
      </c>
      <c r="L75" s="204">
        <v>84.656876712328312</v>
      </c>
      <c r="M75" s="204">
        <v>172.69075616438468</v>
      </c>
      <c r="N75" s="204">
        <v>172.69075616438468</v>
      </c>
      <c r="O75" s="204">
        <v>-0.51503399999999966</v>
      </c>
      <c r="P75" s="204">
        <v>0.52246686575342294</v>
      </c>
      <c r="Q75" s="204"/>
      <c r="R75" s="204">
        <v>3381.8585859889918</v>
      </c>
      <c r="S75" s="205">
        <v>1.1226243311949828</v>
      </c>
    </row>
    <row r="76" spans="1:19" x14ac:dyDescent="0.25">
      <c r="A76" s="156" t="s">
        <v>44</v>
      </c>
      <c r="B76" s="202">
        <v>98.336986301369805</v>
      </c>
      <c r="C76" s="202">
        <v>98.336986301369805</v>
      </c>
      <c r="D76" s="202"/>
      <c r="E76" s="202">
        <v>68.191000000000059</v>
      </c>
      <c r="F76" s="202">
        <v>19.961418082191788</v>
      </c>
      <c r="G76" s="202"/>
      <c r="H76" s="202">
        <v>0.79953424657534233</v>
      </c>
      <c r="I76" s="202"/>
      <c r="J76" s="202">
        <v>1.4986849315068487</v>
      </c>
      <c r="K76" s="202"/>
      <c r="L76" s="202"/>
      <c r="M76" s="202">
        <v>24.391068493150655</v>
      </c>
      <c r="N76" s="202">
        <v>24.391068493150655</v>
      </c>
      <c r="O76" s="202"/>
      <c r="P76" s="202"/>
      <c r="Q76" s="202"/>
      <c r="R76" s="202">
        <v>114.84170575342469</v>
      </c>
      <c r="S76" s="203">
        <v>1.1678383695985299</v>
      </c>
    </row>
    <row r="77" spans="1:19" x14ac:dyDescent="0.25">
      <c r="A77" s="155" t="s">
        <v>284</v>
      </c>
      <c r="B77" s="204">
        <v>98.336986301369677</v>
      </c>
      <c r="C77" s="204">
        <v>98.336986301369677</v>
      </c>
      <c r="D77" s="204"/>
      <c r="E77" s="204">
        <v>68.191000000000102</v>
      </c>
      <c r="F77" s="204">
        <v>19.961418082191805</v>
      </c>
      <c r="G77" s="204"/>
      <c r="H77" s="204">
        <v>0.79953424657534233</v>
      </c>
      <c r="I77" s="204"/>
      <c r="J77" s="204">
        <v>1.4986849315068491</v>
      </c>
      <c r="K77" s="204"/>
      <c r="L77" s="204"/>
      <c r="M77" s="204">
        <v>24.391068493150655</v>
      </c>
      <c r="N77" s="204">
        <v>24.391068493150655</v>
      </c>
      <c r="O77" s="204"/>
      <c r="P77" s="204"/>
      <c r="Q77" s="204"/>
      <c r="R77" s="204">
        <v>114.84170575342475</v>
      </c>
      <c r="S77" s="205">
        <v>1.1678383695985322</v>
      </c>
    </row>
    <row r="78" spans="1:19" x14ac:dyDescent="0.25">
      <c r="A78" s="156" t="s">
        <v>45</v>
      </c>
      <c r="B78" s="202">
        <v>102.32684931506859</v>
      </c>
      <c r="C78" s="202">
        <v>102.32684931506859</v>
      </c>
      <c r="D78" s="202"/>
      <c r="E78" s="202">
        <v>97.388797260274259</v>
      </c>
      <c r="F78" s="202">
        <v>0.30009698630136988</v>
      </c>
      <c r="G78" s="202"/>
      <c r="H78" s="202">
        <v>2.3289863013698628</v>
      </c>
      <c r="I78" s="202"/>
      <c r="J78" s="202">
        <v>2.3747999999999978</v>
      </c>
      <c r="K78" s="202">
        <v>4.0142465753424714</v>
      </c>
      <c r="L78" s="202">
        <v>4.0142465753424714</v>
      </c>
      <c r="M78" s="202">
        <v>21.829605479452034</v>
      </c>
      <c r="N78" s="202">
        <v>21.829605479452034</v>
      </c>
      <c r="O78" s="202"/>
      <c r="P78" s="202"/>
      <c r="Q78" s="202"/>
      <c r="R78" s="202">
        <v>128.23653260274</v>
      </c>
      <c r="S78" s="203">
        <v>1.25320513101986</v>
      </c>
    </row>
    <row r="79" spans="1:19" x14ac:dyDescent="0.25">
      <c r="A79" s="155" t="s">
        <v>283</v>
      </c>
      <c r="B79" s="204">
        <v>102.32684931506866</v>
      </c>
      <c r="C79" s="204">
        <v>102.32684931506866</v>
      </c>
      <c r="D79" s="204"/>
      <c r="E79" s="204">
        <v>97.38879726027433</v>
      </c>
      <c r="F79" s="204">
        <v>0.30009698630136988</v>
      </c>
      <c r="G79" s="204"/>
      <c r="H79" s="204">
        <v>2.3289863013698628</v>
      </c>
      <c r="I79" s="204"/>
      <c r="J79" s="204">
        <v>2.3747999999999974</v>
      </c>
      <c r="K79" s="204">
        <v>4.0142465753424705</v>
      </c>
      <c r="L79" s="204">
        <v>4.0142465753424705</v>
      </c>
      <c r="M79" s="204">
        <v>21.829605479452034</v>
      </c>
      <c r="N79" s="204">
        <v>21.829605479452034</v>
      </c>
      <c r="O79" s="204"/>
      <c r="P79" s="204"/>
      <c r="Q79" s="204"/>
      <c r="R79" s="204">
        <v>128.23653260274006</v>
      </c>
      <c r="S79" s="205">
        <v>1.2532051310198598</v>
      </c>
    </row>
    <row r="80" spans="1:19" x14ac:dyDescent="0.25">
      <c r="A80" s="156" t="s">
        <v>46</v>
      </c>
      <c r="B80" s="202">
        <v>68.21890410958909</v>
      </c>
      <c r="C80" s="202">
        <v>33.093424657534342</v>
      </c>
      <c r="D80" s="202">
        <v>35.125479452054748</v>
      </c>
      <c r="E80" s="202"/>
      <c r="F80" s="202">
        <v>29.853578383561675</v>
      </c>
      <c r="G80" s="202"/>
      <c r="H80" s="202"/>
      <c r="I80" s="202">
        <v>33.36920547945212</v>
      </c>
      <c r="J80" s="202"/>
      <c r="K80" s="202"/>
      <c r="L80" s="202"/>
      <c r="M80" s="202"/>
      <c r="N80" s="202"/>
      <c r="O80" s="202"/>
      <c r="P80" s="202"/>
      <c r="Q80" s="202"/>
      <c r="R80" s="202">
        <v>63.222783863013795</v>
      </c>
      <c r="S80" s="203">
        <v>0.92676340507391675</v>
      </c>
    </row>
    <row r="81" spans="1:19" x14ac:dyDescent="0.25">
      <c r="A81" s="155" t="s">
        <v>282</v>
      </c>
      <c r="B81" s="204">
        <v>68.218904109589218</v>
      </c>
      <c r="C81" s="204">
        <v>33.093424657534463</v>
      </c>
      <c r="D81" s="204">
        <v>35.125479452054755</v>
      </c>
      <c r="E81" s="204"/>
      <c r="F81" s="204">
        <v>29.85357838356181</v>
      </c>
      <c r="G81" s="204"/>
      <c r="H81" s="204"/>
      <c r="I81" s="204">
        <v>33.369205479452155</v>
      </c>
      <c r="J81" s="204"/>
      <c r="K81" s="204"/>
      <c r="L81" s="204"/>
      <c r="M81" s="204"/>
      <c r="N81" s="204"/>
      <c r="O81" s="204"/>
      <c r="P81" s="204"/>
      <c r="Q81" s="204"/>
      <c r="R81" s="204">
        <v>63.222783863013966</v>
      </c>
      <c r="S81" s="205">
        <v>0.92676340507391752</v>
      </c>
    </row>
    <row r="82" spans="1:19" x14ac:dyDescent="0.25">
      <c r="A82" s="156" t="s">
        <v>47</v>
      </c>
      <c r="B82" s="202">
        <v>9.5287671232876772</v>
      </c>
      <c r="C82" s="202">
        <v>9.5287671232876772</v>
      </c>
      <c r="D82" s="202"/>
      <c r="E82" s="202"/>
      <c r="F82" s="202">
        <v>6.2712320547945213</v>
      </c>
      <c r="G82" s="202"/>
      <c r="H82" s="202">
        <v>1.3606849315068494</v>
      </c>
      <c r="I82" s="202"/>
      <c r="J82" s="202">
        <v>0.21189041095890401</v>
      </c>
      <c r="K82" s="202"/>
      <c r="L82" s="202"/>
      <c r="M82" s="202"/>
      <c r="N82" s="202"/>
      <c r="O82" s="202"/>
      <c r="P82" s="202"/>
      <c r="Q82" s="202"/>
      <c r="R82" s="202">
        <v>7.8438073972602744</v>
      </c>
      <c r="S82" s="203">
        <v>0.82317127659574418</v>
      </c>
    </row>
    <row r="83" spans="1:19" x14ac:dyDescent="0.25">
      <c r="A83" s="155" t="s">
        <v>281</v>
      </c>
      <c r="B83" s="204">
        <v>9.5287671232876843</v>
      </c>
      <c r="C83" s="204">
        <v>9.5287671232876843</v>
      </c>
      <c r="D83" s="204"/>
      <c r="E83" s="204"/>
      <c r="F83" s="204">
        <v>6.2712320547945231</v>
      </c>
      <c r="G83" s="204"/>
      <c r="H83" s="204">
        <v>1.3606849315068494</v>
      </c>
      <c r="I83" s="204"/>
      <c r="J83" s="204">
        <v>0.21189041095890401</v>
      </c>
      <c r="K83" s="204"/>
      <c r="L83" s="204"/>
      <c r="M83" s="204"/>
      <c r="N83" s="204"/>
      <c r="O83" s="204"/>
      <c r="P83" s="204"/>
      <c r="Q83" s="204"/>
      <c r="R83" s="204">
        <v>7.8438073972602762</v>
      </c>
      <c r="S83" s="205">
        <v>0.82317127659574374</v>
      </c>
    </row>
    <row r="84" spans="1:19" x14ac:dyDescent="0.25">
      <c r="A84" s="156" t="s">
        <v>48</v>
      </c>
      <c r="B84" s="202">
        <v>84.361643835616803</v>
      </c>
      <c r="C84" s="202">
        <v>80.668493150685293</v>
      </c>
      <c r="D84" s="202">
        <v>3.6931506849315126</v>
      </c>
      <c r="E84" s="202">
        <v>86.315287671232809</v>
      </c>
      <c r="F84" s="202"/>
      <c r="G84" s="202"/>
      <c r="H84" s="202"/>
      <c r="I84" s="202">
        <v>3.5084931506849295</v>
      </c>
      <c r="J84" s="202">
        <v>0.13627397260273971</v>
      </c>
      <c r="K84" s="202"/>
      <c r="L84" s="202"/>
      <c r="M84" s="202"/>
      <c r="N84" s="202"/>
      <c r="O84" s="202"/>
      <c r="P84" s="202"/>
      <c r="Q84" s="202"/>
      <c r="R84" s="202">
        <v>89.960054794520474</v>
      </c>
      <c r="S84" s="203">
        <v>1.0663620420888487</v>
      </c>
    </row>
    <row r="85" spans="1:19" x14ac:dyDescent="0.25">
      <c r="A85" s="155" t="s">
        <v>279</v>
      </c>
      <c r="B85" s="204">
        <v>84.361643835617087</v>
      </c>
      <c r="C85" s="204">
        <v>80.668493150685578</v>
      </c>
      <c r="D85" s="204">
        <v>3.6931506849315126</v>
      </c>
      <c r="E85" s="204">
        <v>86.315287671232909</v>
      </c>
      <c r="F85" s="204"/>
      <c r="G85" s="204"/>
      <c r="H85" s="204"/>
      <c r="I85" s="204">
        <v>3.5084931506849291</v>
      </c>
      <c r="J85" s="204">
        <v>0.13627397260273971</v>
      </c>
      <c r="K85" s="204"/>
      <c r="L85" s="204"/>
      <c r="M85" s="204"/>
      <c r="N85" s="204"/>
      <c r="O85" s="204"/>
      <c r="P85" s="204"/>
      <c r="Q85" s="204"/>
      <c r="R85" s="204">
        <v>89.960054794520573</v>
      </c>
      <c r="S85" s="205">
        <v>1.0663620420888464</v>
      </c>
    </row>
    <row r="86" spans="1:19" x14ac:dyDescent="0.25">
      <c r="A86" s="156" t="s">
        <v>49</v>
      </c>
      <c r="B86" s="202">
        <v>2628.5709589040516</v>
      </c>
      <c r="C86" s="202">
        <v>2568.469589041038</v>
      </c>
      <c r="D86" s="202">
        <v>60.101369863013701</v>
      </c>
      <c r="E86" s="202">
        <v>2138.0752808218526</v>
      </c>
      <c r="F86" s="202">
        <v>422.05108269863013</v>
      </c>
      <c r="G86" s="202">
        <v>77.43035616438388</v>
      </c>
      <c r="H86" s="202">
        <v>67.464657534246555</v>
      </c>
      <c r="I86" s="202">
        <v>57.096301369863085</v>
      </c>
      <c r="J86" s="202">
        <v>72.121676712328338</v>
      </c>
      <c r="K86" s="202">
        <v>139.868712328767</v>
      </c>
      <c r="L86" s="202">
        <v>139.868712328767</v>
      </c>
      <c r="M86" s="202">
        <v>110.51506849315173</v>
      </c>
      <c r="N86" s="202">
        <v>110.51506849315173</v>
      </c>
      <c r="O86" s="202"/>
      <c r="P86" s="202">
        <v>1.1802571397260284</v>
      </c>
      <c r="Q86" s="202">
        <v>2.5056438356164388</v>
      </c>
      <c r="R86" s="202">
        <v>3088.3090370985656</v>
      </c>
      <c r="S86" s="203">
        <v>1.1749003870856869</v>
      </c>
    </row>
    <row r="87" spans="1:19" x14ac:dyDescent="0.25">
      <c r="A87" s="155" t="s">
        <v>278</v>
      </c>
      <c r="B87" s="204">
        <v>2628.570958903927</v>
      </c>
      <c r="C87" s="204">
        <v>2568.4695890409134</v>
      </c>
      <c r="D87" s="204">
        <v>60.101369863013552</v>
      </c>
      <c r="E87" s="204">
        <v>2138.075280821829</v>
      </c>
      <c r="F87" s="204">
        <v>422.05108269862461</v>
      </c>
      <c r="G87" s="204">
        <v>77.430356164384207</v>
      </c>
      <c r="H87" s="204">
        <v>67.464657534246555</v>
      </c>
      <c r="I87" s="204">
        <v>57.096301369863674</v>
      </c>
      <c r="J87" s="204">
        <v>72.121676712327499</v>
      </c>
      <c r="K87" s="204">
        <v>139.86871232876462</v>
      </c>
      <c r="L87" s="204">
        <v>139.86871232876462</v>
      </c>
      <c r="M87" s="204">
        <v>110.51506849315173</v>
      </c>
      <c r="N87" s="204">
        <v>110.51506849315173</v>
      </c>
      <c r="O87" s="204"/>
      <c r="P87" s="204">
        <v>1.1802571397260295</v>
      </c>
      <c r="Q87" s="204">
        <v>2.5056438356164388</v>
      </c>
      <c r="R87" s="204">
        <v>3088.3090370985346</v>
      </c>
      <c r="S87" s="205">
        <v>1.1749003870857309</v>
      </c>
    </row>
    <row r="88" spans="1:19" x14ac:dyDescent="0.25">
      <c r="A88" s="156" t="s">
        <v>50</v>
      </c>
      <c r="B88" s="202">
        <v>54.274246575342595</v>
      </c>
      <c r="C88" s="202">
        <v>54.274246575342595</v>
      </c>
      <c r="D88" s="202"/>
      <c r="E88" s="202">
        <v>79.240399999999838</v>
      </c>
      <c r="F88" s="202"/>
      <c r="G88" s="202"/>
      <c r="H88" s="202"/>
      <c r="I88" s="202"/>
      <c r="J88" s="202">
        <v>1.7537753424657549</v>
      </c>
      <c r="K88" s="202">
        <v>0.48219178082191777</v>
      </c>
      <c r="L88" s="202">
        <v>0.48219178082191777</v>
      </c>
      <c r="M88" s="202"/>
      <c r="N88" s="202"/>
      <c r="O88" s="202"/>
      <c r="P88" s="202"/>
      <c r="Q88" s="202"/>
      <c r="R88" s="202">
        <v>81.476367123287517</v>
      </c>
      <c r="S88" s="203">
        <v>1.5011975709360312</v>
      </c>
    </row>
    <row r="89" spans="1:19" x14ac:dyDescent="0.25">
      <c r="A89" s="155" t="s">
        <v>268</v>
      </c>
      <c r="B89" s="204">
        <v>54.274246575342566</v>
      </c>
      <c r="C89" s="204">
        <v>54.274246575342566</v>
      </c>
      <c r="D89" s="204"/>
      <c r="E89" s="204">
        <v>79.240399999999852</v>
      </c>
      <c r="F89" s="204"/>
      <c r="G89" s="204"/>
      <c r="H89" s="204"/>
      <c r="I89" s="204"/>
      <c r="J89" s="204">
        <v>1.7537753424657514</v>
      </c>
      <c r="K89" s="204">
        <v>0.48219178082191777</v>
      </c>
      <c r="L89" s="204">
        <v>0.48219178082191777</v>
      </c>
      <c r="M89" s="204"/>
      <c r="N89" s="204"/>
      <c r="O89" s="204"/>
      <c r="P89" s="204"/>
      <c r="Q89" s="204"/>
      <c r="R89" s="204">
        <v>81.476367123287531</v>
      </c>
      <c r="S89" s="205">
        <v>1.5011975709360323</v>
      </c>
    </row>
    <row r="90" spans="1:19" x14ac:dyDescent="0.25">
      <c r="A90" s="156" t="s">
        <v>51</v>
      </c>
      <c r="B90" s="202">
        <v>2870.3305479451246</v>
      </c>
      <c r="C90" s="202">
        <v>2849.2867123286865</v>
      </c>
      <c r="D90" s="202">
        <v>21.043835616438358</v>
      </c>
      <c r="E90" s="202">
        <v>2521.0032342465211</v>
      </c>
      <c r="F90" s="202">
        <v>408.24393961643904</v>
      </c>
      <c r="G90" s="202">
        <v>85.585183561644072</v>
      </c>
      <c r="H90" s="202">
        <v>21.602402739726042</v>
      </c>
      <c r="I90" s="202">
        <v>19.991643835616443</v>
      </c>
      <c r="J90" s="202">
        <v>87.397347945205325</v>
      </c>
      <c r="K90" s="202">
        <v>231.47362191780604</v>
      </c>
      <c r="L90" s="202">
        <v>231.47362191780604</v>
      </c>
      <c r="M90" s="202">
        <v>131.87201643835709</v>
      </c>
      <c r="N90" s="202">
        <v>131.87201643835709</v>
      </c>
      <c r="O90" s="202"/>
      <c r="P90" s="202">
        <v>1.3177040054794513</v>
      </c>
      <c r="Q90" s="202"/>
      <c r="R90" s="202">
        <v>3508.4870943067945</v>
      </c>
      <c r="S90" s="203">
        <v>1.2223285909765784</v>
      </c>
    </row>
    <row r="91" spans="1:19" x14ac:dyDescent="0.25">
      <c r="A91" s="155" t="s">
        <v>267</v>
      </c>
      <c r="B91" s="204">
        <v>2870.3305479449718</v>
      </c>
      <c r="C91" s="204">
        <v>2849.2867123285337</v>
      </c>
      <c r="D91" s="204">
        <v>21.043835616438379</v>
      </c>
      <c r="E91" s="204">
        <v>2521.0032342465024</v>
      </c>
      <c r="F91" s="204">
        <v>408.24393961643483</v>
      </c>
      <c r="G91" s="204">
        <v>85.585183561644371</v>
      </c>
      <c r="H91" s="204">
        <v>21.602402739726042</v>
      </c>
      <c r="I91" s="204">
        <v>19.991643835616465</v>
      </c>
      <c r="J91" s="204">
        <v>87.397347945204103</v>
      </c>
      <c r="K91" s="204">
        <v>231.47362191780618</v>
      </c>
      <c r="L91" s="204">
        <v>231.47362191780618</v>
      </c>
      <c r="M91" s="204">
        <v>131.87201643835709</v>
      </c>
      <c r="N91" s="204">
        <v>131.87201643835709</v>
      </c>
      <c r="O91" s="204"/>
      <c r="P91" s="204">
        <v>1.3177040054794567</v>
      </c>
      <c r="Q91" s="204"/>
      <c r="R91" s="204">
        <v>3508.4870943067713</v>
      </c>
      <c r="S91" s="205">
        <v>1.2223285909766355</v>
      </c>
    </row>
    <row r="92" spans="1:19" x14ac:dyDescent="0.25">
      <c r="A92" s="156" t="s">
        <v>52</v>
      </c>
      <c r="B92" s="202">
        <v>6628.2161643830714</v>
      </c>
      <c r="C92" s="202">
        <v>6627.8079452049888</v>
      </c>
      <c r="D92" s="202">
        <v>0.40821917808219177</v>
      </c>
      <c r="E92" s="202">
        <v>5478.4204027396881</v>
      </c>
      <c r="F92" s="202">
        <v>895.56485687672148</v>
      </c>
      <c r="G92" s="202">
        <v>169.06668493150698</v>
      </c>
      <c r="H92" s="202">
        <v>112.55712328767223</v>
      </c>
      <c r="I92" s="202">
        <v>0.38780821917808217</v>
      </c>
      <c r="J92" s="202">
        <v>169.68664931506854</v>
      </c>
      <c r="K92" s="202">
        <v>456.84797260274354</v>
      </c>
      <c r="L92" s="202">
        <v>456.84797260274354</v>
      </c>
      <c r="M92" s="202">
        <v>39.224268493150547</v>
      </c>
      <c r="N92" s="202">
        <v>39.224268493150547</v>
      </c>
      <c r="O92" s="202">
        <v>-0.30619829589041064</v>
      </c>
      <c r="P92" s="202">
        <v>1.3448250986301395</v>
      </c>
      <c r="Q92" s="202">
        <v>61.525391780822282</v>
      </c>
      <c r="R92" s="202">
        <v>7384.3197850492897</v>
      </c>
      <c r="S92" s="203">
        <v>1.1140734704352531</v>
      </c>
    </row>
    <row r="93" spans="1:19" x14ac:dyDescent="0.25">
      <c r="A93" s="155" t="s">
        <v>261</v>
      </c>
      <c r="B93" s="204">
        <v>6628.2161643834888</v>
      </c>
      <c r="C93" s="204">
        <v>6627.8079452054062</v>
      </c>
      <c r="D93" s="204">
        <v>0.40821917808219177</v>
      </c>
      <c r="E93" s="204">
        <v>5478.4204027396199</v>
      </c>
      <c r="F93" s="204">
        <v>895.56485687680401</v>
      </c>
      <c r="G93" s="204">
        <v>169.0666849315067</v>
      </c>
      <c r="H93" s="204">
        <v>112.55712328767223</v>
      </c>
      <c r="I93" s="204">
        <v>0.38780821917808217</v>
      </c>
      <c r="J93" s="204">
        <v>169.68664931506342</v>
      </c>
      <c r="K93" s="204">
        <v>456.84797260275417</v>
      </c>
      <c r="L93" s="204">
        <v>456.84797260275417</v>
      </c>
      <c r="M93" s="204">
        <v>39.224268493150547</v>
      </c>
      <c r="N93" s="204">
        <v>39.224268493150547</v>
      </c>
      <c r="O93" s="204">
        <v>-0.30619829589041064</v>
      </c>
      <c r="P93" s="204">
        <v>1.3448250986301415</v>
      </c>
      <c r="Q93" s="204">
        <v>61.525391780822282</v>
      </c>
      <c r="R93" s="204">
        <v>7384.3197850493107</v>
      </c>
      <c r="S93" s="205">
        <v>1.114073470435186</v>
      </c>
    </row>
    <row r="94" spans="1:19" x14ac:dyDescent="0.25">
      <c r="A94" s="156" t="s">
        <v>53</v>
      </c>
      <c r="B94" s="202">
        <v>334.71454794520378</v>
      </c>
      <c r="C94" s="202">
        <v>142.7197260273955</v>
      </c>
      <c r="D94" s="202">
        <v>191.99482191780828</v>
      </c>
      <c r="E94" s="202"/>
      <c r="F94" s="202">
        <v>103.52888926027396</v>
      </c>
      <c r="G94" s="202"/>
      <c r="H94" s="202"/>
      <c r="I94" s="202">
        <v>182.39508082191819</v>
      </c>
      <c r="J94" s="202"/>
      <c r="K94" s="202"/>
      <c r="L94" s="202"/>
      <c r="M94" s="202"/>
      <c r="N94" s="202"/>
      <c r="O94" s="202"/>
      <c r="P94" s="202"/>
      <c r="Q94" s="202"/>
      <c r="R94" s="202">
        <v>285.92397008219211</v>
      </c>
      <c r="S94" s="203">
        <v>0.8542322759421882</v>
      </c>
    </row>
    <row r="95" spans="1:19" x14ac:dyDescent="0.25">
      <c r="A95" s="155" t="s">
        <v>277</v>
      </c>
      <c r="B95" s="204">
        <v>334.71454794520287</v>
      </c>
      <c r="C95" s="204">
        <v>142.71972602739504</v>
      </c>
      <c r="D95" s="204">
        <v>191.99482191780783</v>
      </c>
      <c r="E95" s="204"/>
      <c r="F95" s="204">
        <v>103.52888926027423</v>
      </c>
      <c r="G95" s="204"/>
      <c r="H95" s="204"/>
      <c r="I95" s="204">
        <v>182.39508082191827</v>
      </c>
      <c r="J95" s="204"/>
      <c r="K95" s="204"/>
      <c r="L95" s="204"/>
      <c r="M95" s="204"/>
      <c r="N95" s="204"/>
      <c r="O95" s="204"/>
      <c r="P95" s="204"/>
      <c r="Q95" s="204"/>
      <c r="R95" s="204">
        <v>285.92397008219251</v>
      </c>
      <c r="S95" s="205">
        <v>0.85423227594219175</v>
      </c>
    </row>
    <row r="96" spans="1:19" x14ac:dyDescent="0.25">
      <c r="A96" s="156" t="s">
        <v>54</v>
      </c>
      <c r="B96" s="202">
        <v>748.07068493153645</v>
      </c>
      <c r="C96" s="202">
        <v>748.07068493153645</v>
      </c>
      <c r="D96" s="202"/>
      <c r="E96" s="202">
        <v>480.2082739726103</v>
      </c>
      <c r="F96" s="202"/>
      <c r="G96" s="202">
        <v>417.19992328767103</v>
      </c>
      <c r="H96" s="202"/>
      <c r="I96" s="202"/>
      <c r="J96" s="202">
        <v>36.928734246574905</v>
      </c>
      <c r="K96" s="202">
        <v>2875.937331506891</v>
      </c>
      <c r="L96" s="202">
        <v>2875.937331506891</v>
      </c>
      <c r="M96" s="202">
        <v>499.4381917808139</v>
      </c>
      <c r="N96" s="202">
        <v>499.4381917808139</v>
      </c>
      <c r="O96" s="202"/>
      <c r="P96" s="202"/>
      <c r="Q96" s="202"/>
      <c r="R96" s="202">
        <v>4309.7124547945614</v>
      </c>
      <c r="S96" s="203">
        <v>5.7611032508097644</v>
      </c>
    </row>
    <row r="97" spans="1:19" x14ac:dyDescent="0.25">
      <c r="A97" s="155" t="s">
        <v>276</v>
      </c>
      <c r="B97" s="204">
        <v>748.0706849315419</v>
      </c>
      <c r="C97" s="204">
        <v>748.0706849315419</v>
      </c>
      <c r="D97" s="204"/>
      <c r="E97" s="204">
        <v>480.2082739726103</v>
      </c>
      <c r="F97" s="204"/>
      <c r="G97" s="204">
        <v>417.19992328767103</v>
      </c>
      <c r="H97" s="204"/>
      <c r="I97" s="204"/>
      <c r="J97" s="204">
        <v>36.928734246574699</v>
      </c>
      <c r="K97" s="204">
        <v>2875.9373315068929</v>
      </c>
      <c r="L97" s="204">
        <v>2875.9373315068929</v>
      </c>
      <c r="M97" s="204">
        <v>499.43819178081395</v>
      </c>
      <c r="N97" s="204">
        <v>499.43819178081395</v>
      </c>
      <c r="O97" s="204"/>
      <c r="P97" s="204"/>
      <c r="Q97" s="204"/>
      <c r="R97" s="204">
        <v>4309.7124547945632</v>
      </c>
      <c r="S97" s="205">
        <v>5.7611032508097244</v>
      </c>
    </row>
    <row r="98" spans="1:19" x14ac:dyDescent="0.25">
      <c r="A98" s="156" t="s">
        <v>55</v>
      </c>
      <c r="B98" s="202">
        <v>1799.5865753424669</v>
      </c>
      <c r="C98" s="202">
        <v>1799.5865753424669</v>
      </c>
      <c r="D98" s="202"/>
      <c r="E98" s="202">
        <v>1477.3684657534318</v>
      </c>
      <c r="F98" s="202">
        <v>166.04022279452121</v>
      </c>
      <c r="G98" s="202">
        <v>47.516383561643984</v>
      </c>
      <c r="H98" s="202">
        <v>29.945616438356115</v>
      </c>
      <c r="I98" s="202"/>
      <c r="J98" s="202">
        <v>24.75943561643831</v>
      </c>
      <c r="K98" s="202">
        <v>125.93032876712232</v>
      </c>
      <c r="L98" s="202">
        <v>125.93032876712232</v>
      </c>
      <c r="M98" s="202">
        <v>83.806356164383558</v>
      </c>
      <c r="N98" s="202">
        <v>83.806356164383558</v>
      </c>
      <c r="O98" s="202"/>
      <c r="P98" s="202">
        <v>4.5789632876712401E-2</v>
      </c>
      <c r="Q98" s="202"/>
      <c r="R98" s="202">
        <v>1955.4125987287741</v>
      </c>
      <c r="S98" s="203">
        <v>1.0865899009924838</v>
      </c>
    </row>
    <row r="99" spans="1:19" x14ac:dyDescent="0.25">
      <c r="A99" s="155" t="s">
        <v>275</v>
      </c>
      <c r="B99" s="204">
        <v>1799.5865753422868</v>
      </c>
      <c r="C99" s="204">
        <v>1799.5865753422868</v>
      </c>
      <c r="D99" s="204"/>
      <c r="E99" s="204">
        <v>1477.3684657534075</v>
      </c>
      <c r="F99" s="204">
        <v>166.04022279452207</v>
      </c>
      <c r="G99" s="204">
        <v>47.516383561643927</v>
      </c>
      <c r="H99" s="204">
        <v>29.945616438356115</v>
      </c>
      <c r="I99" s="204"/>
      <c r="J99" s="204">
        <v>24.759435616438289</v>
      </c>
      <c r="K99" s="204">
        <v>125.93032876712061</v>
      </c>
      <c r="L99" s="204">
        <v>125.93032876712061</v>
      </c>
      <c r="M99" s="204">
        <v>83.806356164383558</v>
      </c>
      <c r="N99" s="204">
        <v>83.806356164383558</v>
      </c>
      <c r="O99" s="204"/>
      <c r="P99" s="204">
        <v>4.5789632876712401E-2</v>
      </c>
      <c r="Q99" s="204"/>
      <c r="R99" s="204">
        <v>1955.4125987287491</v>
      </c>
      <c r="S99" s="205">
        <v>1.0865899009925786</v>
      </c>
    </row>
    <row r="100" spans="1:19" x14ac:dyDescent="0.25">
      <c r="A100" s="156" t="s">
        <v>56</v>
      </c>
      <c r="B100" s="202">
        <v>36.270136986301345</v>
      </c>
      <c r="C100" s="202">
        <v>36.270136986301345</v>
      </c>
      <c r="D100" s="202"/>
      <c r="E100" s="202">
        <v>0.48101369863013699</v>
      </c>
      <c r="F100" s="202">
        <v>29.436130684931555</v>
      </c>
      <c r="G100" s="202"/>
      <c r="H100" s="202"/>
      <c r="I100" s="202"/>
      <c r="J100" s="202">
        <v>5.4246575342465762E-2</v>
      </c>
      <c r="K100" s="202">
        <v>0.19999999999999998</v>
      </c>
      <c r="L100" s="202">
        <v>0.19999999999999998</v>
      </c>
      <c r="M100" s="202"/>
      <c r="N100" s="202"/>
      <c r="O100" s="202"/>
      <c r="P100" s="202"/>
      <c r="Q100" s="202"/>
      <c r="R100" s="202">
        <v>30.171390958904155</v>
      </c>
      <c r="S100" s="203">
        <v>0.83185213693291016</v>
      </c>
    </row>
    <row r="101" spans="1:19" x14ac:dyDescent="0.25">
      <c r="A101" s="155" t="s">
        <v>274</v>
      </c>
      <c r="B101" s="204">
        <v>36.270136986301388</v>
      </c>
      <c r="C101" s="204">
        <v>36.270136986301388</v>
      </c>
      <c r="D101" s="204"/>
      <c r="E101" s="204">
        <v>0.48101369863013699</v>
      </c>
      <c r="F101" s="204">
        <v>29.436130684931662</v>
      </c>
      <c r="G101" s="204"/>
      <c r="H101" s="204"/>
      <c r="I101" s="204"/>
      <c r="J101" s="204">
        <v>5.4246575342465762E-2</v>
      </c>
      <c r="K101" s="204">
        <v>0.19999999999999998</v>
      </c>
      <c r="L101" s="204">
        <v>0.19999999999999998</v>
      </c>
      <c r="M101" s="204"/>
      <c r="N101" s="204"/>
      <c r="O101" s="204"/>
      <c r="P101" s="204"/>
      <c r="Q101" s="204"/>
      <c r="R101" s="204">
        <v>30.171390958904261</v>
      </c>
      <c r="S101" s="205">
        <v>0.83185213693291205</v>
      </c>
    </row>
    <row r="102" spans="1:19" x14ac:dyDescent="0.25">
      <c r="A102" s="156" t="s">
        <v>491</v>
      </c>
      <c r="B102" s="202">
        <v>320.43232876712051</v>
      </c>
      <c r="C102" s="202">
        <v>320.43232876712051</v>
      </c>
      <c r="D102" s="202"/>
      <c r="E102" s="202">
        <v>324.46709041096216</v>
      </c>
      <c r="F102" s="202">
        <v>70.78413452054798</v>
      </c>
      <c r="G102" s="202"/>
      <c r="H102" s="202"/>
      <c r="I102" s="202"/>
      <c r="J102" s="202">
        <v>9.18410958904113</v>
      </c>
      <c r="K102" s="202">
        <v>4.0917808219178129</v>
      </c>
      <c r="L102" s="202">
        <v>4.0917808219178129</v>
      </c>
      <c r="M102" s="202">
        <v>78.715095890410637</v>
      </c>
      <c r="N102" s="202">
        <v>78.715095890410637</v>
      </c>
      <c r="O102" s="202"/>
      <c r="P102" s="202"/>
      <c r="Q102" s="202"/>
      <c r="R102" s="202">
        <v>487.24221123287975</v>
      </c>
      <c r="S102" s="203">
        <v>1.5205775681485343</v>
      </c>
    </row>
    <row r="103" spans="1:19" x14ac:dyDescent="0.25">
      <c r="A103" s="155" t="s">
        <v>489</v>
      </c>
      <c r="B103" s="204">
        <v>320.43232876711971</v>
      </c>
      <c r="C103" s="204">
        <v>320.43232876711971</v>
      </c>
      <c r="D103" s="204"/>
      <c r="E103" s="204">
        <v>324.46709041096199</v>
      </c>
      <c r="F103" s="204">
        <v>70.784134520548719</v>
      </c>
      <c r="G103" s="204"/>
      <c r="H103" s="204"/>
      <c r="I103" s="204"/>
      <c r="J103" s="204">
        <v>9.1841095890411157</v>
      </c>
      <c r="K103" s="204">
        <v>4.0917808219178164</v>
      </c>
      <c r="L103" s="204">
        <v>4.0917808219178164</v>
      </c>
      <c r="M103" s="204">
        <v>78.715095890410637</v>
      </c>
      <c r="N103" s="204">
        <v>78.715095890410637</v>
      </c>
      <c r="O103" s="204"/>
      <c r="P103" s="204"/>
      <c r="Q103" s="204"/>
      <c r="R103" s="204">
        <v>487.24221123288027</v>
      </c>
      <c r="S103" s="205">
        <v>1.5205775681485398</v>
      </c>
    </row>
    <row r="104" spans="1:19" x14ac:dyDescent="0.25">
      <c r="A104" s="156" t="s">
        <v>129</v>
      </c>
      <c r="B104" s="202">
        <v>33.895890410958899</v>
      </c>
      <c r="C104" s="202">
        <v>33.895890410958899</v>
      </c>
      <c r="D104" s="202"/>
      <c r="E104" s="202"/>
      <c r="F104" s="202">
        <v>24.588078904109587</v>
      </c>
      <c r="G104" s="202"/>
      <c r="H104" s="202"/>
      <c r="I104" s="202"/>
      <c r="J104" s="202">
        <v>5.8684931506849315E-2</v>
      </c>
      <c r="K104" s="202"/>
      <c r="L104" s="202"/>
      <c r="M104" s="202"/>
      <c r="N104" s="202"/>
      <c r="O104" s="202"/>
      <c r="P104" s="202"/>
      <c r="Q104" s="202"/>
      <c r="R104" s="202">
        <v>24.646763835616436</v>
      </c>
      <c r="S104" s="203">
        <v>0.72713132880698361</v>
      </c>
    </row>
    <row r="105" spans="1:19" x14ac:dyDescent="0.25">
      <c r="A105" s="155" t="s">
        <v>273</v>
      </c>
      <c r="B105" s="204">
        <v>33.895890410959005</v>
      </c>
      <c r="C105" s="204">
        <v>33.895890410959005</v>
      </c>
      <c r="D105" s="204"/>
      <c r="E105" s="204"/>
      <c r="F105" s="204">
        <v>24.588078904109704</v>
      </c>
      <c r="G105" s="204"/>
      <c r="H105" s="204"/>
      <c r="I105" s="204"/>
      <c r="J105" s="204">
        <v>5.8684931506849315E-2</v>
      </c>
      <c r="K105" s="204"/>
      <c r="L105" s="204"/>
      <c r="M105" s="204"/>
      <c r="N105" s="204"/>
      <c r="O105" s="204"/>
      <c r="P105" s="204"/>
      <c r="Q105" s="204"/>
      <c r="R105" s="204">
        <v>24.646763835616554</v>
      </c>
      <c r="S105" s="205">
        <v>0.72713132880698472</v>
      </c>
    </row>
    <row r="106" spans="1:19" x14ac:dyDescent="0.25">
      <c r="A106" s="156" t="s">
        <v>57</v>
      </c>
      <c r="B106" s="202">
        <v>128.0638356164383</v>
      </c>
      <c r="C106" s="202">
        <v>128.0638356164383</v>
      </c>
      <c r="D106" s="202"/>
      <c r="E106" s="202">
        <v>124.17940000000006</v>
      </c>
      <c r="F106" s="202"/>
      <c r="G106" s="202"/>
      <c r="H106" s="202">
        <v>6.7506849315068493E-2</v>
      </c>
      <c r="I106" s="202"/>
      <c r="J106" s="202">
        <v>2.2882191780821897</v>
      </c>
      <c r="K106" s="202">
        <v>4.5287671232876781</v>
      </c>
      <c r="L106" s="202">
        <v>4.5287671232876781</v>
      </c>
      <c r="M106" s="202">
        <v>20.469342465753417</v>
      </c>
      <c r="N106" s="202">
        <v>20.469342465753417</v>
      </c>
      <c r="O106" s="202"/>
      <c r="P106" s="202"/>
      <c r="Q106" s="202"/>
      <c r="R106" s="202">
        <v>151.53323561643842</v>
      </c>
      <c r="S106" s="203">
        <v>1.1832632912096503</v>
      </c>
    </row>
    <row r="107" spans="1:19" x14ac:dyDescent="0.25">
      <c r="A107" s="155" t="s">
        <v>272</v>
      </c>
      <c r="B107" s="204">
        <v>128.0638356164385</v>
      </c>
      <c r="C107" s="204">
        <v>128.0638356164385</v>
      </c>
      <c r="D107" s="204"/>
      <c r="E107" s="204">
        <v>124.17940000000006</v>
      </c>
      <c r="F107" s="204"/>
      <c r="G107" s="204"/>
      <c r="H107" s="204">
        <v>6.7506849315068493E-2</v>
      </c>
      <c r="I107" s="204"/>
      <c r="J107" s="204">
        <v>2.2882191780821874</v>
      </c>
      <c r="K107" s="204">
        <v>4.5287671232876781</v>
      </c>
      <c r="L107" s="204">
        <v>4.5287671232876781</v>
      </c>
      <c r="M107" s="204">
        <v>20.469342465753417</v>
      </c>
      <c r="N107" s="204">
        <v>20.469342465753417</v>
      </c>
      <c r="O107" s="204"/>
      <c r="P107" s="204"/>
      <c r="Q107" s="204"/>
      <c r="R107" s="204">
        <v>151.53323561643842</v>
      </c>
      <c r="S107" s="205">
        <v>1.1832632912096486</v>
      </c>
    </row>
    <row r="108" spans="1:19" x14ac:dyDescent="0.25">
      <c r="A108" s="156" t="s">
        <v>58</v>
      </c>
      <c r="B108" s="202">
        <v>2862.954246575352</v>
      </c>
      <c r="C108" s="202">
        <v>2825.7049315068589</v>
      </c>
      <c r="D108" s="202">
        <v>37.249315068493175</v>
      </c>
      <c r="E108" s="202">
        <v>2059.3999315068154</v>
      </c>
      <c r="F108" s="202">
        <v>525.38198515068575</v>
      </c>
      <c r="G108" s="202">
        <v>117.62224657534274</v>
      </c>
      <c r="H108" s="202">
        <v>11.351698630136983</v>
      </c>
      <c r="I108" s="202">
        <v>35.386849315068517</v>
      </c>
      <c r="J108" s="202">
        <v>67.542575342465739</v>
      </c>
      <c r="K108" s="202">
        <v>226.10794520547762</v>
      </c>
      <c r="L108" s="202">
        <v>226.10794520547762</v>
      </c>
      <c r="M108" s="202">
        <v>24.658027397260227</v>
      </c>
      <c r="N108" s="202">
        <v>24.658027397260227</v>
      </c>
      <c r="O108" s="202"/>
      <c r="P108" s="202">
        <v>0.33161710684931472</v>
      </c>
      <c r="Q108" s="202"/>
      <c r="R108" s="202">
        <v>3067.7828762301024</v>
      </c>
      <c r="S108" s="203">
        <v>1.0715444998465362</v>
      </c>
    </row>
    <row r="109" spans="1:19" x14ac:dyDescent="0.25">
      <c r="A109" s="155" t="s">
        <v>271</v>
      </c>
      <c r="B109" s="204">
        <v>2862.9542465752484</v>
      </c>
      <c r="C109" s="204">
        <v>2825.7049315067552</v>
      </c>
      <c r="D109" s="204">
        <v>37.249315068493267</v>
      </c>
      <c r="E109" s="204">
        <v>2059.3999315067786</v>
      </c>
      <c r="F109" s="204">
        <v>525.38198515068677</v>
      </c>
      <c r="G109" s="204">
        <v>117.62224657534333</v>
      </c>
      <c r="H109" s="204">
        <v>11.351698630136983</v>
      </c>
      <c r="I109" s="204">
        <v>35.386849315068595</v>
      </c>
      <c r="J109" s="204">
        <v>67.54257534246517</v>
      </c>
      <c r="K109" s="204">
        <v>226.10794520548023</v>
      </c>
      <c r="L109" s="204">
        <v>226.10794520548023</v>
      </c>
      <c r="M109" s="204">
        <v>24.658027397260227</v>
      </c>
      <c r="N109" s="204">
        <v>24.658027397260227</v>
      </c>
      <c r="O109" s="204"/>
      <c r="P109" s="204">
        <v>0.33161710684931422</v>
      </c>
      <c r="Q109" s="204"/>
      <c r="R109" s="204">
        <v>3067.7828762300696</v>
      </c>
      <c r="S109" s="205">
        <v>1.0715444998465635</v>
      </c>
    </row>
    <row r="110" spans="1:19" x14ac:dyDescent="0.25">
      <c r="A110" s="156" t="s">
        <v>59</v>
      </c>
      <c r="B110" s="202">
        <v>6328.8598630133802</v>
      </c>
      <c r="C110" s="202">
        <v>6285.6584931503667</v>
      </c>
      <c r="D110" s="202">
        <v>43.201369863013504</v>
      </c>
      <c r="E110" s="202">
        <v>4843.9484830136616</v>
      </c>
      <c r="F110" s="202">
        <v>1047.2406902712428</v>
      </c>
      <c r="G110" s="202">
        <v>235.48751780821846</v>
      </c>
      <c r="H110" s="202">
        <v>67.055397260274034</v>
      </c>
      <c r="I110" s="202">
        <v>41.041301369862872</v>
      </c>
      <c r="J110" s="202">
        <v>160.09250301369994</v>
      </c>
      <c r="K110" s="202">
        <v>403.31302465753339</v>
      </c>
      <c r="L110" s="202">
        <v>403.31302465753339</v>
      </c>
      <c r="M110" s="202">
        <v>28.063726027397237</v>
      </c>
      <c r="N110" s="202">
        <v>28.063726027397237</v>
      </c>
      <c r="O110" s="202">
        <v>-3.7736986301370001E-3</v>
      </c>
      <c r="P110" s="202">
        <v>0.6258512712328772</v>
      </c>
      <c r="Q110" s="202"/>
      <c r="R110" s="202">
        <v>6826.864720994492</v>
      </c>
      <c r="S110" s="203">
        <v>1.0786879262237283</v>
      </c>
    </row>
    <row r="111" spans="1:19" x14ac:dyDescent="0.25">
      <c r="A111" s="155" t="s">
        <v>270</v>
      </c>
      <c r="B111" s="204">
        <v>6328.8598630138049</v>
      </c>
      <c r="C111" s="204">
        <v>6285.6584931507905</v>
      </c>
      <c r="D111" s="204">
        <v>43.201369863014428</v>
      </c>
      <c r="E111" s="204">
        <v>4843.9484830135343</v>
      </c>
      <c r="F111" s="204">
        <v>1047.2406902713012</v>
      </c>
      <c r="G111" s="204">
        <v>235.48751780821635</v>
      </c>
      <c r="H111" s="204">
        <v>67.055397260274034</v>
      </c>
      <c r="I111" s="204">
        <v>41.041301369863575</v>
      </c>
      <c r="J111" s="204">
        <v>160.09250301369823</v>
      </c>
      <c r="K111" s="204">
        <v>403.31302465753549</v>
      </c>
      <c r="L111" s="204">
        <v>403.31302465753549</v>
      </c>
      <c r="M111" s="204">
        <v>28.063726027397237</v>
      </c>
      <c r="N111" s="204">
        <v>28.063726027397237</v>
      </c>
      <c r="O111" s="204">
        <v>-3.7736986301370001E-3</v>
      </c>
      <c r="P111" s="204">
        <v>0.62585127123287654</v>
      </c>
      <c r="Q111" s="204"/>
      <c r="R111" s="204">
        <v>6826.8647209944229</v>
      </c>
      <c r="S111" s="205">
        <v>1.0786879262236451</v>
      </c>
    </row>
    <row r="112" spans="1:19" x14ac:dyDescent="0.25">
      <c r="A112" s="156" t="s">
        <v>469</v>
      </c>
      <c r="B112" s="202">
        <v>1065.932465753433</v>
      </c>
      <c r="C112" s="202">
        <v>1065.8732876712413</v>
      </c>
      <c r="D112" s="202">
        <v>5.917808219178082E-2</v>
      </c>
      <c r="E112" s="202">
        <v>1025.2603575342482</v>
      </c>
      <c r="F112" s="202">
        <v>110.17228438356186</v>
      </c>
      <c r="G112" s="202">
        <v>50.661358904109669</v>
      </c>
      <c r="H112" s="202">
        <v>0.23205479452054795</v>
      </c>
      <c r="I112" s="202">
        <v>5.6219178082191783E-2</v>
      </c>
      <c r="J112" s="202">
        <v>37.52359726027403</v>
      </c>
      <c r="K112" s="202">
        <v>75.313547945205485</v>
      </c>
      <c r="L112" s="202">
        <v>75.313547945205485</v>
      </c>
      <c r="M112" s="202">
        <v>22.269008219178069</v>
      </c>
      <c r="N112" s="202">
        <v>22.269008219178069</v>
      </c>
      <c r="O112" s="202"/>
      <c r="P112" s="202">
        <v>1.7175767424657533</v>
      </c>
      <c r="Q112" s="202"/>
      <c r="R112" s="202">
        <v>1323.2060049616459</v>
      </c>
      <c r="S112" s="203">
        <v>1.2413600743705318</v>
      </c>
    </row>
    <row r="113" spans="1:19" x14ac:dyDescent="0.25">
      <c r="A113" s="155" t="s">
        <v>230</v>
      </c>
      <c r="B113" s="204">
        <v>1065.9324657534553</v>
      </c>
      <c r="C113" s="204">
        <v>1065.8732876712636</v>
      </c>
      <c r="D113" s="204">
        <v>5.9178082191780827E-2</v>
      </c>
      <c r="E113" s="204">
        <v>1025.2603575342478</v>
      </c>
      <c r="F113" s="204">
        <v>110.1722843835621</v>
      </c>
      <c r="G113" s="204">
        <v>50.661358904109591</v>
      </c>
      <c r="H113" s="204">
        <v>0.23205479452054795</v>
      </c>
      <c r="I113" s="204">
        <v>5.6219178082191783E-2</v>
      </c>
      <c r="J113" s="204">
        <v>37.523597260273824</v>
      </c>
      <c r="K113" s="204">
        <v>75.313547945204419</v>
      </c>
      <c r="L113" s="204">
        <v>75.313547945204419</v>
      </c>
      <c r="M113" s="204">
        <v>22.269008219178069</v>
      </c>
      <c r="N113" s="204">
        <v>22.269008219178069</v>
      </c>
      <c r="O113" s="204"/>
      <c r="P113" s="204">
        <v>1.7175767424657604</v>
      </c>
      <c r="Q113" s="204"/>
      <c r="R113" s="204">
        <v>1323.2060049616443</v>
      </c>
      <c r="S113" s="205">
        <v>1.2413600743705044</v>
      </c>
    </row>
    <row r="114" spans="1:19" x14ac:dyDescent="0.25">
      <c r="A114" s="156" t="s">
        <v>438</v>
      </c>
      <c r="B114" s="202">
        <v>7059.3101917807926</v>
      </c>
      <c r="C114" s="202">
        <v>7026.6143013698338</v>
      </c>
      <c r="D114" s="202">
        <v>32.695890410958896</v>
      </c>
      <c r="E114" s="202">
        <v>6546.3532339725798</v>
      </c>
      <c r="F114" s="202">
        <v>528.29542290411553</v>
      </c>
      <c r="G114" s="202">
        <v>267.18578082191704</v>
      </c>
      <c r="H114" s="202">
        <v>22.832504109588953</v>
      </c>
      <c r="I114" s="202">
        <v>31.061095890410947</v>
      </c>
      <c r="J114" s="202">
        <v>263.44326082191924</v>
      </c>
      <c r="K114" s="202">
        <v>456.8589150684931</v>
      </c>
      <c r="L114" s="202">
        <v>456.8589150684931</v>
      </c>
      <c r="M114" s="202">
        <v>136.9966684931521</v>
      </c>
      <c r="N114" s="202">
        <v>136.9966684931521</v>
      </c>
      <c r="O114" s="202">
        <v>-0.25619639999999971</v>
      </c>
      <c r="P114" s="202">
        <v>4.0789353082191795</v>
      </c>
      <c r="Q114" s="202"/>
      <c r="R114" s="202">
        <v>8256.8496209903951</v>
      </c>
      <c r="S114" s="203">
        <v>1.169639723524815</v>
      </c>
    </row>
    <row r="115" spans="1:19" x14ac:dyDescent="0.25">
      <c r="A115" s="155" t="s">
        <v>244</v>
      </c>
      <c r="B115" s="204">
        <v>7059.3101917811036</v>
      </c>
      <c r="C115" s="204">
        <v>7026.6143013701449</v>
      </c>
      <c r="D115" s="204">
        <v>32.695890410959031</v>
      </c>
      <c r="E115" s="204">
        <v>6546.353233972518</v>
      </c>
      <c r="F115" s="204">
        <v>528.29542290411212</v>
      </c>
      <c r="G115" s="204">
        <v>267.18578082191738</v>
      </c>
      <c r="H115" s="204">
        <v>22.832504109588953</v>
      </c>
      <c r="I115" s="204">
        <v>31.061095890410883</v>
      </c>
      <c r="J115" s="204">
        <v>263.44326082191787</v>
      </c>
      <c r="K115" s="204">
        <v>456.85891506850186</v>
      </c>
      <c r="L115" s="204">
        <v>456.85891506850186</v>
      </c>
      <c r="M115" s="204">
        <v>136.9966684931521</v>
      </c>
      <c r="N115" s="204">
        <v>136.9966684931521</v>
      </c>
      <c r="O115" s="204">
        <v>-0.25619639999999971</v>
      </c>
      <c r="P115" s="204">
        <v>4.0789353082191893</v>
      </c>
      <c r="Q115" s="204"/>
      <c r="R115" s="204">
        <v>8256.8496209903387</v>
      </c>
      <c r="S115" s="205">
        <v>1.1696397235247555</v>
      </c>
    </row>
    <row r="116" spans="1:19" x14ac:dyDescent="0.25">
      <c r="A116" s="156" t="s">
        <v>60</v>
      </c>
      <c r="B116" s="202">
        <v>2330.1392328766715</v>
      </c>
      <c r="C116" s="202">
        <v>2330.1392328766715</v>
      </c>
      <c r="D116" s="202"/>
      <c r="E116" s="202">
        <v>1908.8356205479324</v>
      </c>
      <c r="F116" s="202">
        <v>290.24439049315095</v>
      </c>
      <c r="G116" s="202">
        <v>96.97612054794547</v>
      </c>
      <c r="H116" s="202">
        <v>30.027890410958861</v>
      </c>
      <c r="I116" s="202"/>
      <c r="J116" s="202">
        <v>70.66306849315076</v>
      </c>
      <c r="K116" s="202">
        <v>144.53813698630071</v>
      </c>
      <c r="L116" s="202">
        <v>144.53813698630071</v>
      </c>
      <c r="M116" s="202">
        <v>33.445972602739623</v>
      </c>
      <c r="N116" s="202">
        <v>33.445972602739623</v>
      </c>
      <c r="O116" s="202"/>
      <c r="P116" s="202">
        <v>0.27670532054794583</v>
      </c>
      <c r="Q116" s="202">
        <v>9.1671145205479316</v>
      </c>
      <c r="R116" s="202">
        <v>2584.1750199232738</v>
      </c>
      <c r="S116" s="203">
        <v>1.1090217200166974</v>
      </c>
    </row>
    <row r="117" spans="1:19" x14ac:dyDescent="0.25">
      <c r="A117" s="155" t="s">
        <v>269</v>
      </c>
      <c r="B117" s="204">
        <v>2330.1392328766328</v>
      </c>
      <c r="C117" s="204">
        <v>2330.1392328766328</v>
      </c>
      <c r="D117" s="204"/>
      <c r="E117" s="204">
        <v>1908.8356205478967</v>
      </c>
      <c r="F117" s="204">
        <v>290.244390493151</v>
      </c>
      <c r="G117" s="204">
        <v>96.976120547946095</v>
      </c>
      <c r="H117" s="204">
        <v>30.027890410958861</v>
      </c>
      <c r="I117" s="204"/>
      <c r="J117" s="204">
        <v>70.663068493149865</v>
      </c>
      <c r="K117" s="204">
        <v>144.53813698629898</v>
      </c>
      <c r="L117" s="204">
        <v>144.53813698629898</v>
      </c>
      <c r="M117" s="204">
        <v>33.445972602739623</v>
      </c>
      <c r="N117" s="204">
        <v>33.445972602739623</v>
      </c>
      <c r="O117" s="204"/>
      <c r="P117" s="204">
        <v>0.27670532054794572</v>
      </c>
      <c r="Q117" s="204">
        <v>9.1671145205479316</v>
      </c>
      <c r="R117" s="204">
        <v>2584.1750199232365</v>
      </c>
      <c r="S117" s="205">
        <v>1.1090217200166996</v>
      </c>
    </row>
    <row r="118" spans="1:19" x14ac:dyDescent="0.25">
      <c r="A118" s="156" t="s">
        <v>473</v>
      </c>
      <c r="B118" s="202">
        <v>2486.5708219178164</v>
      </c>
      <c r="C118" s="202">
        <v>2486.5708219178164</v>
      </c>
      <c r="D118" s="202"/>
      <c r="E118" s="202">
        <v>1998.3859602739499</v>
      </c>
      <c r="F118" s="202">
        <v>361.2921965753427</v>
      </c>
      <c r="G118" s="202">
        <v>88.074920547945339</v>
      </c>
      <c r="H118" s="202">
        <v>3.3289315068493148</v>
      </c>
      <c r="I118" s="202"/>
      <c r="J118" s="202">
        <v>71.585194520547972</v>
      </c>
      <c r="K118" s="202">
        <v>124.62090958904064</v>
      </c>
      <c r="L118" s="202">
        <v>124.62090958904064</v>
      </c>
      <c r="M118" s="202"/>
      <c r="N118" s="202"/>
      <c r="O118" s="202"/>
      <c r="P118" s="202">
        <v>0.61386726575342376</v>
      </c>
      <c r="Q118" s="202"/>
      <c r="R118" s="202">
        <v>2647.9019802794292</v>
      </c>
      <c r="S118" s="203">
        <v>1.0648809826527212</v>
      </c>
    </row>
    <row r="119" spans="1:19" x14ac:dyDescent="0.25">
      <c r="A119" s="155" t="s">
        <v>472</v>
      </c>
      <c r="B119" s="204">
        <v>2486.5708219176518</v>
      </c>
      <c r="C119" s="204">
        <v>2486.5708219176518</v>
      </c>
      <c r="D119" s="204"/>
      <c r="E119" s="204">
        <v>1998.3859602739187</v>
      </c>
      <c r="F119" s="204">
        <v>361.29219657534424</v>
      </c>
      <c r="G119" s="204">
        <v>88.074920547945595</v>
      </c>
      <c r="H119" s="204">
        <v>3.3289315068493148</v>
      </c>
      <c r="I119" s="204"/>
      <c r="J119" s="204">
        <v>71.585194520546565</v>
      </c>
      <c r="K119" s="204">
        <v>124.62090958903751</v>
      </c>
      <c r="L119" s="204">
        <v>124.62090958903751</v>
      </c>
      <c r="M119" s="204"/>
      <c r="N119" s="204"/>
      <c r="O119" s="204"/>
      <c r="P119" s="204">
        <v>0.61386726575342232</v>
      </c>
      <c r="Q119" s="204"/>
      <c r="R119" s="204">
        <v>2647.9019802793955</v>
      </c>
      <c r="S119" s="205">
        <v>1.0648809826527783</v>
      </c>
    </row>
    <row r="120" spans="1:19" x14ac:dyDescent="0.25">
      <c r="A120" s="156" t="s">
        <v>61</v>
      </c>
      <c r="B120" s="202">
        <v>77.54041095890399</v>
      </c>
      <c r="C120" s="202">
        <v>77.54041095890399</v>
      </c>
      <c r="D120" s="202"/>
      <c r="E120" s="202">
        <v>10.505397260273986</v>
      </c>
      <c r="F120" s="202">
        <v>60.989903219178323</v>
      </c>
      <c r="G120" s="202"/>
      <c r="H120" s="202"/>
      <c r="I120" s="202"/>
      <c r="J120" s="202">
        <v>5.4575342465753421E-2</v>
      </c>
      <c r="K120" s="202"/>
      <c r="L120" s="202"/>
      <c r="M120" s="202"/>
      <c r="N120" s="202"/>
      <c r="O120" s="202"/>
      <c r="P120" s="202">
        <v>1.1641890328767106</v>
      </c>
      <c r="Q120" s="202"/>
      <c r="R120" s="202">
        <v>72.714064854794771</v>
      </c>
      <c r="S120" s="203">
        <v>0.93775702186222409</v>
      </c>
    </row>
    <row r="121" spans="1:19" x14ac:dyDescent="0.25">
      <c r="A121" s="155" t="s">
        <v>265</v>
      </c>
      <c r="B121" s="204">
        <v>77.540410958903678</v>
      </c>
      <c r="C121" s="204">
        <v>77.540410958903678</v>
      </c>
      <c r="D121" s="204"/>
      <c r="E121" s="204">
        <v>10.505397260273988</v>
      </c>
      <c r="F121" s="204">
        <v>60.989903219178757</v>
      </c>
      <c r="G121" s="204"/>
      <c r="H121" s="204"/>
      <c r="I121" s="204"/>
      <c r="J121" s="204">
        <v>5.4575342465753421E-2</v>
      </c>
      <c r="K121" s="204"/>
      <c r="L121" s="204"/>
      <c r="M121" s="204"/>
      <c r="N121" s="204"/>
      <c r="O121" s="204"/>
      <c r="P121" s="204">
        <v>1.1641890328767135</v>
      </c>
      <c r="Q121" s="204"/>
      <c r="R121" s="204">
        <v>72.714064854795211</v>
      </c>
      <c r="S121" s="205">
        <v>0.93775702186223353</v>
      </c>
    </row>
    <row r="122" spans="1:19" x14ac:dyDescent="0.25">
      <c r="A122" s="156" t="s">
        <v>62</v>
      </c>
      <c r="B122" s="202">
        <v>39.633972602739718</v>
      </c>
      <c r="C122" s="202">
        <v>39.633972602739718</v>
      </c>
      <c r="D122" s="202"/>
      <c r="E122" s="202">
        <v>57.573345205479484</v>
      </c>
      <c r="F122" s="202"/>
      <c r="G122" s="202"/>
      <c r="H122" s="202"/>
      <c r="I122" s="202"/>
      <c r="J122" s="202">
        <v>0.47059726027397264</v>
      </c>
      <c r="K122" s="202">
        <v>1.1767123287671228</v>
      </c>
      <c r="L122" s="202">
        <v>1.1767123287671228</v>
      </c>
      <c r="M122" s="202"/>
      <c r="N122" s="202"/>
      <c r="O122" s="202"/>
      <c r="P122" s="202"/>
      <c r="Q122" s="202"/>
      <c r="R122" s="202">
        <v>59.220654794520577</v>
      </c>
      <c r="S122" s="203">
        <v>1.4941892246861703</v>
      </c>
    </row>
    <row r="123" spans="1:19" x14ac:dyDescent="0.25">
      <c r="A123" s="155" t="s">
        <v>264</v>
      </c>
      <c r="B123" s="204">
        <v>39.633972602739711</v>
      </c>
      <c r="C123" s="204">
        <v>39.633972602739711</v>
      </c>
      <c r="D123" s="204"/>
      <c r="E123" s="204">
        <v>57.573345205479498</v>
      </c>
      <c r="F123" s="204"/>
      <c r="G123" s="204"/>
      <c r="H123" s="204"/>
      <c r="I123" s="204"/>
      <c r="J123" s="204">
        <v>0.47059726027397314</v>
      </c>
      <c r="K123" s="204">
        <v>1.1767123287671228</v>
      </c>
      <c r="L123" s="204">
        <v>1.1767123287671228</v>
      </c>
      <c r="M123" s="204"/>
      <c r="N123" s="204"/>
      <c r="O123" s="204"/>
      <c r="P123" s="204"/>
      <c r="Q123" s="204"/>
      <c r="R123" s="204">
        <v>59.220654794520598</v>
      </c>
      <c r="S123" s="205">
        <v>1.4941892246861712</v>
      </c>
    </row>
    <row r="124" spans="1:19" x14ac:dyDescent="0.25">
      <c r="A124" s="156" t="s">
        <v>359</v>
      </c>
      <c r="B124" s="202">
        <v>103.95178082191778</v>
      </c>
      <c r="C124" s="202">
        <v>103.95178082191778</v>
      </c>
      <c r="D124" s="202"/>
      <c r="E124" s="202">
        <v>95.507528767123375</v>
      </c>
      <c r="F124" s="202">
        <v>3.9827441095890412</v>
      </c>
      <c r="G124" s="202"/>
      <c r="H124" s="202"/>
      <c r="I124" s="202"/>
      <c r="J124" s="202">
        <v>2.1845589041095868</v>
      </c>
      <c r="K124" s="202">
        <v>10.621369863013699</v>
      </c>
      <c r="L124" s="202">
        <v>10.621369863013699</v>
      </c>
      <c r="M124" s="202"/>
      <c r="N124" s="202"/>
      <c r="O124" s="202"/>
      <c r="P124" s="202"/>
      <c r="Q124" s="202"/>
      <c r="R124" s="202">
        <v>112.2962016438357</v>
      </c>
      <c r="S124" s="203">
        <v>1.0802720333979938</v>
      </c>
    </row>
    <row r="125" spans="1:19" x14ac:dyDescent="0.25">
      <c r="A125" s="155" t="s">
        <v>263</v>
      </c>
      <c r="B125" s="204">
        <v>103.95178082191771</v>
      </c>
      <c r="C125" s="204">
        <v>103.95178082191771</v>
      </c>
      <c r="D125" s="204"/>
      <c r="E125" s="204">
        <v>95.507528767123617</v>
      </c>
      <c r="F125" s="204">
        <v>3.9827441095890426</v>
      </c>
      <c r="G125" s="204"/>
      <c r="H125" s="204"/>
      <c r="I125" s="204"/>
      <c r="J125" s="204">
        <v>2.1845589041095863</v>
      </c>
      <c r="K125" s="204">
        <v>10.621369863013728</v>
      </c>
      <c r="L125" s="204">
        <v>10.621369863013728</v>
      </c>
      <c r="M125" s="204"/>
      <c r="N125" s="204"/>
      <c r="O125" s="204"/>
      <c r="P125" s="204"/>
      <c r="Q125" s="204"/>
      <c r="R125" s="204">
        <v>112.29620164383599</v>
      </c>
      <c r="S125" s="205">
        <v>1.0802720333979974</v>
      </c>
    </row>
    <row r="126" spans="1:19" x14ac:dyDescent="0.25">
      <c r="A126" s="156" t="s">
        <v>64</v>
      </c>
      <c r="B126" s="202">
        <v>155.37342465753409</v>
      </c>
      <c r="C126" s="202">
        <v>144.91041095890395</v>
      </c>
      <c r="D126" s="202">
        <v>10.463013698630135</v>
      </c>
      <c r="E126" s="202">
        <v>107.79319999999987</v>
      </c>
      <c r="F126" s="202">
        <v>51.561034520547928</v>
      </c>
      <c r="G126" s="202"/>
      <c r="H126" s="202"/>
      <c r="I126" s="202">
        <v>9.9398630136986323</v>
      </c>
      <c r="J126" s="202">
        <v>2.4085150684931502</v>
      </c>
      <c r="K126" s="202"/>
      <c r="L126" s="202"/>
      <c r="M126" s="202">
        <v>33.190164383561665</v>
      </c>
      <c r="N126" s="202">
        <v>33.190164383561665</v>
      </c>
      <c r="O126" s="202"/>
      <c r="P126" s="202"/>
      <c r="Q126" s="202"/>
      <c r="R126" s="202">
        <v>204.89277698630127</v>
      </c>
      <c r="S126" s="203">
        <v>1.3187118546039334</v>
      </c>
    </row>
    <row r="127" spans="1:19" x14ac:dyDescent="0.25">
      <c r="A127" s="155" t="s">
        <v>262</v>
      </c>
      <c r="B127" s="204">
        <v>155.37342465753306</v>
      </c>
      <c r="C127" s="204">
        <v>144.91041095890296</v>
      </c>
      <c r="D127" s="204">
        <v>10.463013698630119</v>
      </c>
      <c r="E127" s="204">
        <v>107.7932</v>
      </c>
      <c r="F127" s="204">
        <v>51.561034520548759</v>
      </c>
      <c r="G127" s="204"/>
      <c r="H127" s="204"/>
      <c r="I127" s="204">
        <v>9.9398630136986394</v>
      </c>
      <c r="J127" s="204">
        <v>2.4085150684931538</v>
      </c>
      <c r="K127" s="204"/>
      <c r="L127" s="204"/>
      <c r="M127" s="204">
        <v>33.190164383561665</v>
      </c>
      <c r="N127" s="204">
        <v>33.190164383561665</v>
      </c>
      <c r="O127" s="204"/>
      <c r="P127" s="204"/>
      <c r="Q127" s="204"/>
      <c r="R127" s="204">
        <v>204.89277698630221</v>
      </c>
      <c r="S127" s="205">
        <v>1.318711854603948</v>
      </c>
    </row>
    <row r="128" spans="1:19" x14ac:dyDescent="0.25">
      <c r="A128" s="156" t="s">
        <v>144</v>
      </c>
      <c r="B128" s="202">
        <v>28.435616438356213</v>
      </c>
      <c r="C128" s="202">
        <v>28.435616438356213</v>
      </c>
      <c r="D128" s="202"/>
      <c r="E128" s="202"/>
      <c r="F128" s="202">
        <v>28.296281917808241</v>
      </c>
      <c r="G128" s="202"/>
      <c r="H128" s="202"/>
      <c r="I128" s="202"/>
      <c r="J128" s="202">
        <v>9.2054794520547933E-2</v>
      </c>
      <c r="K128" s="202"/>
      <c r="L128" s="202"/>
      <c r="M128" s="202"/>
      <c r="N128" s="202"/>
      <c r="O128" s="202"/>
      <c r="P128" s="202"/>
      <c r="Q128" s="202"/>
      <c r="R128" s="202">
        <v>28.388336712328787</v>
      </c>
      <c r="S128" s="203">
        <v>0.99833730609885241</v>
      </c>
    </row>
    <row r="129" spans="1:19" x14ac:dyDescent="0.25">
      <c r="A129" s="155" t="s">
        <v>260</v>
      </c>
      <c r="B129" s="204">
        <v>28.435616438356245</v>
      </c>
      <c r="C129" s="204">
        <v>28.435616438356245</v>
      </c>
      <c r="D129" s="204"/>
      <c r="E129" s="204"/>
      <c r="F129" s="204">
        <v>28.296281917808241</v>
      </c>
      <c r="G129" s="204"/>
      <c r="H129" s="204"/>
      <c r="I129" s="204"/>
      <c r="J129" s="204">
        <v>9.2054794520547933E-2</v>
      </c>
      <c r="K129" s="204"/>
      <c r="L129" s="204"/>
      <c r="M129" s="204"/>
      <c r="N129" s="204"/>
      <c r="O129" s="204"/>
      <c r="P129" s="204"/>
      <c r="Q129" s="204"/>
      <c r="R129" s="204">
        <v>28.388336712328787</v>
      </c>
      <c r="S129" s="205">
        <v>0.9983373060988513</v>
      </c>
    </row>
    <row r="130" spans="1:19" x14ac:dyDescent="0.25">
      <c r="A130" s="156" t="s">
        <v>65</v>
      </c>
      <c r="B130" s="202">
        <v>37.093150684931508</v>
      </c>
      <c r="C130" s="202">
        <v>37.093150684931508</v>
      </c>
      <c r="D130" s="202"/>
      <c r="E130" s="202"/>
      <c r="F130" s="202">
        <v>26.471137808219197</v>
      </c>
      <c r="G130" s="202"/>
      <c r="H130" s="202">
        <v>0.92610958904109597</v>
      </c>
      <c r="I130" s="202"/>
      <c r="J130" s="202">
        <v>2.3013698630136987E-2</v>
      </c>
      <c r="K130" s="202"/>
      <c r="L130" s="202"/>
      <c r="M130" s="202"/>
      <c r="N130" s="202"/>
      <c r="O130" s="202"/>
      <c r="P130" s="202"/>
      <c r="Q130" s="202"/>
      <c r="R130" s="202">
        <v>27.420261095890432</v>
      </c>
      <c r="S130" s="203">
        <v>0.73922706994608223</v>
      </c>
    </row>
    <row r="131" spans="1:19" x14ac:dyDescent="0.25">
      <c r="A131" s="155" t="s">
        <v>299</v>
      </c>
      <c r="B131" s="204">
        <v>37.093150684931679</v>
      </c>
      <c r="C131" s="204">
        <v>37.093150684931679</v>
      </c>
      <c r="D131" s="204"/>
      <c r="E131" s="204"/>
      <c r="F131" s="204">
        <v>26.471137808219325</v>
      </c>
      <c r="G131" s="204"/>
      <c r="H131" s="204">
        <v>0.92610958904109597</v>
      </c>
      <c r="I131" s="204"/>
      <c r="J131" s="204">
        <v>2.3013698630136987E-2</v>
      </c>
      <c r="K131" s="204"/>
      <c r="L131" s="204"/>
      <c r="M131" s="204"/>
      <c r="N131" s="204"/>
      <c r="O131" s="204"/>
      <c r="P131" s="204"/>
      <c r="Q131" s="204"/>
      <c r="R131" s="204">
        <v>27.420261095890559</v>
      </c>
      <c r="S131" s="205">
        <v>0.73922706994608223</v>
      </c>
    </row>
    <row r="132" spans="1:19" x14ac:dyDescent="0.25">
      <c r="A132" s="156" t="s">
        <v>66</v>
      </c>
      <c r="B132" s="202">
        <v>28.539726027397275</v>
      </c>
      <c r="C132" s="202">
        <v>28.539726027397275</v>
      </c>
      <c r="D132" s="202"/>
      <c r="E132" s="202"/>
      <c r="F132" s="202">
        <v>20.390695890410978</v>
      </c>
      <c r="G132" s="202"/>
      <c r="H132" s="202">
        <v>0.66241095890410961</v>
      </c>
      <c r="I132" s="202"/>
      <c r="J132" s="202">
        <v>0.11819178082191777</v>
      </c>
      <c r="K132" s="202"/>
      <c r="L132" s="202"/>
      <c r="M132" s="202"/>
      <c r="N132" s="202"/>
      <c r="O132" s="202"/>
      <c r="P132" s="202"/>
      <c r="Q132" s="202"/>
      <c r="R132" s="202">
        <v>21.171298630137006</v>
      </c>
      <c r="S132" s="203">
        <v>0.74181856580589445</v>
      </c>
    </row>
    <row r="133" spans="1:19" x14ac:dyDescent="0.25">
      <c r="A133" s="155" t="s">
        <v>259</v>
      </c>
      <c r="B133" s="204">
        <v>28.539726027397325</v>
      </c>
      <c r="C133" s="204">
        <v>28.539726027397325</v>
      </c>
      <c r="D133" s="204"/>
      <c r="E133" s="204"/>
      <c r="F133" s="204">
        <v>20.390695890411024</v>
      </c>
      <c r="G133" s="204"/>
      <c r="H133" s="204">
        <v>0.66241095890410961</v>
      </c>
      <c r="I133" s="204"/>
      <c r="J133" s="204">
        <v>0.11819178082191777</v>
      </c>
      <c r="K133" s="204"/>
      <c r="L133" s="204"/>
      <c r="M133" s="204"/>
      <c r="N133" s="204"/>
      <c r="O133" s="204"/>
      <c r="P133" s="204"/>
      <c r="Q133" s="204"/>
      <c r="R133" s="204">
        <v>21.171298630137052</v>
      </c>
      <c r="S133" s="205">
        <v>0.74181856580589478</v>
      </c>
    </row>
    <row r="134" spans="1:19" x14ac:dyDescent="0.25">
      <c r="A134" s="156" t="s">
        <v>67</v>
      </c>
      <c r="B134" s="202">
        <v>44.250410958904084</v>
      </c>
      <c r="C134" s="202">
        <v>44.250410958904084</v>
      </c>
      <c r="D134" s="202"/>
      <c r="E134" s="202">
        <v>63.071430136986308</v>
      </c>
      <c r="F134" s="202"/>
      <c r="G134" s="202"/>
      <c r="H134" s="202"/>
      <c r="I134" s="202"/>
      <c r="J134" s="202">
        <v>0.39041095890410948</v>
      </c>
      <c r="K134" s="202"/>
      <c r="L134" s="202"/>
      <c r="M134" s="202"/>
      <c r="N134" s="202"/>
      <c r="O134" s="202"/>
      <c r="P134" s="202"/>
      <c r="Q134" s="202"/>
      <c r="R134" s="202">
        <v>63.461841095890421</v>
      </c>
      <c r="S134" s="203">
        <v>1.4341525812003924</v>
      </c>
    </row>
    <row r="135" spans="1:19" x14ac:dyDescent="0.25">
      <c r="A135" s="155" t="s">
        <v>258</v>
      </c>
      <c r="B135" s="204">
        <v>44.25041095890402</v>
      </c>
      <c r="C135" s="204">
        <v>44.25041095890402</v>
      </c>
      <c r="D135" s="204"/>
      <c r="E135" s="204">
        <v>63.071430136986315</v>
      </c>
      <c r="F135" s="204"/>
      <c r="G135" s="204"/>
      <c r="H135" s="204"/>
      <c r="I135" s="204"/>
      <c r="J135" s="204">
        <v>0.39041095890411004</v>
      </c>
      <c r="K135" s="204"/>
      <c r="L135" s="204"/>
      <c r="M135" s="204"/>
      <c r="N135" s="204"/>
      <c r="O135" s="204"/>
      <c r="P135" s="204"/>
      <c r="Q135" s="204"/>
      <c r="R135" s="204">
        <v>63.461841095890428</v>
      </c>
      <c r="S135" s="205">
        <v>1.4341525812003946</v>
      </c>
    </row>
    <row r="136" spans="1:19" x14ac:dyDescent="0.25">
      <c r="A136" s="156" t="s">
        <v>468</v>
      </c>
      <c r="B136" s="202">
        <v>1086.8608219178464</v>
      </c>
      <c r="C136" s="202">
        <v>1086.8608219178464</v>
      </c>
      <c r="D136" s="202"/>
      <c r="E136" s="202">
        <v>537.71830136987364</v>
      </c>
      <c r="F136" s="202">
        <v>28.799373698630145</v>
      </c>
      <c r="G136" s="202">
        <v>768.12752876713671</v>
      </c>
      <c r="H136" s="202">
        <v>7.244328767123295</v>
      </c>
      <c r="I136" s="202"/>
      <c r="J136" s="202">
        <v>46.117545205478955</v>
      </c>
      <c r="K136" s="202">
        <v>4237.4318849315441</v>
      </c>
      <c r="L136" s="202">
        <v>4237.4318849315441</v>
      </c>
      <c r="M136" s="202">
        <v>94.657232876712527</v>
      </c>
      <c r="N136" s="202">
        <v>94.657232876712527</v>
      </c>
      <c r="O136" s="202"/>
      <c r="P136" s="202"/>
      <c r="Q136" s="202"/>
      <c r="R136" s="202">
        <v>5720.0961956164992</v>
      </c>
      <c r="S136" s="203">
        <v>5.2629518704363329</v>
      </c>
    </row>
    <row r="137" spans="1:19" x14ac:dyDescent="0.25">
      <c r="A137" s="155" t="s">
        <v>296</v>
      </c>
      <c r="B137" s="204">
        <v>1086.8608219178504</v>
      </c>
      <c r="C137" s="204">
        <v>1086.8608219178504</v>
      </c>
      <c r="D137" s="204"/>
      <c r="E137" s="204">
        <v>537.71830136987364</v>
      </c>
      <c r="F137" s="204">
        <v>28.799373698630145</v>
      </c>
      <c r="G137" s="204">
        <v>768.12752876713671</v>
      </c>
      <c r="H137" s="204">
        <v>7.244328767123295</v>
      </c>
      <c r="I137" s="204"/>
      <c r="J137" s="204">
        <v>46.117545205478962</v>
      </c>
      <c r="K137" s="204">
        <v>4237.4318849315578</v>
      </c>
      <c r="L137" s="204">
        <v>4237.4318849315578</v>
      </c>
      <c r="M137" s="204">
        <v>94.657232876712555</v>
      </c>
      <c r="N137" s="204">
        <v>94.657232876712555</v>
      </c>
      <c r="O137" s="204"/>
      <c r="P137" s="204"/>
      <c r="Q137" s="204"/>
      <c r="R137" s="204">
        <v>5720.0961956165129</v>
      </c>
      <c r="S137" s="205">
        <v>5.262951870436325</v>
      </c>
    </row>
    <row r="138" spans="1:19" x14ac:dyDescent="0.25">
      <c r="A138" s="156" t="s">
        <v>68</v>
      </c>
      <c r="B138" s="202">
        <v>1300.4889863013948</v>
      </c>
      <c r="C138" s="202">
        <v>1294.7810410959153</v>
      </c>
      <c r="D138" s="202">
        <v>5.7079452054794526</v>
      </c>
      <c r="E138" s="202">
        <v>978.61829972602129</v>
      </c>
      <c r="F138" s="202">
        <v>239.29957652054853</v>
      </c>
      <c r="G138" s="202">
        <v>45.541808219178115</v>
      </c>
      <c r="H138" s="202">
        <v>3.4470684931506845</v>
      </c>
      <c r="I138" s="202">
        <v>5.4225479452054799</v>
      </c>
      <c r="J138" s="202">
        <v>35.097172602739732</v>
      </c>
      <c r="K138" s="202">
        <v>68.028328767123284</v>
      </c>
      <c r="L138" s="202">
        <v>68.028328767123284</v>
      </c>
      <c r="M138" s="202">
        <v>16.992838356164359</v>
      </c>
      <c r="N138" s="202">
        <v>16.992838356164359</v>
      </c>
      <c r="O138" s="202"/>
      <c r="P138" s="202">
        <v>0.66578236273972546</v>
      </c>
      <c r="Q138" s="202"/>
      <c r="R138" s="202">
        <v>1393.1134229928712</v>
      </c>
      <c r="S138" s="203">
        <v>1.0712227767148581</v>
      </c>
    </row>
    <row r="139" spans="1:19" x14ac:dyDescent="0.25">
      <c r="A139" s="155" t="s">
        <v>257</v>
      </c>
      <c r="B139" s="204">
        <v>1300.4889863014307</v>
      </c>
      <c r="C139" s="204">
        <v>1294.7810410959512</v>
      </c>
      <c r="D139" s="204">
        <v>5.7079452054794579</v>
      </c>
      <c r="E139" s="204">
        <v>978.61829972603118</v>
      </c>
      <c r="F139" s="204">
        <v>239.29957652054821</v>
      </c>
      <c r="G139" s="204">
        <v>45.541808219178051</v>
      </c>
      <c r="H139" s="204">
        <v>3.4470684931506845</v>
      </c>
      <c r="I139" s="204">
        <v>5.4225479452054763</v>
      </c>
      <c r="J139" s="204">
        <v>35.097172602739775</v>
      </c>
      <c r="K139" s="204">
        <v>68.028328767123213</v>
      </c>
      <c r="L139" s="204">
        <v>68.028328767123213</v>
      </c>
      <c r="M139" s="204">
        <v>16.992838356164359</v>
      </c>
      <c r="N139" s="204">
        <v>16.992838356164359</v>
      </c>
      <c r="O139" s="204"/>
      <c r="P139" s="204">
        <v>0.66578236273972458</v>
      </c>
      <c r="Q139" s="204"/>
      <c r="R139" s="204">
        <v>1393.1134229928809</v>
      </c>
      <c r="S139" s="205">
        <v>1.0712227767148359</v>
      </c>
    </row>
    <row r="140" spans="1:19" x14ac:dyDescent="0.25">
      <c r="A140" s="156" t="s">
        <v>69</v>
      </c>
      <c r="B140" s="202">
        <v>1766.0375342465763</v>
      </c>
      <c r="C140" s="202">
        <v>1764.9772602739736</v>
      </c>
      <c r="D140" s="202">
        <v>1.0602739726027397</v>
      </c>
      <c r="E140" s="202">
        <v>1434.0107986301243</v>
      </c>
      <c r="F140" s="202">
        <v>223.51607260274065</v>
      </c>
      <c r="G140" s="202">
        <v>132.7484219178084</v>
      </c>
      <c r="H140" s="202">
        <v>22.969205479452018</v>
      </c>
      <c r="I140" s="202">
        <v>1.0072602739726026</v>
      </c>
      <c r="J140" s="202">
        <v>46.981775342465475</v>
      </c>
      <c r="K140" s="202">
        <v>115.67797260273953</v>
      </c>
      <c r="L140" s="202">
        <v>115.67797260273953</v>
      </c>
      <c r="M140" s="202">
        <v>11.255671232876717</v>
      </c>
      <c r="N140" s="202">
        <v>11.255671232876717</v>
      </c>
      <c r="O140" s="202"/>
      <c r="P140" s="202">
        <v>0.18130684931506902</v>
      </c>
      <c r="Q140" s="202"/>
      <c r="R140" s="202">
        <v>1988.3484849314948</v>
      </c>
      <c r="S140" s="203">
        <v>1.1258812150783422</v>
      </c>
    </row>
    <row r="141" spans="1:19" x14ac:dyDescent="0.25">
      <c r="A141" s="155" t="s">
        <v>255</v>
      </c>
      <c r="B141" s="204">
        <v>1766.0375342465388</v>
      </c>
      <c r="C141" s="204">
        <v>1764.9772602739361</v>
      </c>
      <c r="D141" s="204">
        <v>1.0602739726027397</v>
      </c>
      <c r="E141" s="204">
        <v>1434.0107986301014</v>
      </c>
      <c r="F141" s="204">
        <v>223.51607260274059</v>
      </c>
      <c r="G141" s="204">
        <v>132.74842191780883</v>
      </c>
      <c r="H141" s="204">
        <v>22.969205479452018</v>
      </c>
      <c r="I141" s="204">
        <v>1.0072602739726026</v>
      </c>
      <c r="J141" s="204">
        <v>46.981775342464516</v>
      </c>
      <c r="K141" s="204">
        <v>115.67797260273746</v>
      </c>
      <c r="L141" s="204">
        <v>115.67797260273746</v>
      </c>
      <c r="M141" s="204">
        <v>11.255671232876717</v>
      </c>
      <c r="N141" s="204">
        <v>11.255671232876717</v>
      </c>
      <c r="O141" s="204"/>
      <c r="P141" s="204">
        <v>0.18130684931506899</v>
      </c>
      <c r="Q141" s="204"/>
      <c r="R141" s="204">
        <v>1988.3484849314693</v>
      </c>
      <c r="S141" s="205">
        <v>1.1258812150783517</v>
      </c>
    </row>
    <row r="142" spans="1:19" x14ac:dyDescent="0.25">
      <c r="A142" s="156" t="s">
        <v>70</v>
      </c>
      <c r="B142" s="202">
        <v>2682.8517808218562</v>
      </c>
      <c r="C142" s="202">
        <v>2682.8517808218562</v>
      </c>
      <c r="D142" s="202"/>
      <c r="E142" s="202">
        <v>2167.7839315067963</v>
      </c>
      <c r="F142" s="202">
        <v>336.58668542465875</v>
      </c>
      <c r="G142" s="202">
        <v>104.01961643835652</v>
      </c>
      <c r="H142" s="202">
        <v>86.393578082192192</v>
      </c>
      <c r="I142" s="202"/>
      <c r="J142" s="202">
        <v>84.242547945205487</v>
      </c>
      <c r="K142" s="202">
        <v>205.21038356164189</v>
      </c>
      <c r="L142" s="202">
        <v>205.21038356164189</v>
      </c>
      <c r="M142" s="202">
        <v>27.414246575342361</v>
      </c>
      <c r="N142" s="202">
        <v>27.414246575342361</v>
      </c>
      <c r="O142" s="202"/>
      <c r="P142" s="202">
        <v>1.4888785315068491</v>
      </c>
      <c r="Q142" s="202"/>
      <c r="R142" s="202">
        <v>3013.1398680657003</v>
      </c>
      <c r="S142" s="203">
        <v>1.1231108217028167</v>
      </c>
    </row>
    <row r="143" spans="1:19" x14ac:dyDescent="0.25">
      <c r="A143" s="155" t="s">
        <v>254</v>
      </c>
      <c r="B143" s="204">
        <v>2682.8517808217794</v>
      </c>
      <c r="C143" s="204">
        <v>2682.8517808217794</v>
      </c>
      <c r="D143" s="204"/>
      <c r="E143" s="204">
        <v>2167.7839315067536</v>
      </c>
      <c r="F143" s="204">
        <v>336.58668542465921</v>
      </c>
      <c r="G143" s="204">
        <v>104.01961643835673</v>
      </c>
      <c r="H143" s="204">
        <v>86.393578082192192</v>
      </c>
      <c r="I143" s="204"/>
      <c r="J143" s="204">
        <v>84.242547945204521</v>
      </c>
      <c r="K143" s="204">
        <v>205.21038356164456</v>
      </c>
      <c r="L143" s="204">
        <v>205.21038356164456</v>
      </c>
      <c r="M143" s="204">
        <v>27.414246575342361</v>
      </c>
      <c r="N143" s="204">
        <v>27.414246575342361</v>
      </c>
      <c r="O143" s="204"/>
      <c r="P143" s="204">
        <v>1.488878531506854</v>
      </c>
      <c r="Q143" s="204"/>
      <c r="R143" s="204">
        <v>3013.1398680656603</v>
      </c>
      <c r="S143" s="205">
        <v>1.1231108217028341</v>
      </c>
    </row>
    <row r="144" spans="1:19" x14ac:dyDescent="0.25">
      <c r="A144" s="156" t="s">
        <v>71</v>
      </c>
      <c r="B144" s="202">
        <v>4688.4611232876996</v>
      </c>
      <c r="C144" s="202">
        <v>4687.4063287671515</v>
      </c>
      <c r="D144" s="202">
        <v>1.054794520547945</v>
      </c>
      <c r="E144" s="202">
        <v>3357.3836591780082</v>
      </c>
      <c r="F144" s="202">
        <v>1023.4224656219401</v>
      </c>
      <c r="G144" s="202">
        <v>165.06521643835609</v>
      </c>
      <c r="H144" s="202">
        <v>17.144630136986311</v>
      </c>
      <c r="I144" s="202">
        <v>1.0020547945205478</v>
      </c>
      <c r="J144" s="202">
        <v>128.11335616438387</v>
      </c>
      <c r="K144" s="202">
        <v>286.72630684931073</v>
      </c>
      <c r="L144" s="202">
        <v>286.72630684931073</v>
      </c>
      <c r="M144" s="202">
        <v>27.709397260273921</v>
      </c>
      <c r="N144" s="202">
        <v>27.709397260273921</v>
      </c>
      <c r="O144" s="202"/>
      <c r="P144" s="202">
        <v>4.5098726301369929</v>
      </c>
      <c r="Q144" s="202"/>
      <c r="R144" s="202">
        <v>5011.0769590739164</v>
      </c>
      <c r="S144" s="203">
        <v>1.0688106027335442</v>
      </c>
    </row>
    <row r="145" spans="1:19" x14ac:dyDescent="0.25">
      <c r="A145" s="155" t="s">
        <v>253</v>
      </c>
      <c r="B145" s="204">
        <v>4688.461123288268</v>
      </c>
      <c r="C145" s="204">
        <v>4687.40632876772</v>
      </c>
      <c r="D145" s="204">
        <v>1.054794520547945</v>
      </c>
      <c r="E145" s="204">
        <v>3357.3836591779877</v>
      </c>
      <c r="F145" s="204">
        <v>1023.4224656220262</v>
      </c>
      <c r="G145" s="204">
        <v>165.06521643835589</v>
      </c>
      <c r="H145" s="204">
        <v>17.144630136986311</v>
      </c>
      <c r="I145" s="204">
        <v>1.0020547945205478</v>
      </c>
      <c r="J145" s="204">
        <v>128.11335616438151</v>
      </c>
      <c r="K145" s="204">
        <v>286.72630684931579</v>
      </c>
      <c r="L145" s="204">
        <v>286.72630684931579</v>
      </c>
      <c r="M145" s="204">
        <v>27.709397260273921</v>
      </c>
      <c r="N145" s="204">
        <v>27.709397260273921</v>
      </c>
      <c r="O145" s="204"/>
      <c r="P145" s="204">
        <v>4.5098726301369885</v>
      </c>
      <c r="Q145" s="204"/>
      <c r="R145" s="204">
        <v>5011.0769590739847</v>
      </c>
      <c r="S145" s="205">
        <v>1.0688106027334292</v>
      </c>
    </row>
    <row r="146" spans="1:19" x14ac:dyDescent="0.25">
      <c r="A146" s="156" t="s">
        <v>72</v>
      </c>
      <c r="B146" s="202">
        <v>245.32054794520221</v>
      </c>
      <c r="C146" s="202">
        <v>245.32054794520221</v>
      </c>
      <c r="D146" s="202"/>
      <c r="E146" s="202">
        <v>202.39358904109559</v>
      </c>
      <c r="F146" s="202">
        <v>26.143523013698648</v>
      </c>
      <c r="G146" s="202"/>
      <c r="H146" s="202">
        <v>33.972821917808162</v>
      </c>
      <c r="I146" s="202"/>
      <c r="J146" s="202">
        <v>1.1717260273972598</v>
      </c>
      <c r="K146" s="202">
        <v>15.15890410958905</v>
      </c>
      <c r="L146" s="202">
        <v>15.15890410958905</v>
      </c>
      <c r="M146" s="202"/>
      <c r="N146" s="202"/>
      <c r="O146" s="202"/>
      <c r="P146" s="202"/>
      <c r="Q146" s="202"/>
      <c r="R146" s="202">
        <v>278.84056410958874</v>
      </c>
      <c r="S146" s="203">
        <v>1.1366376214513998</v>
      </c>
    </row>
    <row r="147" spans="1:19" x14ac:dyDescent="0.25">
      <c r="A147" s="155" t="s">
        <v>251</v>
      </c>
      <c r="B147" s="204">
        <v>245.32054794519382</v>
      </c>
      <c r="C147" s="204">
        <v>245.32054794519382</v>
      </c>
      <c r="D147" s="204"/>
      <c r="E147" s="204">
        <v>202.39358904109631</v>
      </c>
      <c r="F147" s="204">
        <v>26.143523013698829</v>
      </c>
      <c r="G147" s="204"/>
      <c r="H147" s="204">
        <v>33.972821917808162</v>
      </c>
      <c r="I147" s="204"/>
      <c r="J147" s="204">
        <v>1.171726027397259</v>
      </c>
      <c r="K147" s="204">
        <v>15.158904109589075</v>
      </c>
      <c r="L147" s="204">
        <v>15.158904109589075</v>
      </c>
      <c r="M147" s="204"/>
      <c r="N147" s="204"/>
      <c r="O147" s="204"/>
      <c r="P147" s="204"/>
      <c r="Q147" s="204"/>
      <c r="R147" s="204">
        <v>278.84056410958959</v>
      </c>
      <c r="S147" s="205">
        <v>1.1366376214514422</v>
      </c>
    </row>
    <row r="148" spans="1:19" x14ac:dyDescent="0.25">
      <c r="A148" s="156" t="s">
        <v>73</v>
      </c>
      <c r="B148" s="202">
        <v>116.31232876712339</v>
      </c>
      <c r="C148" s="202">
        <v>115.47945205479462</v>
      </c>
      <c r="D148" s="202">
        <v>0.83287671232876714</v>
      </c>
      <c r="E148" s="202"/>
      <c r="F148" s="202">
        <v>83.768794520547857</v>
      </c>
      <c r="G148" s="202"/>
      <c r="H148" s="202"/>
      <c r="I148" s="202">
        <v>0.79123287671232867</v>
      </c>
      <c r="J148" s="202"/>
      <c r="K148" s="202"/>
      <c r="L148" s="202"/>
      <c r="M148" s="202"/>
      <c r="N148" s="202"/>
      <c r="O148" s="202"/>
      <c r="P148" s="202"/>
      <c r="Q148" s="202"/>
      <c r="R148" s="202">
        <v>84.560027397260185</v>
      </c>
      <c r="S148" s="203">
        <v>0.727008291327082</v>
      </c>
    </row>
    <row r="149" spans="1:19" x14ac:dyDescent="0.25">
      <c r="A149" s="155" t="s">
        <v>247</v>
      </c>
      <c r="B149" s="204">
        <v>116.31232876712345</v>
      </c>
      <c r="C149" s="204">
        <v>115.47945205479468</v>
      </c>
      <c r="D149" s="204">
        <v>0.83287671232876714</v>
      </c>
      <c r="E149" s="204"/>
      <c r="F149" s="204">
        <v>83.768794520548241</v>
      </c>
      <c r="G149" s="204"/>
      <c r="H149" s="204"/>
      <c r="I149" s="204">
        <v>0.79123287671232867</v>
      </c>
      <c r="J149" s="204"/>
      <c r="K149" s="204"/>
      <c r="L149" s="204"/>
      <c r="M149" s="204"/>
      <c r="N149" s="204"/>
      <c r="O149" s="204"/>
      <c r="P149" s="204"/>
      <c r="Q149" s="204"/>
      <c r="R149" s="204">
        <v>84.560027397260569</v>
      </c>
      <c r="S149" s="205">
        <v>0.727008291327085</v>
      </c>
    </row>
    <row r="150" spans="1:19" x14ac:dyDescent="0.25">
      <c r="A150" s="156" t="s">
        <v>74</v>
      </c>
      <c r="B150" s="202">
        <v>192.57890410958768</v>
      </c>
      <c r="C150" s="202">
        <v>192.57890410958768</v>
      </c>
      <c r="D150" s="202"/>
      <c r="E150" s="202">
        <v>121.4679178082193</v>
      </c>
      <c r="F150" s="202">
        <v>47.309889863013709</v>
      </c>
      <c r="G150" s="202"/>
      <c r="H150" s="202">
        <v>3.4006575342465761</v>
      </c>
      <c r="I150" s="202"/>
      <c r="J150" s="202">
        <v>1.4454575342465734</v>
      </c>
      <c r="K150" s="202">
        <v>21.873972602739755</v>
      </c>
      <c r="L150" s="202">
        <v>21.873972602739755</v>
      </c>
      <c r="M150" s="202"/>
      <c r="N150" s="202"/>
      <c r="O150" s="202"/>
      <c r="P150" s="202">
        <v>0.12788901369863001</v>
      </c>
      <c r="Q150" s="202"/>
      <c r="R150" s="202">
        <v>195.62578435616453</v>
      </c>
      <c r="S150" s="203">
        <v>1.0158214642494954</v>
      </c>
    </row>
    <row r="151" spans="1:19" x14ac:dyDescent="0.25">
      <c r="A151" s="155" t="s">
        <v>249</v>
      </c>
      <c r="B151" s="204">
        <v>192.57890410958294</v>
      </c>
      <c r="C151" s="204">
        <v>192.57890410958294</v>
      </c>
      <c r="D151" s="204"/>
      <c r="E151" s="204">
        <v>121.46791780821931</v>
      </c>
      <c r="F151" s="204">
        <v>47.309889863014064</v>
      </c>
      <c r="G151" s="204"/>
      <c r="H151" s="204">
        <v>3.4006575342465761</v>
      </c>
      <c r="I151" s="204"/>
      <c r="J151" s="204">
        <v>1.4454575342465716</v>
      </c>
      <c r="K151" s="204">
        <v>21.873972602739769</v>
      </c>
      <c r="L151" s="204">
        <v>21.873972602739769</v>
      </c>
      <c r="M151" s="204"/>
      <c r="N151" s="204"/>
      <c r="O151" s="204"/>
      <c r="P151" s="204">
        <v>0.12788901369863001</v>
      </c>
      <c r="Q151" s="204"/>
      <c r="R151" s="204">
        <v>195.6257843561649</v>
      </c>
      <c r="S151" s="205">
        <v>1.0158214642495225</v>
      </c>
    </row>
    <row r="152" spans="1:19" x14ac:dyDescent="0.25">
      <c r="A152" s="156" t="s">
        <v>441</v>
      </c>
      <c r="B152" s="202">
        <v>949.85698630137938</v>
      </c>
      <c r="C152" s="202">
        <v>949.85698630137938</v>
      </c>
      <c r="D152" s="202"/>
      <c r="E152" s="202">
        <v>561.27027260274087</v>
      </c>
      <c r="F152" s="202">
        <v>168.17643789041193</v>
      </c>
      <c r="G152" s="202"/>
      <c r="H152" s="202"/>
      <c r="I152" s="202"/>
      <c r="J152" s="202">
        <v>29.990136986301476</v>
      </c>
      <c r="K152" s="202">
        <v>39.770684931506871</v>
      </c>
      <c r="L152" s="202">
        <v>39.770684931506871</v>
      </c>
      <c r="M152" s="202"/>
      <c r="N152" s="202"/>
      <c r="O152" s="202">
        <v>-19.352578931506802</v>
      </c>
      <c r="P152" s="202"/>
      <c r="Q152" s="202"/>
      <c r="R152" s="202">
        <v>779.85495347945414</v>
      </c>
      <c r="S152" s="203">
        <v>0.82102354851977111</v>
      </c>
    </row>
    <row r="153" spans="1:19" x14ac:dyDescent="0.25">
      <c r="A153" s="155" t="s">
        <v>280</v>
      </c>
      <c r="B153" s="204">
        <v>949.85698630138711</v>
      </c>
      <c r="C153" s="204">
        <v>949.85698630138711</v>
      </c>
      <c r="D153" s="204"/>
      <c r="E153" s="204">
        <v>561.27027260273928</v>
      </c>
      <c r="F153" s="204">
        <v>168.17643789041284</v>
      </c>
      <c r="G153" s="204"/>
      <c r="H153" s="204"/>
      <c r="I153" s="204"/>
      <c r="J153" s="204">
        <v>29.990136986301533</v>
      </c>
      <c r="K153" s="204">
        <v>39.770684931506878</v>
      </c>
      <c r="L153" s="204">
        <v>39.770684931506878</v>
      </c>
      <c r="M153" s="204"/>
      <c r="N153" s="204"/>
      <c r="O153" s="204">
        <v>-19.352578931506802</v>
      </c>
      <c r="P153" s="204"/>
      <c r="Q153" s="204"/>
      <c r="R153" s="204">
        <v>779.85495347945357</v>
      </c>
      <c r="S153" s="205">
        <v>0.82102354851976389</v>
      </c>
    </row>
    <row r="154" spans="1:19" x14ac:dyDescent="0.25">
      <c r="A154" s="156" t="s">
        <v>145</v>
      </c>
      <c r="B154" s="202">
        <v>0.69917808219178079</v>
      </c>
      <c r="C154" s="202">
        <v>0.69917808219178079</v>
      </c>
      <c r="D154" s="202"/>
      <c r="E154" s="202"/>
      <c r="F154" s="202">
        <v>0.50718378082191784</v>
      </c>
      <c r="G154" s="202"/>
      <c r="H154" s="202"/>
      <c r="I154" s="202"/>
      <c r="J154" s="202"/>
      <c r="K154" s="202"/>
      <c r="L154" s="202"/>
      <c r="M154" s="202"/>
      <c r="N154" s="202"/>
      <c r="O154" s="202"/>
      <c r="P154" s="202">
        <v>4.5646540273973003E-2</v>
      </c>
      <c r="Q154" s="202"/>
      <c r="R154" s="202">
        <v>0.55283032109589081</v>
      </c>
      <c r="S154" s="203">
        <v>0.79068600000000056</v>
      </c>
    </row>
    <row r="155" spans="1:19" x14ac:dyDescent="0.25">
      <c r="A155" s="155" t="s">
        <v>248</v>
      </c>
      <c r="B155" s="204">
        <v>0.69917808219178079</v>
      </c>
      <c r="C155" s="204">
        <v>0.69917808219178079</v>
      </c>
      <c r="D155" s="204"/>
      <c r="E155" s="204"/>
      <c r="F155" s="204">
        <v>0.50718378082191784</v>
      </c>
      <c r="G155" s="204"/>
      <c r="H155" s="204"/>
      <c r="I155" s="204"/>
      <c r="J155" s="204"/>
      <c r="K155" s="204"/>
      <c r="L155" s="204"/>
      <c r="M155" s="204"/>
      <c r="N155" s="204"/>
      <c r="O155" s="204"/>
      <c r="P155" s="204">
        <v>4.5646540273973003E-2</v>
      </c>
      <c r="Q155" s="204"/>
      <c r="R155" s="204">
        <v>0.55283032109589081</v>
      </c>
      <c r="S155" s="205">
        <v>0.79068600000000056</v>
      </c>
    </row>
    <row r="156" spans="1:19" x14ac:dyDescent="0.25">
      <c r="A156" s="156" t="s">
        <v>75</v>
      </c>
      <c r="B156" s="202">
        <v>1220.2163835616511</v>
      </c>
      <c r="C156" s="202">
        <v>1220.2163835616511</v>
      </c>
      <c r="D156" s="202"/>
      <c r="E156" s="202">
        <v>1079.8059331506861</v>
      </c>
      <c r="F156" s="202">
        <v>126.59982476712331</v>
      </c>
      <c r="G156" s="202">
        <v>106.41484383561699</v>
      </c>
      <c r="H156" s="202">
        <v>1.3459178082191781</v>
      </c>
      <c r="I156" s="202"/>
      <c r="J156" s="202">
        <v>50.554421917808213</v>
      </c>
      <c r="K156" s="202">
        <v>467.16036986301037</v>
      </c>
      <c r="L156" s="202">
        <v>466.88258941822068</v>
      </c>
      <c r="M156" s="202">
        <v>106.17708493150802</v>
      </c>
      <c r="N156" s="202">
        <v>106.17708493150802</v>
      </c>
      <c r="O156" s="202"/>
      <c r="P156" s="202"/>
      <c r="Q156" s="202"/>
      <c r="R156" s="202">
        <v>1937.7806158291824</v>
      </c>
      <c r="S156" s="203">
        <v>1.5880631025237144</v>
      </c>
    </row>
    <row r="157" spans="1:19" x14ac:dyDescent="0.25">
      <c r="A157" s="155" t="s">
        <v>246</v>
      </c>
      <c r="B157" s="204">
        <v>1220.2163835616548</v>
      </c>
      <c r="C157" s="204">
        <v>1220.2163835616548</v>
      </c>
      <c r="D157" s="204"/>
      <c r="E157" s="204">
        <v>1079.805933150684</v>
      </c>
      <c r="F157" s="204">
        <v>126.59982476712304</v>
      </c>
      <c r="G157" s="204">
        <v>106.41484383561719</v>
      </c>
      <c r="H157" s="204">
        <v>1.3459178082191781</v>
      </c>
      <c r="I157" s="204"/>
      <c r="J157" s="204">
        <v>50.554421917807673</v>
      </c>
      <c r="K157" s="204">
        <v>467.1603698630114</v>
      </c>
      <c r="L157" s="204">
        <v>466.8825894182217</v>
      </c>
      <c r="M157" s="204">
        <v>106.17708493150802</v>
      </c>
      <c r="N157" s="204">
        <v>106.17708493150802</v>
      </c>
      <c r="O157" s="204"/>
      <c r="P157" s="204"/>
      <c r="Q157" s="204"/>
      <c r="R157" s="204">
        <v>1937.7806158291808</v>
      </c>
      <c r="S157" s="205">
        <v>1.5880631025237084</v>
      </c>
    </row>
    <row r="158" spans="1:19" x14ac:dyDescent="0.25">
      <c r="A158" s="156" t="s">
        <v>76</v>
      </c>
      <c r="B158" s="202">
        <v>36.531561643835637</v>
      </c>
      <c r="C158" s="202">
        <v>36.531561643835637</v>
      </c>
      <c r="D158" s="202"/>
      <c r="E158" s="202">
        <v>53.336079999999981</v>
      </c>
      <c r="F158" s="202"/>
      <c r="G158" s="202"/>
      <c r="H158" s="202"/>
      <c r="I158" s="202"/>
      <c r="J158" s="202">
        <v>1.2710136986301361</v>
      </c>
      <c r="K158" s="202">
        <v>0.17945205479452053</v>
      </c>
      <c r="L158" s="202">
        <v>0.17945205479452053</v>
      </c>
      <c r="M158" s="202"/>
      <c r="N158" s="202"/>
      <c r="O158" s="202"/>
      <c r="P158" s="202"/>
      <c r="Q158" s="202"/>
      <c r="R158" s="202">
        <v>54.78654575342464</v>
      </c>
      <c r="S158" s="203">
        <v>1.4997044552205547</v>
      </c>
    </row>
    <row r="159" spans="1:19" x14ac:dyDescent="0.25">
      <c r="A159" s="155" t="s">
        <v>245</v>
      </c>
      <c r="B159" s="204">
        <v>36.531561643835623</v>
      </c>
      <c r="C159" s="204">
        <v>36.531561643835623</v>
      </c>
      <c r="D159" s="204"/>
      <c r="E159" s="204">
        <v>53.336079999999974</v>
      </c>
      <c r="F159" s="204"/>
      <c r="G159" s="204"/>
      <c r="H159" s="204"/>
      <c r="I159" s="204"/>
      <c r="J159" s="204">
        <v>1.2710136986301346</v>
      </c>
      <c r="K159" s="204">
        <v>0.17945205479452053</v>
      </c>
      <c r="L159" s="204">
        <v>0.17945205479452053</v>
      </c>
      <c r="M159" s="204"/>
      <c r="N159" s="204"/>
      <c r="O159" s="204"/>
      <c r="P159" s="204"/>
      <c r="Q159" s="204"/>
      <c r="R159" s="204">
        <v>54.786545753424633</v>
      </c>
      <c r="S159" s="205">
        <v>1.4997044552205552</v>
      </c>
    </row>
    <row r="160" spans="1:19" x14ac:dyDescent="0.25">
      <c r="A160" s="156" t="s">
        <v>77</v>
      </c>
      <c r="B160" s="202">
        <v>46.693150684931524</v>
      </c>
      <c r="C160" s="202">
        <v>46.693150684931524</v>
      </c>
      <c r="D160" s="202"/>
      <c r="E160" s="202">
        <v>49.961671232876647</v>
      </c>
      <c r="F160" s="202"/>
      <c r="G160" s="202"/>
      <c r="H160" s="202"/>
      <c r="I160" s="202"/>
      <c r="J160" s="202">
        <v>2.0648219178082163</v>
      </c>
      <c r="K160" s="202">
        <v>2.2904109589041091</v>
      </c>
      <c r="L160" s="202">
        <v>2.2904109589041091</v>
      </c>
      <c r="M160" s="202">
        <v>13.619506849315064</v>
      </c>
      <c r="N160" s="202">
        <v>13.619506849315064</v>
      </c>
      <c r="O160" s="202"/>
      <c r="P160" s="202"/>
      <c r="Q160" s="202"/>
      <c r="R160" s="202">
        <v>67.936410958904034</v>
      </c>
      <c r="S160" s="203">
        <v>1.4549545267851882</v>
      </c>
    </row>
    <row r="161" spans="1:19" x14ac:dyDescent="0.25">
      <c r="A161" s="155" t="s">
        <v>241</v>
      </c>
      <c r="B161" s="204">
        <v>46.693150684931524</v>
      </c>
      <c r="C161" s="204">
        <v>46.693150684931524</v>
      </c>
      <c r="D161" s="204"/>
      <c r="E161" s="204">
        <v>49.961671232876597</v>
      </c>
      <c r="F161" s="204"/>
      <c r="G161" s="204"/>
      <c r="H161" s="204"/>
      <c r="I161" s="204"/>
      <c r="J161" s="204">
        <v>2.064821917808215</v>
      </c>
      <c r="K161" s="204">
        <v>2.29041095890411</v>
      </c>
      <c r="L161" s="204">
        <v>2.29041095890411</v>
      </c>
      <c r="M161" s="204">
        <v>13.619506849315064</v>
      </c>
      <c r="N161" s="204">
        <v>13.619506849315064</v>
      </c>
      <c r="O161" s="204"/>
      <c r="P161" s="204"/>
      <c r="Q161" s="204"/>
      <c r="R161" s="204">
        <v>67.936410958903991</v>
      </c>
      <c r="S161" s="205">
        <v>1.4549545267851873</v>
      </c>
    </row>
    <row r="162" spans="1:19" x14ac:dyDescent="0.25">
      <c r="A162" s="156" t="s">
        <v>79</v>
      </c>
      <c r="B162" s="202">
        <v>45.760547945205431</v>
      </c>
      <c r="C162" s="202">
        <v>45.760547945205431</v>
      </c>
      <c r="D162" s="202"/>
      <c r="E162" s="202"/>
      <c r="F162" s="202">
        <v>37.888515945205413</v>
      </c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>
        <v>37.888515945205413</v>
      </c>
      <c r="S162" s="203">
        <v>0.82797338857423342</v>
      </c>
    </row>
    <row r="163" spans="1:19" x14ac:dyDescent="0.25">
      <c r="A163" s="155" t="s">
        <v>239</v>
      </c>
      <c r="B163" s="204">
        <v>45.760547945205381</v>
      </c>
      <c r="C163" s="204">
        <v>45.760547945205381</v>
      </c>
      <c r="D163" s="204"/>
      <c r="E163" s="204"/>
      <c r="F163" s="204">
        <v>37.888515945205562</v>
      </c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>
        <v>37.888515945205562</v>
      </c>
      <c r="S163" s="205">
        <v>0.82797338857423752</v>
      </c>
    </row>
    <row r="164" spans="1:19" x14ac:dyDescent="0.25">
      <c r="A164" s="156" t="s">
        <v>80</v>
      </c>
      <c r="B164" s="202">
        <v>1075.3360273972894</v>
      </c>
      <c r="C164" s="202">
        <v>1075.3360273972894</v>
      </c>
      <c r="D164" s="202"/>
      <c r="E164" s="202">
        <v>955.14621917807131</v>
      </c>
      <c r="F164" s="202">
        <v>224.19884420547928</v>
      </c>
      <c r="G164" s="202"/>
      <c r="H164" s="202">
        <v>10.480438356164388</v>
      </c>
      <c r="I164" s="202"/>
      <c r="J164" s="202">
        <v>15.482128767123385</v>
      </c>
      <c r="K164" s="202">
        <v>71.575068493150624</v>
      </c>
      <c r="L164" s="202">
        <v>71.575068493150624</v>
      </c>
      <c r="M164" s="202">
        <v>80.853682191780678</v>
      </c>
      <c r="N164" s="202">
        <v>80.853682191780678</v>
      </c>
      <c r="O164" s="202"/>
      <c r="P164" s="202"/>
      <c r="Q164" s="202">
        <v>2.2482410958904113</v>
      </c>
      <c r="R164" s="202">
        <v>1359.9846222876599</v>
      </c>
      <c r="S164" s="203">
        <v>1.2647066476321129</v>
      </c>
    </row>
    <row r="165" spans="1:19" x14ac:dyDescent="0.25">
      <c r="A165" s="155" t="s">
        <v>238</v>
      </c>
      <c r="B165" s="204">
        <v>1075.3360273973574</v>
      </c>
      <c r="C165" s="204">
        <v>1075.3360273973574</v>
      </c>
      <c r="D165" s="204"/>
      <c r="E165" s="204">
        <v>955.14621917807517</v>
      </c>
      <c r="F165" s="204">
        <v>224.19884420547689</v>
      </c>
      <c r="G165" s="204"/>
      <c r="H165" s="204">
        <v>10.480438356164388</v>
      </c>
      <c r="I165" s="204"/>
      <c r="J165" s="204">
        <v>15.48212876712322</v>
      </c>
      <c r="K165" s="204">
        <v>71.5750684931498</v>
      </c>
      <c r="L165" s="204">
        <v>71.5750684931498</v>
      </c>
      <c r="M165" s="204">
        <v>80.853682191780678</v>
      </c>
      <c r="N165" s="204">
        <v>80.853682191780678</v>
      </c>
      <c r="O165" s="204"/>
      <c r="P165" s="204"/>
      <c r="Q165" s="204">
        <v>2.2482410958904113</v>
      </c>
      <c r="R165" s="204">
        <v>1359.9846222876604</v>
      </c>
      <c r="S165" s="205">
        <v>1.2647066476320334</v>
      </c>
    </row>
    <row r="166" spans="1:19" x14ac:dyDescent="0.25">
      <c r="A166" s="156" t="s">
        <v>81</v>
      </c>
      <c r="B166" s="202">
        <v>1497.8120547945421</v>
      </c>
      <c r="C166" s="202">
        <v>1497.8120547945421</v>
      </c>
      <c r="D166" s="202"/>
      <c r="E166" s="202">
        <v>1081.0743945205365</v>
      </c>
      <c r="F166" s="202">
        <v>177.74106493150751</v>
      </c>
      <c r="G166" s="202"/>
      <c r="H166" s="202">
        <v>12.699726027397269</v>
      </c>
      <c r="I166" s="202"/>
      <c r="J166" s="202">
        <v>50.107068493150564</v>
      </c>
      <c r="K166" s="202">
        <v>87.835068493150501</v>
      </c>
      <c r="L166" s="202">
        <v>87.835068493150501</v>
      </c>
      <c r="M166" s="202"/>
      <c r="N166" s="202"/>
      <c r="O166" s="202">
        <v>-13.808555408219187</v>
      </c>
      <c r="P166" s="202">
        <v>0.49080762739725925</v>
      </c>
      <c r="Q166" s="202"/>
      <c r="R166" s="202">
        <v>1396.1395746849203</v>
      </c>
      <c r="S166" s="203">
        <v>0.93211933380816037</v>
      </c>
    </row>
    <row r="167" spans="1:19" x14ac:dyDescent="0.25">
      <c r="A167" s="155" t="s">
        <v>237</v>
      </c>
      <c r="B167" s="204">
        <v>1497.8120547945878</v>
      </c>
      <c r="C167" s="204">
        <v>1497.8120547945878</v>
      </c>
      <c r="D167" s="204"/>
      <c r="E167" s="204">
        <v>1081.074394520537</v>
      </c>
      <c r="F167" s="204">
        <v>177.74106493150839</v>
      </c>
      <c r="G167" s="204"/>
      <c r="H167" s="204">
        <v>12.699726027397269</v>
      </c>
      <c r="I167" s="204"/>
      <c r="J167" s="204">
        <v>50.107068493150202</v>
      </c>
      <c r="K167" s="204">
        <v>87.835068493150104</v>
      </c>
      <c r="L167" s="204">
        <v>87.835068493150104</v>
      </c>
      <c r="M167" s="204"/>
      <c r="N167" s="204"/>
      <c r="O167" s="204">
        <v>-13.808555408219187</v>
      </c>
      <c r="P167" s="204">
        <v>0.49080762739725925</v>
      </c>
      <c r="Q167" s="204"/>
      <c r="R167" s="204">
        <v>1396.1395746849209</v>
      </c>
      <c r="S167" s="205">
        <v>0.93211933380813228</v>
      </c>
    </row>
    <row r="168" spans="1:19" x14ac:dyDescent="0.25">
      <c r="A168" s="156" t="s">
        <v>82</v>
      </c>
      <c r="B168" s="202">
        <v>98.208219178081663</v>
      </c>
      <c r="C168" s="202">
        <v>90.268493150684392</v>
      </c>
      <c r="D168" s="202">
        <v>7.9397260273972678</v>
      </c>
      <c r="E168" s="202">
        <v>74.604958904109694</v>
      </c>
      <c r="F168" s="202">
        <v>9.2453720547945206</v>
      </c>
      <c r="G168" s="202"/>
      <c r="H168" s="202">
        <v>0.94087671232876713</v>
      </c>
      <c r="I168" s="202">
        <v>7.5427397260274089</v>
      </c>
      <c r="J168" s="202">
        <v>1.5695342465753435</v>
      </c>
      <c r="K168" s="202">
        <v>2.9986301369863018</v>
      </c>
      <c r="L168" s="202">
        <v>2.9986301369863018</v>
      </c>
      <c r="M168" s="202">
        <v>8.2527123287671227</v>
      </c>
      <c r="N168" s="202">
        <v>8.2527123287671227</v>
      </c>
      <c r="O168" s="202"/>
      <c r="P168" s="202">
        <v>0.45414014794520552</v>
      </c>
      <c r="Q168" s="202"/>
      <c r="R168" s="202">
        <v>105.60896425753437</v>
      </c>
      <c r="S168" s="203">
        <v>1.0753576955308892</v>
      </c>
    </row>
    <row r="169" spans="1:19" x14ac:dyDescent="0.25">
      <c r="A169" s="155" t="s">
        <v>236</v>
      </c>
      <c r="B169" s="204">
        <v>98.20821917808162</v>
      </c>
      <c r="C169" s="204">
        <v>90.26849315068435</v>
      </c>
      <c r="D169" s="204">
        <v>7.9397260273972758</v>
      </c>
      <c r="E169" s="204">
        <v>74.604958904109807</v>
      </c>
      <c r="F169" s="204">
        <v>9.2453720547945206</v>
      </c>
      <c r="G169" s="204"/>
      <c r="H169" s="204">
        <v>0.94087671232876713</v>
      </c>
      <c r="I169" s="204">
        <v>7.5427397260274054</v>
      </c>
      <c r="J169" s="204">
        <v>1.5695342465753439</v>
      </c>
      <c r="K169" s="204">
        <v>2.9986301369863058</v>
      </c>
      <c r="L169" s="204">
        <v>2.9986301369863058</v>
      </c>
      <c r="M169" s="204">
        <v>8.2527123287671227</v>
      </c>
      <c r="N169" s="204">
        <v>8.2527123287671227</v>
      </c>
      <c r="O169" s="204"/>
      <c r="P169" s="204">
        <v>0.45414014794520463</v>
      </c>
      <c r="Q169" s="204"/>
      <c r="R169" s="204">
        <v>105.60896425753448</v>
      </c>
      <c r="S169" s="205">
        <v>1.0753576955308908</v>
      </c>
    </row>
    <row r="170" spans="1:19" x14ac:dyDescent="0.25">
      <c r="A170" s="156" t="s">
        <v>83</v>
      </c>
      <c r="B170" s="202">
        <v>5643.6103561641166</v>
      </c>
      <c r="C170" s="202">
        <v>5558.8481643832947</v>
      </c>
      <c r="D170" s="202">
        <v>84.762191780822064</v>
      </c>
      <c r="E170" s="202">
        <v>4827.6045641095598</v>
      </c>
      <c r="F170" s="202">
        <v>815.25398249590489</v>
      </c>
      <c r="G170" s="202">
        <v>129.49248219178148</v>
      </c>
      <c r="H170" s="202">
        <v>54.863660273972542</v>
      </c>
      <c r="I170" s="202">
        <v>80.524082191780849</v>
      </c>
      <c r="J170" s="202">
        <v>147.90468986301386</v>
      </c>
      <c r="K170" s="202">
        <v>393.34142465753331</v>
      </c>
      <c r="L170" s="202">
        <v>393.34142465753331</v>
      </c>
      <c r="M170" s="202">
        <v>202.05310136986509</v>
      </c>
      <c r="N170" s="202">
        <v>186.37640893876869</v>
      </c>
      <c r="O170" s="202">
        <v>-2.2576832876712399E-2</v>
      </c>
      <c r="P170" s="202">
        <v>3.717996780821919</v>
      </c>
      <c r="Q170" s="202">
        <v>3.1312657534246591</v>
      </c>
      <c r="R170" s="202">
        <v>6642.1879804236842</v>
      </c>
      <c r="S170" s="203">
        <v>1.1769395052528551</v>
      </c>
    </row>
    <row r="171" spans="1:19" x14ac:dyDescent="0.25">
      <c r="A171" s="155" t="s">
        <v>243</v>
      </c>
      <c r="B171" s="204">
        <v>5643.6103561645396</v>
      </c>
      <c r="C171" s="204">
        <v>5558.8481643837176</v>
      </c>
      <c r="D171" s="204">
        <v>84.762191780822093</v>
      </c>
      <c r="E171" s="204">
        <v>4827.6045641095143</v>
      </c>
      <c r="F171" s="204">
        <v>815.25398249594161</v>
      </c>
      <c r="G171" s="204">
        <v>129.4924821917819</v>
      </c>
      <c r="H171" s="204">
        <v>54.863660273972542</v>
      </c>
      <c r="I171" s="204">
        <v>80.524082191781176</v>
      </c>
      <c r="J171" s="204">
        <v>147.90468986301096</v>
      </c>
      <c r="K171" s="204">
        <v>393.34142465754474</v>
      </c>
      <c r="L171" s="204">
        <v>393.34142465754474</v>
      </c>
      <c r="M171" s="204">
        <v>202.05310136986509</v>
      </c>
      <c r="N171" s="204">
        <v>186.37640893876869</v>
      </c>
      <c r="O171" s="204">
        <v>-2.2576832876712399E-2</v>
      </c>
      <c r="P171" s="204">
        <v>3.7179967808219252</v>
      </c>
      <c r="Q171" s="204">
        <v>3.1312657534246591</v>
      </c>
      <c r="R171" s="204">
        <v>6642.187980423686</v>
      </c>
      <c r="S171" s="205">
        <v>1.1769395052527671</v>
      </c>
    </row>
    <row r="172" spans="1:19" x14ac:dyDescent="0.25">
      <c r="A172" s="156" t="s">
        <v>492</v>
      </c>
      <c r="B172" s="202">
        <v>136.88424657534244</v>
      </c>
      <c r="C172" s="202">
        <v>132.28972602739725</v>
      </c>
      <c r="D172" s="202">
        <v>4.5945205479452058</v>
      </c>
      <c r="E172" s="202">
        <v>95.316952054794669</v>
      </c>
      <c r="F172" s="202">
        <v>24.747070684931526</v>
      </c>
      <c r="G172" s="202"/>
      <c r="H172" s="202"/>
      <c r="I172" s="202">
        <v>4.364794520547945</v>
      </c>
      <c r="J172" s="202">
        <v>0.30392876712328759</v>
      </c>
      <c r="K172" s="202">
        <v>0.21095890410958901</v>
      </c>
      <c r="L172" s="202">
        <v>0.21095890410958901</v>
      </c>
      <c r="M172" s="202"/>
      <c r="N172" s="202"/>
      <c r="O172" s="202"/>
      <c r="P172" s="202"/>
      <c r="Q172" s="202"/>
      <c r="R172" s="202">
        <v>124.94370493150701</v>
      </c>
      <c r="S172" s="203">
        <v>0.91276905894891824</v>
      </c>
    </row>
    <row r="173" spans="1:19" x14ac:dyDescent="0.25">
      <c r="A173" s="155" t="s">
        <v>233</v>
      </c>
      <c r="B173" s="204">
        <v>136.88424657534208</v>
      </c>
      <c r="C173" s="204">
        <v>132.28972602739688</v>
      </c>
      <c r="D173" s="204">
        <v>4.5945205479452076</v>
      </c>
      <c r="E173" s="204">
        <v>95.316952054794413</v>
      </c>
      <c r="F173" s="204">
        <v>24.747070684931685</v>
      </c>
      <c r="G173" s="204"/>
      <c r="H173" s="204"/>
      <c r="I173" s="204">
        <v>4.364794520547945</v>
      </c>
      <c r="J173" s="204">
        <v>0.30392876712328776</v>
      </c>
      <c r="K173" s="204">
        <v>0.21095890410958901</v>
      </c>
      <c r="L173" s="204">
        <v>0.21095890410958901</v>
      </c>
      <c r="M173" s="204"/>
      <c r="N173" s="204"/>
      <c r="O173" s="204"/>
      <c r="P173" s="204"/>
      <c r="Q173" s="204"/>
      <c r="R173" s="204">
        <v>124.94370493150691</v>
      </c>
      <c r="S173" s="205">
        <v>0.91276905894892002</v>
      </c>
    </row>
    <row r="174" spans="1:19" x14ac:dyDescent="0.25">
      <c r="A174" s="156" t="s">
        <v>85</v>
      </c>
      <c r="B174" s="202">
        <v>54.497534246575363</v>
      </c>
      <c r="C174" s="202">
        <v>54.497534246575363</v>
      </c>
      <c r="D174" s="202"/>
      <c r="E174" s="202">
        <v>50.656854794520626</v>
      </c>
      <c r="F174" s="202"/>
      <c r="G174" s="202"/>
      <c r="H174" s="202">
        <v>3.5019178082191775</v>
      </c>
      <c r="I174" s="202"/>
      <c r="J174" s="202">
        <v>0.784635616438356</v>
      </c>
      <c r="K174" s="202">
        <v>5.2161643835616491</v>
      </c>
      <c r="L174" s="202">
        <v>5.2161643835616491</v>
      </c>
      <c r="M174" s="202">
        <v>9.142115068493128</v>
      </c>
      <c r="N174" s="202">
        <v>9.142115068493128</v>
      </c>
      <c r="O174" s="202"/>
      <c r="P174" s="202"/>
      <c r="Q174" s="202"/>
      <c r="R174" s="202">
        <v>69.301687671232926</v>
      </c>
      <c r="S174" s="203">
        <v>1.2716481328802112</v>
      </c>
    </row>
    <row r="175" spans="1:19" x14ac:dyDescent="0.25">
      <c r="A175" s="155" t="s">
        <v>232</v>
      </c>
      <c r="B175" s="204">
        <v>54.497534246575263</v>
      </c>
      <c r="C175" s="204">
        <v>54.497534246575263</v>
      </c>
      <c r="D175" s="204"/>
      <c r="E175" s="204">
        <v>50.656854794520683</v>
      </c>
      <c r="F175" s="204"/>
      <c r="G175" s="204"/>
      <c r="H175" s="204">
        <v>3.5019178082191775</v>
      </c>
      <c r="I175" s="204"/>
      <c r="J175" s="204">
        <v>0.78463561643835678</v>
      </c>
      <c r="K175" s="204">
        <v>5.21616438356165</v>
      </c>
      <c r="L175" s="204">
        <v>5.21616438356165</v>
      </c>
      <c r="M175" s="204">
        <v>9.142115068493128</v>
      </c>
      <c r="N175" s="204">
        <v>9.142115068493128</v>
      </c>
      <c r="O175" s="204"/>
      <c r="P175" s="204"/>
      <c r="Q175" s="204"/>
      <c r="R175" s="204">
        <v>69.301687671232983</v>
      </c>
      <c r="S175" s="205">
        <v>1.2716481328802145</v>
      </c>
    </row>
    <row r="176" spans="1:19" x14ac:dyDescent="0.25">
      <c r="A176" s="156" t="s">
        <v>86</v>
      </c>
      <c r="B176" s="202">
        <v>295.9817260273955</v>
      </c>
      <c r="C176" s="202">
        <v>295.9817260273955</v>
      </c>
      <c r="D176" s="202"/>
      <c r="E176" s="202">
        <v>163.31961397260324</v>
      </c>
      <c r="F176" s="202">
        <v>92.192551068493643</v>
      </c>
      <c r="G176" s="202"/>
      <c r="H176" s="202"/>
      <c r="I176" s="202"/>
      <c r="J176" s="202">
        <v>0.3384657534246574</v>
      </c>
      <c r="K176" s="202"/>
      <c r="L176" s="202"/>
      <c r="M176" s="202"/>
      <c r="N176" s="202"/>
      <c r="O176" s="202"/>
      <c r="P176" s="202">
        <v>5.7598732873972533</v>
      </c>
      <c r="Q176" s="202"/>
      <c r="R176" s="202">
        <v>261.61050408191875</v>
      </c>
      <c r="S176" s="203">
        <v>0.88387383773045702</v>
      </c>
    </row>
    <row r="177" spans="1:19" x14ac:dyDescent="0.25">
      <c r="A177" s="155" t="s">
        <v>231</v>
      </c>
      <c r="B177" s="204">
        <v>295.98172602739231</v>
      </c>
      <c r="C177" s="204">
        <v>295.98172602739231</v>
      </c>
      <c r="D177" s="204"/>
      <c r="E177" s="204">
        <v>163.31961397260463</v>
      </c>
      <c r="F177" s="204">
        <v>92.192551068493813</v>
      </c>
      <c r="G177" s="204"/>
      <c r="H177" s="204"/>
      <c r="I177" s="204"/>
      <c r="J177" s="204">
        <v>0.33846575342465746</v>
      </c>
      <c r="K177" s="204"/>
      <c r="L177" s="204"/>
      <c r="M177" s="204"/>
      <c r="N177" s="204"/>
      <c r="O177" s="204"/>
      <c r="P177" s="204">
        <v>5.759873287397248</v>
      </c>
      <c r="Q177" s="204"/>
      <c r="R177" s="204">
        <v>261.61050408192034</v>
      </c>
      <c r="S177" s="205">
        <v>0.8838738377304719</v>
      </c>
    </row>
    <row r="178" spans="1:19" x14ac:dyDescent="0.25">
      <c r="A178" s="156" t="s">
        <v>87</v>
      </c>
      <c r="B178" s="202">
        <v>123.17397260273972</v>
      </c>
      <c r="C178" s="202">
        <v>123.17397260273972</v>
      </c>
      <c r="D178" s="202"/>
      <c r="E178" s="202">
        <v>141.88093150684892</v>
      </c>
      <c r="F178" s="202">
        <v>21.778918356164375</v>
      </c>
      <c r="G178" s="202"/>
      <c r="H178" s="202"/>
      <c r="I178" s="202"/>
      <c r="J178" s="202">
        <v>1.1620273972602746</v>
      </c>
      <c r="K178" s="202">
        <v>0.40273972602739722</v>
      </c>
      <c r="L178" s="202">
        <v>0.40273972602739722</v>
      </c>
      <c r="M178" s="202"/>
      <c r="N178" s="202"/>
      <c r="O178" s="202"/>
      <c r="P178" s="202"/>
      <c r="Q178" s="202"/>
      <c r="R178" s="202">
        <v>165.22461698630099</v>
      </c>
      <c r="S178" s="203">
        <v>1.3413922884437839</v>
      </c>
    </row>
    <row r="179" spans="1:19" x14ac:dyDescent="0.25">
      <c r="A179" s="155" t="s">
        <v>235</v>
      </c>
      <c r="B179" s="204">
        <v>123.17397260273997</v>
      </c>
      <c r="C179" s="204">
        <v>123.17397260273997</v>
      </c>
      <c r="D179" s="204"/>
      <c r="E179" s="204">
        <v>141.88093150684873</v>
      </c>
      <c r="F179" s="204">
        <v>21.778918356164429</v>
      </c>
      <c r="G179" s="204"/>
      <c r="H179" s="204"/>
      <c r="I179" s="204"/>
      <c r="J179" s="204">
        <v>1.1620273972602746</v>
      </c>
      <c r="K179" s="204">
        <v>0.40273972602739722</v>
      </c>
      <c r="L179" s="204">
        <v>0.40273972602739722</v>
      </c>
      <c r="M179" s="204"/>
      <c r="N179" s="204"/>
      <c r="O179" s="204"/>
      <c r="P179" s="204"/>
      <c r="Q179" s="204"/>
      <c r="R179" s="204">
        <v>165.22461698630082</v>
      </c>
      <c r="S179" s="205">
        <v>1.3413922884437799</v>
      </c>
    </row>
    <row r="180" spans="1:19" x14ac:dyDescent="0.25">
      <c r="A180" s="156" t="s">
        <v>88</v>
      </c>
      <c r="B180" s="202">
        <v>63.652054794520545</v>
      </c>
      <c r="C180" s="202">
        <v>63.652054794520545</v>
      </c>
      <c r="D180" s="202"/>
      <c r="E180" s="202">
        <v>56.868575342465746</v>
      </c>
      <c r="F180" s="202">
        <v>3.6448865753424662</v>
      </c>
      <c r="G180" s="202"/>
      <c r="H180" s="202"/>
      <c r="I180" s="202"/>
      <c r="J180" s="202">
        <v>1.7337534246575332</v>
      </c>
      <c r="K180" s="202"/>
      <c r="L180" s="202"/>
      <c r="M180" s="202">
        <v>8.6197808219178</v>
      </c>
      <c r="N180" s="202">
        <v>8.6197808219178</v>
      </c>
      <c r="O180" s="202"/>
      <c r="P180" s="202"/>
      <c r="Q180" s="202"/>
      <c r="R180" s="202">
        <v>70.866996164383551</v>
      </c>
      <c r="S180" s="203">
        <v>1.1133497008565401</v>
      </c>
    </row>
    <row r="181" spans="1:19" x14ac:dyDescent="0.25">
      <c r="A181" s="155" t="s">
        <v>234</v>
      </c>
      <c r="B181" s="204">
        <v>63.652054794520552</v>
      </c>
      <c r="C181" s="204">
        <v>63.652054794520552</v>
      </c>
      <c r="D181" s="204"/>
      <c r="E181" s="204">
        <v>56.868575342465796</v>
      </c>
      <c r="F181" s="204">
        <v>3.644886575342468</v>
      </c>
      <c r="G181" s="204"/>
      <c r="H181" s="204"/>
      <c r="I181" s="204"/>
      <c r="J181" s="204">
        <v>1.7337534246575323</v>
      </c>
      <c r="K181" s="204"/>
      <c r="L181" s="204"/>
      <c r="M181" s="204">
        <v>8.6197808219178</v>
      </c>
      <c r="N181" s="204">
        <v>8.6197808219178</v>
      </c>
      <c r="O181" s="204"/>
      <c r="P181" s="204"/>
      <c r="Q181" s="204"/>
      <c r="R181" s="204">
        <v>70.866996164383593</v>
      </c>
      <c r="S181" s="205">
        <v>1.1133497008565407</v>
      </c>
    </row>
    <row r="182" spans="1:19" x14ac:dyDescent="0.25">
      <c r="A182" s="156" t="s">
        <v>89</v>
      </c>
      <c r="B182" s="202">
        <v>245.38383561643676</v>
      </c>
      <c r="C182" s="202">
        <v>245.38383561643676</v>
      </c>
      <c r="D182" s="202"/>
      <c r="E182" s="202">
        <v>127.49320547945219</v>
      </c>
      <c r="F182" s="202">
        <v>69.061692986301296</v>
      </c>
      <c r="G182" s="202"/>
      <c r="H182" s="202"/>
      <c r="I182" s="202"/>
      <c r="J182" s="202">
        <v>6.1262465753424635</v>
      </c>
      <c r="K182" s="202">
        <v>9.1520547945205593</v>
      </c>
      <c r="L182" s="202">
        <v>9.1520547945205593</v>
      </c>
      <c r="M182" s="202"/>
      <c r="N182" s="202"/>
      <c r="O182" s="202"/>
      <c r="P182" s="202"/>
      <c r="Q182" s="202"/>
      <c r="R182" s="202">
        <v>211.83319983561648</v>
      </c>
      <c r="S182" s="203">
        <v>0.86327283662945187</v>
      </c>
    </row>
    <row r="183" spans="1:19" x14ac:dyDescent="0.25">
      <c r="A183" s="155" t="s">
        <v>229</v>
      </c>
      <c r="B183" s="204">
        <v>245.38383561643408</v>
      </c>
      <c r="C183" s="204">
        <v>245.38383561643408</v>
      </c>
      <c r="D183" s="204"/>
      <c r="E183" s="204">
        <v>127.49320547945224</v>
      </c>
      <c r="F183" s="204">
        <v>69.061692986302248</v>
      </c>
      <c r="G183" s="204"/>
      <c r="H183" s="204"/>
      <c r="I183" s="204"/>
      <c r="J183" s="204">
        <v>6.1262465753424671</v>
      </c>
      <c r="K183" s="204">
        <v>9.152054794520561</v>
      </c>
      <c r="L183" s="204">
        <v>9.152054794520561</v>
      </c>
      <c r="M183" s="204"/>
      <c r="N183" s="204"/>
      <c r="O183" s="204"/>
      <c r="P183" s="204"/>
      <c r="Q183" s="204"/>
      <c r="R183" s="204">
        <v>211.83319983561751</v>
      </c>
      <c r="S183" s="205">
        <v>0.86327283662946541</v>
      </c>
    </row>
    <row r="184" spans="1:19" x14ac:dyDescent="0.25">
      <c r="A184" s="156" t="s">
        <v>90</v>
      </c>
      <c r="B184" s="202">
        <v>1787.4226027397197</v>
      </c>
      <c r="C184" s="202">
        <v>1785.4247945205416</v>
      </c>
      <c r="D184" s="202">
        <v>1.9978082191780815</v>
      </c>
      <c r="E184" s="202">
        <v>1350.6066547945013</v>
      </c>
      <c r="F184" s="202">
        <v>243.93116379452235</v>
      </c>
      <c r="G184" s="202">
        <v>78.710876712328854</v>
      </c>
      <c r="H184" s="202">
        <v>15.138410958904107</v>
      </c>
      <c r="I184" s="202">
        <v>1.8979178082191757</v>
      </c>
      <c r="J184" s="202">
        <v>53.170216438356107</v>
      </c>
      <c r="K184" s="202">
        <v>109.29389041095847</v>
      </c>
      <c r="L184" s="202">
        <v>109.29389041095847</v>
      </c>
      <c r="M184" s="202"/>
      <c r="N184" s="202"/>
      <c r="O184" s="202"/>
      <c r="P184" s="202">
        <v>0.23978742904109579</v>
      </c>
      <c r="Q184" s="202"/>
      <c r="R184" s="202">
        <v>1852.9889183468315</v>
      </c>
      <c r="S184" s="203">
        <v>1.0366820445856584</v>
      </c>
    </row>
    <row r="185" spans="1:19" x14ac:dyDescent="0.25">
      <c r="A185" s="155" t="s">
        <v>228</v>
      </c>
      <c r="B185" s="204">
        <v>1787.4226027397663</v>
      </c>
      <c r="C185" s="204">
        <v>1785.4247945205882</v>
      </c>
      <c r="D185" s="204">
        <v>1.9978082191780873</v>
      </c>
      <c r="E185" s="204">
        <v>1350.6066547945018</v>
      </c>
      <c r="F185" s="204">
        <v>243.93116379452204</v>
      </c>
      <c r="G185" s="204">
        <v>78.710876712329181</v>
      </c>
      <c r="H185" s="204">
        <v>15.138410958904107</v>
      </c>
      <c r="I185" s="204">
        <v>1.8979178082191712</v>
      </c>
      <c r="J185" s="204">
        <v>53.170216438355411</v>
      </c>
      <c r="K185" s="204">
        <v>109.29389041095749</v>
      </c>
      <c r="L185" s="204">
        <v>109.29389041095749</v>
      </c>
      <c r="M185" s="204"/>
      <c r="N185" s="204"/>
      <c r="O185" s="204"/>
      <c r="P185" s="204">
        <v>0.23978742904109573</v>
      </c>
      <c r="Q185" s="204"/>
      <c r="R185" s="204">
        <v>1852.9889183468301</v>
      </c>
      <c r="S185" s="205">
        <v>1.0366820445856306</v>
      </c>
    </row>
    <row r="186" spans="1:19" x14ac:dyDescent="0.25">
      <c r="A186" s="156" t="s">
        <v>91</v>
      </c>
      <c r="B186" s="202">
        <v>311.99452054794273</v>
      </c>
      <c r="C186" s="202">
        <v>122.0767123287655</v>
      </c>
      <c r="D186" s="202">
        <v>189.91780821917723</v>
      </c>
      <c r="E186" s="202"/>
      <c r="F186" s="202">
        <v>88.554447123287702</v>
      </c>
      <c r="G186" s="202"/>
      <c r="H186" s="202"/>
      <c r="I186" s="202">
        <v>180.42191780821989</v>
      </c>
      <c r="J186" s="202"/>
      <c r="K186" s="202"/>
      <c r="L186" s="202"/>
      <c r="M186" s="202"/>
      <c r="N186" s="202"/>
      <c r="O186" s="202"/>
      <c r="P186" s="202"/>
      <c r="Q186" s="202"/>
      <c r="R186" s="202">
        <v>268.97636493150759</v>
      </c>
      <c r="S186" s="203">
        <v>0.86211887458509151</v>
      </c>
    </row>
    <row r="187" spans="1:19" x14ac:dyDescent="0.25">
      <c r="A187" s="155" t="s">
        <v>227</v>
      </c>
      <c r="B187" s="204">
        <v>311.9945205479429</v>
      </c>
      <c r="C187" s="204">
        <v>122.07671232876601</v>
      </c>
      <c r="D187" s="204">
        <v>189.91780821917689</v>
      </c>
      <c r="E187" s="204"/>
      <c r="F187" s="204">
        <v>88.554447123287531</v>
      </c>
      <c r="G187" s="204"/>
      <c r="H187" s="204"/>
      <c r="I187" s="204">
        <v>180.42191780821994</v>
      </c>
      <c r="J187" s="204"/>
      <c r="K187" s="204"/>
      <c r="L187" s="204"/>
      <c r="M187" s="204"/>
      <c r="N187" s="204"/>
      <c r="O187" s="204"/>
      <c r="P187" s="204"/>
      <c r="Q187" s="204"/>
      <c r="R187" s="204">
        <v>268.97636493150748</v>
      </c>
      <c r="S187" s="205">
        <v>0.86211887458509062</v>
      </c>
    </row>
    <row r="188" spans="1:19" x14ac:dyDescent="0.25">
      <c r="A188" s="156" t="s">
        <v>436</v>
      </c>
      <c r="B188" s="202">
        <v>1300.0791780821901</v>
      </c>
      <c r="C188" s="202">
        <v>1300.0791780821901</v>
      </c>
      <c r="D188" s="202"/>
      <c r="E188" s="202">
        <v>296.10675342465231</v>
      </c>
      <c r="F188" s="202">
        <v>668.45331764384559</v>
      </c>
      <c r="G188" s="202"/>
      <c r="H188" s="202"/>
      <c r="I188" s="202"/>
      <c r="J188" s="202">
        <v>0.67961095890410994</v>
      </c>
      <c r="K188" s="202">
        <v>0.87904109589041113</v>
      </c>
      <c r="L188" s="202">
        <v>0.87904109589041113</v>
      </c>
      <c r="M188" s="202"/>
      <c r="N188" s="202"/>
      <c r="O188" s="202"/>
      <c r="P188" s="202"/>
      <c r="Q188" s="202"/>
      <c r="R188" s="202">
        <v>966.11872312329251</v>
      </c>
      <c r="S188" s="203">
        <v>0.74312298774637797</v>
      </c>
    </row>
    <row r="189" spans="1:19" x14ac:dyDescent="0.25">
      <c r="A189" s="155" t="s">
        <v>250</v>
      </c>
      <c r="B189" s="204">
        <v>1300.0791780821523</v>
      </c>
      <c r="C189" s="204">
        <v>1300.0791780821523</v>
      </c>
      <c r="D189" s="204"/>
      <c r="E189" s="204">
        <v>296.10675342465214</v>
      </c>
      <c r="F189" s="204">
        <v>668.45331764386378</v>
      </c>
      <c r="G189" s="204"/>
      <c r="H189" s="204"/>
      <c r="I189" s="204"/>
      <c r="J189" s="204">
        <v>0.67961095890410994</v>
      </c>
      <c r="K189" s="204">
        <v>0.87904109589041113</v>
      </c>
      <c r="L189" s="204">
        <v>0.87904109589041113</v>
      </c>
      <c r="M189" s="204"/>
      <c r="N189" s="204"/>
      <c r="O189" s="204"/>
      <c r="P189" s="204"/>
      <c r="Q189" s="204"/>
      <c r="R189" s="204">
        <v>966.11872312331059</v>
      </c>
      <c r="S189" s="205">
        <v>0.7431229877464135</v>
      </c>
    </row>
    <row r="190" spans="1:19" x14ac:dyDescent="0.25">
      <c r="A190" s="156" t="s">
        <v>529</v>
      </c>
      <c r="B190" s="202">
        <v>35.053424657534222</v>
      </c>
      <c r="C190" s="202">
        <v>35.053424657534222</v>
      </c>
      <c r="D190" s="202"/>
      <c r="E190" s="202"/>
      <c r="F190" s="202">
        <v>25.427754246575358</v>
      </c>
      <c r="G190" s="202"/>
      <c r="H190" s="202"/>
      <c r="I190" s="202"/>
      <c r="J190" s="202">
        <v>2.3013698630136987E-2</v>
      </c>
      <c r="K190" s="202">
        <v>0.11369863013698631</v>
      </c>
      <c r="L190" s="202">
        <v>0.11369863013698631</v>
      </c>
      <c r="M190" s="202"/>
      <c r="N190" s="202"/>
      <c r="O190" s="202"/>
      <c r="P190" s="202"/>
      <c r="Q190" s="202"/>
      <c r="R190" s="202">
        <v>25.564466575342482</v>
      </c>
      <c r="S190" s="203">
        <v>0.72930011332994749</v>
      </c>
    </row>
    <row r="191" spans="1:19" x14ac:dyDescent="0.25">
      <c r="A191" s="155" t="s">
        <v>226</v>
      </c>
      <c r="B191" s="204">
        <v>35.053424657534315</v>
      </c>
      <c r="C191" s="204">
        <v>35.053424657534315</v>
      </c>
      <c r="D191" s="204"/>
      <c r="E191" s="204"/>
      <c r="F191" s="204">
        <v>25.427754246575422</v>
      </c>
      <c r="G191" s="204"/>
      <c r="H191" s="204"/>
      <c r="I191" s="204"/>
      <c r="J191" s="204">
        <v>2.3013698630136987E-2</v>
      </c>
      <c r="K191" s="204">
        <v>0.11369863013698631</v>
      </c>
      <c r="L191" s="204">
        <v>0.11369863013698631</v>
      </c>
      <c r="M191" s="204"/>
      <c r="N191" s="204"/>
      <c r="O191" s="204"/>
      <c r="P191" s="204"/>
      <c r="Q191" s="204"/>
      <c r="R191" s="204">
        <v>25.564466575342546</v>
      </c>
      <c r="S191" s="205">
        <v>0.72930011332994737</v>
      </c>
    </row>
    <row r="192" spans="1:19" x14ac:dyDescent="0.25">
      <c r="A192" s="156" t="s">
        <v>93</v>
      </c>
      <c r="B192" s="202">
        <v>70.787397260273892</v>
      </c>
      <c r="C192" s="202">
        <v>70.787397260273892</v>
      </c>
      <c r="D192" s="202"/>
      <c r="E192" s="202">
        <v>61.847200000000022</v>
      </c>
      <c r="F192" s="202">
        <v>5.0976739726027391</v>
      </c>
      <c r="G192" s="202"/>
      <c r="H192" s="202"/>
      <c r="I192" s="202"/>
      <c r="J192" s="202">
        <v>0.90509589041095884</v>
      </c>
      <c r="K192" s="202">
        <v>2.1794520547945209</v>
      </c>
      <c r="L192" s="202">
        <v>2.1794520547945209</v>
      </c>
      <c r="M192" s="202">
        <v>2.0695068493150681</v>
      </c>
      <c r="N192" s="202">
        <v>2.0695068493150681</v>
      </c>
      <c r="O192" s="202"/>
      <c r="P192" s="202"/>
      <c r="Q192" s="202"/>
      <c r="R192" s="202">
        <v>72.098928767123311</v>
      </c>
      <c r="S192" s="203">
        <v>1.0185277543406086</v>
      </c>
    </row>
    <row r="193" spans="1:19" x14ac:dyDescent="0.25">
      <c r="A193" s="155" t="s">
        <v>225</v>
      </c>
      <c r="B193" s="204">
        <v>70.787397260273821</v>
      </c>
      <c r="C193" s="204">
        <v>70.787397260273821</v>
      </c>
      <c r="D193" s="204"/>
      <c r="E193" s="204">
        <v>61.847200000000136</v>
      </c>
      <c r="F193" s="204">
        <v>5.0976739726027347</v>
      </c>
      <c r="G193" s="204"/>
      <c r="H193" s="204"/>
      <c r="I193" s="204"/>
      <c r="J193" s="204">
        <v>0.90509589041095928</v>
      </c>
      <c r="K193" s="204">
        <v>2.1794520547945213</v>
      </c>
      <c r="L193" s="204">
        <v>2.1794520547945213</v>
      </c>
      <c r="M193" s="204">
        <v>2.0695068493150681</v>
      </c>
      <c r="N193" s="204">
        <v>2.0695068493150681</v>
      </c>
      <c r="O193" s="204"/>
      <c r="P193" s="204"/>
      <c r="Q193" s="204"/>
      <c r="R193" s="204">
        <v>72.098928767123411</v>
      </c>
      <c r="S193" s="205">
        <v>1.018527754340611</v>
      </c>
    </row>
    <row r="194" spans="1:19" x14ac:dyDescent="0.25">
      <c r="A194" s="156" t="s">
        <v>94</v>
      </c>
      <c r="B194" s="202">
        <v>3080.3493150684276</v>
      </c>
      <c r="C194" s="202">
        <v>3079.3493150684276</v>
      </c>
      <c r="D194" s="202">
        <v>1</v>
      </c>
      <c r="E194" s="202">
        <v>2935.1147643834984</v>
      </c>
      <c r="F194" s="202">
        <v>345.26487978082235</v>
      </c>
      <c r="G194" s="202">
        <v>155.21090410958911</v>
      </c>
      <c r="H194" s="202"/>
      <c r="I194" s="202">
        <v>0.95</v>
      </c>
      <c r="J194" s="202">
        <v>101.46854794520603</v>
      </c>
      <c r="K194" s="202">
        <v>202.68931506849336</v>
      </c>
      <c r="L194" s="202">
        <v>191.27298518342283</v>
      </c>
      <c r="M194" s="202">
        <v>223.62980821917867</v>
      </c>
      <c r="N194" s="202">
        <v>213.56408402671241</v>
      </c>
      <c r="O194" s="202">
        <v>-0.3184495890410961</v>
      </c>
      <c r="P194" s="202">
        <v>0.59490749589041092</v>
      </c>
      <c r="Q194" s="202"/>
      <c r="R194" s="202">
        <v>3943.1226233361003</v>
      </c>
      <c r="S194" s="203">
        <v>1.2800894379241878</v>
      </c>
    </row>
    <row r="195" spans="1:19" x14ac:dyDescent="0.25">
      <c r="A195" s="155" t="s">
        <v>224</v>
      </c>
      <c r="B195" s="204">
        <v>3080.349315068238</v>
      </c>
      <c r="C195" s="204">
        <v>3079.349315068238</v>
      </c>
      <c r="D195" s="204">
        <v>0.99999999999999989</v>
      </c>
      <c r="E195" s="204">
        <v>2935.1147643834834</v>
      </c>
      <c r="F195" s="204">
        <v>345.26487978082122</v>
      </c>
      <c r="G195" s="204">
        <v>155.21090410958911</v>
      </c>
      <c r="H195" s="204"/>
      <c r="I195" s="204">
        <v>0.95</v>
      </c>
      <c r="J195" s="204">
        <v>101.46854794520415</v>
      </c>
      <c r="K195" s="204">
        <v>202.68931506849</v>
      </c>
      <c r="L195" s="204">
        <v>191.27298518341948</v>
      </c>
      <c r="M195" s="204">
        <v>223.62980821917867</v>
      </c>
      <c r="N195" s="204">
        <v>213.56408402671241</v>
      </c>
      <c r="O195" s="204">
        <v>-0.3184495890410961</v>
      </c>
      <c r="P195" s="204">
        <v>0.59490749589040959</v>
      </c>
      <c r="Q195" s="204"/>
      <c r="R195" s="204">
        <v>3943.122623336079</v>
      </c>
      <c r="S195" s="205">
        <v>1.2800894379242596</v>
      </c>
    </row>
    <row r="196" spans="1:19" x14ac:dyDescent="0.25">
      <c r="A196" s="156" t="s">
        <v>95</v>
      </c>
      <c r="B196" s="202">
        <v>2257.8016438356058</v>
      </c>
      <c r="C196" s="202">
        <v>2256.7961643835511</v>
      </c>
      <c r="D196" s="202">
        <v>1.0054794520547945</v>
      </c>
      <c r="E196" s="202">
        <v>1833.6047041095478</v>
      </c>
      <c r="F196" s="202">
        <v>308.57811238356192</v>
      </c>
      <c r="G196" s="202">
        <v>73.822958904109669</v>
      </c>
      <c r="H196" s="202"/>
      <c r="I196" s="202">
        <v>0.9552054794520547</v>
      </c>
      <c r="J196" s="202">
        <v>58.344328767123038</v>
      </c>
      <c r="K196" s="202">
        <v>161.21739726027295</v>
      </c>
      <c r="L196" s="202">
        <v>161.21739726027295</v>
      </c>
      <c r="M196" s="202"/>
      <c r="N196" s="202"/>
      <c r="O196" s="202"/>
      <c r="P196" s="202">
        <v>0.41375125479452013</v>
      </c>
      <c r="Q196" s="202"/>
      <c r="R196" s="202">
        <v>2436.9364581588625</v>
      </c>
      <c r="S196" s="203">
        <v>1.0793403684563443</v>
      </c>
    </row>
    <row r="197" spans="1:19" x14ac:dyDescent="0.25">
      <c r="A197" s="155" t="s">
        <v>222</v>
      </c>
      <c r="B197" s="204">
        <v>2257.8016438354612</v>
      </c>
      <c r="C197" s="204">
        <v>2256.7961643834064</v>
      </c>
      <c r="D197" s="204">
        <v>1.0054794520547943</v>
      </c>
      <c r="E197" s="204">
        <v>1833.6047041095096</v>
      </c>
      <c r="F197" s="204">
        <v>308.57811238356123</v>
      </c>
      <c r="G197" s="204">
        <v>73.822958904109669</v>
      </c>
      <c r="H197" s="204"/>
      <c r="I197" s="204">
        <v>0.95520547945205481</v>
      </c>
      <c r="J197" s="204">
        <v>58.344328767122121</v>
      </c>
      <c r="K197" s="204">
        <v>161.21739726027039</v>
      </c>
      <c r="L197" s="204">
        <v>161.21739726027039</v>
      </c>
      <c r="M197" s="204"/>
      <c r="N197" s="204"/>
      <c r="O197" s="204"/>
      <c r="P197" s="204">
        <v>0.41375125479451991</v>
      </c>
      <c r="Q197" s="204"/>
      <c r="R197" s="204">
        <v>2436.9364581588197</v>
      </c>
      <c r="S197" s="205">
        <v>1.0793403684563945</v>
      </c>
    </row>
    <row r="198" spans="1:19" x14ac:dyDescent="0.25">
      <c r="A198" s="156" t="s">
        <v>96</v>
      </c>
      <c r="B198" s="202">
        <v>4101.7083561643831</v>
      </c>
      <c r="C198" s="202">
        <v>3962.9768493150682</v>
      </c>
      <c r="D198" s="202">
        <v>138.73150684931488</v>
      </c>
      <c r="E198" s="202">
        <v>2898.6468342465341</v>
      </c>
      <c r="F198" s="202">
        <v>784.97522416439108</v>
      </c>
      <c r="G198" s="202">
        <v>134.22049315068529</v>
      </c>
      <c r="H198" s="202">
        <v>14.400054794520546</v>
      </c>
      <c r="I198" s="202">
        <v>131.79493150684928</v>
      </c>
      <c r="J198" s="202">
        <v>87.450550684931358</v>
      </c>
      <c r="K198" s="202">
        <v>177.70887671232794</v>
      </c>
      <c r="L198" s="202">
        <v>177.70887671232794</v>
      </c>
      <c r="M198" s="202">
        <v>74.599298630137682</v>
      </c>
      <c r="N198" s="202">
        <v>74.599298630137682</v>
      </c>
      <c r="O198" s="202"/>
      <c r="P198" s="202">
        <v>0.54692206027397272</v>
      </c>
      <c r="Q198" s="202">
        <v>15.987375342465741</v>
      </c>
      <c r="R198" s="202">
        <v>4320.3305612931163</v>
      </c>
      <c r="S198" s="203">
        <v>1.0533002803088547</v>
      </c>
    </row>
    <row r="199" spans="1:19" x14ac:dyDescent="0.25">
      <c r="A199" s="155" t="s">
        <v>221</v>
      </c>
      <c r="B199" s="204">
        <v>4101.7083561646641</v>
      </c>
      <c r="C199" s="204">
        <v>3962.9768493153515</v>
      </c>
      <c r="D199" s="204">
        <v>138.73150684931267</v>
      </c>
      <c r="E199" s="204">
        <v>2898.6468342465178</v>
      </c>
      <c r="F199" s="204">
        <v>784.97522416441302</v>
      </c>
      <c r="G199" s="204">
        <v>134.2204931506856</v>
      </c>
      <c r="H199" s="204">
        <v>14.400054794520546</v>
      </c>
      <c r="I199" s="204">
        <v>131.79493150684971</v>
      </c>
      <c r="J199" s="204">
        <v>87.450550684930207</v>
      </c>
      <c r="K199" s="204">
        <v>177.70887671232481</v>
      </c>
      <c r="L199" s="204">
        <v>177.70887671232481</v>
      </c>
      <c r="M199" s="204">
        <v>74.599298630137682</v>
      </c>
      <c r="N199" s="204">
        <v>74.599298630137682</v>
      </c>
      <c r="O199" s="204"/>
      <c r="P199" s="204">
        <v>0.54692206027397183</v>
      </c>
      <c r="Q199" s="204">
        <v>15.987375342465741</v>
      </c>
      <c r="R199" s="204">
        <v>4320.3305612931181</v>
      </c>
      <c r="S199" s="205">
        <v>1.053300280308783</v>
      </c>
    </row>
    <row r="200" spans="1:19" x14ac:dyDescent="0.25">
      <c r="A200" s="156" t="s">
        <v>97</v>
      </c>
      <c r="B200" s="202">
        <v>2742.8187123287298</v>
      </c>
      <c r="C200" s="202">
        <v>2741.9750410958532</v>
      </c>
      <c r="D200" s="202">
        <v>0.8436712328767122</v>
      </c>
      <c r="E200" s="202">
        <v>2332.7003452054591</v>
      </c>
      <c r="F200" s="202">
        <v>278.08772656438424</v>
      </c>
      <c r="G200" s="202">
        <v>59.199287671232852</v>
      </c>
      <c r="H200" s="202">
        <v>27.85501369863011</v>
      </c>
      <c r="I200" s="202">
        <v>0.80148767123287556</v>
      </c>
      <c r="J200" s="202">
        <v>54.853627397260247</v>
      </c>
      <c r="K200" s="202">
        <v>118.22410958904095</v>
      </c>
      <c r="L200" s="202">
        <v>118.22410958904095</v>
      </c>
      <c r="M200" s="202">
        <v>8.0659726027397269</v>
      </c>
      <c r="N200" s="202">
        <v>8.0659726027397269</v>
      </c>
      <c r="O200" s="202">
        <v>-2.9075056328767124</v>
      </c>
      <c r="P200" s="202">
        <v>0.4269525534246571</v>
      </c>
      <c r="Q200" s="202">
        <v>0.66279452054794519</v>
      </c>
      <c r="R200" s="202">
        <v>2877.9698118410761</v>
      </c>
      <c r="S200" s="203">
        <v>1.0492745287557117</v>
      </c>
    </row>
    <row r="201" spans="1:19" x14ac:dyDescent="0.25">
      <c r="A201" s="155" t="s">
        <v>220</v>
      </c>
      <c r="B201" s="204">
        <v>2742.8187123284042</v>
      </c>
      <c r="C201" s="204">
        <v>2741.9750410955276</v>
      </c>
      <c r="D201" s="204">
        <v>0.84367123287671208</v>
      </c>
      <c r="E201" s="204">
        <v>2332.7003452055114</v>
      </c>
      <c r="F201" s="204">
        <v>278.08772656438231</v>
      </c>
      <c r="G201" s="204">
        <v>59.199287671232817</v>
      </c>
      <c r="H201" s="204">
        <v>27.85501369863011</v>
      </c>
      <c r="I201" s="204">
        <v>0.80148767123287579</v>
      </c>
      <c r="J201" s="204">
        <v>54.853627397258641</v>
      </c>
      <c r="K201" s="204">
        <v>118.22410958903885</v>
      </c>
      <c r="L201" s="204">
        <v>118.22410958903885</v>
      </c>
      <c r="M201" s="204">
        <v>8.0659726027397269</v>
      </c>
      <c r="N201" s="204">
        <v>8.0659726027397269</v>
      </c>
      <c r="O201" s="204">
        <v>-2.9075056328767124</v>
      </c>
      <c r="P201" s="204">
        <v>0.42695255342465666</v>
      </c>
      <c r="Q201" s="204">
        <v>0.66279452054794519</v>
      </c>
      <c r="R201" s="204">
        <v>2877.9698118411225</v>
      </c>
      <c r="S201" s="205">
        <v>1.0492745287558531</v>
      </c>
    </row>
    <row r="202" spans="1:19" x14ac:dyDescent="0.25">
      <c r="A202" s="156" t="s">
        <v>98</v>
      </c>
      <c r="B202" s="202">
        <v>6532.4472328762613</v>
      </c>
      <c r="C202" s="202">
        <v>6477.5014794516037</v>
      </c>
      <c r="D202" s="202">
        <v>54.945753424657447</v>
      </c>
      <c r="E202" s="202">
        <v>4783.8260939725242</v>
      </c>
      <c r="F202" s="202">
        <v>1227.6019007671</v>
      </c>
      <c r="G202" s="202">
        <v>435.7316082191748</v>
      </c>
      <c r="H202" s="202">
        <v>65.745342465753509</v>
      </c>
      <c r="I202" s="202">
        <v>52.198465753424642</v>
      </c>
      <c r="J202" s="202">
        <v>174.30849863013609</v>
      </c>
      <c r="K202" s="202">
        <v>750.22502465753473</v>
      </c>
      <c r="L202" s="202">
        <v>690.64716125424798</v>
      </c>
      <c r="M202" s="202">
        <v>31.570619178082133</v>
      </c>
      <c r="N202" s="202">
        <v>31.570619178082133</v>
      </c>
      <c r="O202" s="202">
        <v>-1.9164909008219169</v>
      </c>
      <c r="P202" s="202">
        <v>4.08291709315069</v>
      </c>
      <c r="Q202" s="202">
        <v>5.3812602739725985</v>
      </c>
      <c r="R202" s="202">
        <v>7469.1773767067452</v>
      </c>
      <c r="S202" s="203">
        <v>1.1433965113588891</v>
      </c>
    </row>
    <row r="203" spans="1:19" x14ac:dyDescent="0.25">
      <c r="A203" s="155" t="s">
        <v>219</v>
      </c>
      <c r="B203" s="204">
        <v>6532.4472328769043</v>
      </c>
      <c r="C203" s="204">
        <v>6477.5014794522467</v>
      </c>
      <c r="D203" s="204">
        <v>54.945753424657809</v>
      </c>
      <c r="E203" s="204">
        <v>4783.8260939724478</v>
      </c>
      <c r="F203" s="204">
        <v>1227.6019007669622</v>
      </c>
      <c r="G203" s="204">
        <v>435.73160821917958</v>
      </c>
      <c r="H203" s="204">
        <v>65.745342465753509</v>
      </c>
      <c r="I203" s="204">
        <v>52.198465753425118</v>
      </c>
      <c r="J203" s="204">
        <v>174.30849863013339</v>
      </c>
      <c r="K203" s="204">
        <v>750.22502465753882</v>
      </c>
      <c r="L203" s="204">
        <v>690.64716125425207</v>
      </c>
      <c r="M203" s="204">
        <v>31.570619178082133</v>
      </c>
      <c r="N203" s="204">
        <v>31.570619178082133</v>
      </c>
      <c r="O203" s="204">
        <v>-1.9164909008219169</v>
      </c>
      <c r="P203" s="204">
        <v>4.0829170931507095</v>
      </c>
      <c r="Q203" s="204">
        <v>5.3812602739725985</v>
      </c>
      <c r="R203" s="204">
        <v>7469.1773767065361</v>
      </c>
      <c r="S203" s="205">
        <v>1.1433965113587445</v>
      </c>
    </row>
    <row r="204" spans="1:19" x14ac:dyDescent="0.25">
      <c r="A204" s="156" t="s">
        <v>99</v>
      </c>
      <c r="B204" s="202">
        <v>4799.5052602738615</v>
      </c>
      <c r="C204" s="202">
        <v>4798.4449863012587</v>
      </c>
      <c r="D204" s="202">
        <v>1.0602739726027397</v>
      </c>
      <c r="E204" s="202">
        <v>4036.7551643834745</v>
      </c>
      <c r="F204" s="202">
        <v>700.34118337808945</v>
      </c>
      <c r="G204" s="202">
        <v>186.29823013698621</v>
      </c>
      <c r="H204" s="202">
        <v>36.597150684931435</v>
      </c>
      <c r="I204" s="202">
        <v>1.0072602739726026</v>
      </c>
      <c r="J204" s="202">
        <v>163.02859726027427</v>
      </c>
      <c r="K204" s="202">
        <v>349.10662739725888</v>
      </c>
      <c r="L204" s="202">
        <v>349.10662739725888</v>
      </c>
      <c r="M204" s="202">
        <v>98.121698630138127</v>
      </c>
      <c r="N204" s="202">
        <v>98.121698630138127</v>
      </c>
      <c r="O204" s="202"/>
      <c r="P204" s="202">
        <v>3.6489278712328743</v>
      </c>
      <c r="Q204" s="202"/>
      <c r="R204" s="202">
        <v>5574.9048400163592</v>
      </c>
      <c r="S204" s="203">
        <v>1.1615582310453085</v>
      </c>
    </row>
    <row r="205" spans="1:19" x14ac:dyDescent="0.25">
      <c r="A205" s="155" t="s">
        <v>218</v>
      </c>
      <c r="B205" s="204">
        <v>4799.5052602736723</v>
      </c>
      <c r="C205" s="204">
        <v>4798.4449863010695</v>
      </c>
      <c r="D205" s="204">
        <v>1.0602739726027395</v>
      </c>
      <c r="E205" s="204">
        <v>4036.7551643834986</v>
      </c>
      <c r="F205" s="204">
        <v>700.34118337812254</v>
      </c>
      <c r="G205" s="204">
        <v>186.29823013698615</v>
      </c>
      <c r="H205" s="204">
        <v>36.597150684931435</v>
      </c>
      <c r="I205" s="204">
        <v>1.0072602739726033</v>
      </c>
      <c r="J205" s="204">
        <v>163.02859726027151</v>
      </c>
      <c r="K205" s="204">
        <v>349.10662739726257</v>
      </c>
      <c r="L205" s="204">
        <v>349.10662739726257</v>
      </c>
      <c r="M205" s="204">
        <v>98.121698630138127</v>
      </c>
      <c r="N205" s="204">
        <v>98.121698630138127</v>
      </c>
      <c r="O205" s="204"/>
      <c r="P205" s="204">
        <v>3.6489278712328796</v>
      </c>
      <c r="Q205" s="204"/>
      <c r="R205" s="204">
        <v>5574.9048400164165</v>
      </c>
      <c r="S205" s="205">
        <v>1.1615582310453663</v>
      </c>
    </row>
    <row r="206" spans="1:19" x14ac:dyDescent="0.25">
      <c r="A206" s="156" t="s">
        <v>100</v>
      </c>
      <c r="B206" s="202">
        <v>2268.0989041095531</v>
      </c>
      <c r="C206" s="202">
        <v>2262.6112328766762</v>
      </c>
      <c r="D206" s="202">
        <v>5.4876712328767585</v>
      </c>
      <c r="E206" s="202">
        <v>1749.5621589041091</v>
      </c>
      <c r="F206" s="202">
        <v>222.08168646575459</v>
      </c>
      <c r="G206" s="202">
        <v>182.98997260273921</v>
      </c>
      <c r="H206" s="202">
        <v>52.650279452054413</v>
      </c>
      <c r="I206" s="202">
        <v>5.2132876712328899</v>
      </c>
      <c r="J206" s="202">
        <v>31.174684931506743</v>
      </c>
      <c r="K206" s="202">
        <v>220.90549315068461</v>
      </c>
      <c r="L206" s="202">
        <v>212.03630476821905</v>
      </c>
      <c r="M206" s="202"/>
      <c r="N206" s="202"/>
      <c r="O206" s="202"/>
      <c r="P206" s="202">
        <v>0.90849126575342232</v>
      </c>
      <c r="Q206" s="202"/>
      <c r="R206" s="202">
        <v>2456.6168660613694</v>
      </c>
      <c r="S206" s="203">
        <v>1.0831171698951232</v>
      </c>
    </row>
    <row r="207" spans="1:19" x14ac:dyDescent="0.25">
      <c r="A207" s="155" t="s">
        <v>217</v>
      </c>
      <c r="B207" s="204">
        <v>2268.0989041091989</v>
      </c>
      <c r="C207" s="204">
        <v>2262.611232876322</v>
      </c>
      <c r="D207" s="204">
        <v>5.4876712328767585</v>
      </c>
      <c r="E207" s="204">
        <v>1749.5621589040677</v>
      </c>
      <c r="F207" s="204">
        <v>222.08168646575416</v>
      </c>
      <c r="G207" s="204">
        <v>182.98997260273762</v>
      </c>
      <c r="H207" s="204">
        <v>52.650279452054413</v>
      </c>
      <c r="I207" s="204">
        <v>5.2132876712328899</v>
      </c>
      <c r="J207" s="204">
        <v>31.174684931506857</v>
      </c>
      <c r="K207" s="204">
        <v>220.90549315068296</v>
      </c>
      <c r="L207" s="204">
        <v>212.03630476821795</v>
      </c>
      <c r="M207" s="204"/>
      <c r="N207" s="204"/>
      <c r="O207" s="204"/>
      <c r="P207" s="204">
        <v>0.90849126575342243</v>
      </c>
      <c r="Q207" s="204"/>
      <c r="R207" s="204">
        <v>2456.6168660613253</v>
      </c>
      <c r="S207" s="205">
        <v>1.0831171698952728</v>
      </c>
    </row>
    <row r="208" spans="1:19" x14ac:dyDescent="0.25">
      <c r="A208" s="156" t="s">
        <v>146</v>
      </c>
      <c r="B208" s="202">
        <v>58.49315068493155</v>
      </c>
      <c r="C208" s="202"/>
      <c r="D208" s="202">
        <v>58.49315068493155</v>
      </c>
      <c r="E208" s="202"/>
      <c r="F208" s="202"/>
      <c r="G208" s="202"/>
      <c r="H208" s="202"/>
      <c r="I208" s="202">
        <v>55.56849315068493</v>
      </c>
      <c r="J208" s="202"/>
      <c r="K208" s="202"/>
      <c r="L208" s="202"/>
      <c r="M208" s="202"/>
      <c r="N208" s="202"/>
      <c r="O208" s="202"/>
      <c r="P208" s="202"/>
      <c r="Q208" s="202"/>
      <c r="R208" s="202">
        <v>55.56849315068493</v>
      </c>
      <c r="S208" s="203">
        <v>0.94999999999999929</v>
      </c>
    </row>
    <row r="209" spans="1:19" x14ac:dyDescent="0.25">
      <c r="A209" s="155" t="s">
        <v>216</v>
      </c>
      <c r="B209" s="204">
        <v>58.4931506849315</v>
      </c>
      <c r="C209" s="204"/>
      <c r="D209" s="204">
        <v>58.4931506849315</v>
      </c>
      <c r="E209" s="204"/>
      <c r="F209" s="204"/>
      <c r="G209" s="204"/>
      <c r="H209" s="204"/>
      <c r="I209" s="204">
        <v>55.568493150685107</v>
      </c>
      <c r="J209" s="204"/>
      <c r="K209" s="204"/>
      <c r="L209" s="204"/>
      <c r="M209" s="204"/>
      <c r="N209" s="204"/>
      <c r="O209" s="204"/>
      <c r="P209" s="204"/>
      <c r="Q209" s="204"/>
      <c r="R209" s="204">
        <v>55.568493150685107</v>
      </c>
      <c r="S209" s="205">
        <v>0.95000000000000306</v>
      </c>
    </row>
    <row r="210" spans="1:19" x14ac:dyDescent="0.25">
      <c r="A210" s="156" t="s">
        <v>101</v>
      </c>
      <c r="B210" s="202">
        <v>25.945205479452053</v>
      </c>
      <c r="C210" s="202">
        <v>25.945205479452053</v>
      </c>
      <c r="D210" s="202"/>
      <c r="E210" s="202">
        <v>27.761369863013705</v>
      </c>
      <c r="F210" s="202"/>
      <c r="G210" s="202"/>
      <c r="H210" s="202"/>
      <c r="I210" s="202"/>
      <c r="J210" s="202">
        <v>1.503123287671233</v>
      </c>
      <c r="K210" s="202"/>
      <c r="L210" s="202"/>
      <c r="M210" s="202"/>
      <c r="N210" s="202"/>
      <c r="O210" s="202"/>
      <c r="P210" s="202"/>
      <c r="Q210" s="202"/>
      <c r="R210" s="202">
        <v>29.264493150684938</v>
      </c>
      <c r="S210" s="203">
        <v>1.1279345300950374</v>
      </c>
    </row>
    <row r="211" spans="1:19" x14ac:dyDescent="0.25">
      <c r="A211" s="155" t="s">
        <v>214</v>
      </c>
      <c r="B211" s="204">
        <v>25.945205479452056</v>
      </c>
      <c r="C211" s="204">
        <v>25.945205479452056</v>
      </c>
      <c r="D211" s="204"/>
      <c r="E211" s="204">
        <v>27.761369863013705</v>
      </c>
      <c r="F211" s="204"/>
      <c r="G211" s="204"/>
      <c r="H211" s="204"/>
      <c r="I211" s="204"/>
      <c r="J211" s="204">
        <v>1.5031232876712326</v>
      </c>
      <c r="K211" s="204"/>
      <c r="L211" s="204"/>
      <c r="M211" s="204"/>
      <c r="N211" s="204"/>
      <c r="O211" s="204"/>
      <c r="P211" s="204"/>
      <c r="Q211" s="204"/>
      <c r="R211" s="204">
        <v>29.264493150684938</v>
      </c>
      <c r="S211" s="205">
        <v>1.1279345300950372</v>
      </c>
    </row>
    <row r="212" spans="1:19" x14ac:dyDescent="0.25">
      <c r="A212" s="156" t="s">
        <v>130</v>
      </c>
      <c r="B212" s="202">
        <v>24.13780821917809</v>
      </c>
      <c r="C212" s="202">
        <v>24.13780821917809</v>
      </c>
      <c r="D212" s="202"/>
      <c r="E212" s="202"/>
      <c r="F212" s="202">
        <v>24.019532958904144</v>
      </c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>
        <v>24.019532958904144</v>
      </c>
      <c r="S212" s="203">
        <v>0.99510000000000109</v>
      </c>
    </row>
    <row r="213" spans="1:19" x14ac:dyDescent="0.25">
      <c r="A213" s="155" t="s">
        <v>213</v>
      </c>
      <c r="B213" s="204">
        <v>24.137808219178147</v>
      </c>
      <c r="C213" s="204">
        <v>24.137808219178147</v>
      </c>
      <c r="D213" s="204"/>
      <c r="E213" s="204"/>
      <c r="F213" s="204">
        <v>24.019532958904129</v>
      </c>
      <c r="G213" s="204"/>
      <c r="H213" s="204"/>
      <c r="I213" s="204"/>
      <c r="J213" s="204"/>
      <c r="K213" s="204"/>
      <c r="L213" s="204"/>
      <c r="M213" s="204"/>
      <c r="N213" s="204"/>
      <c r="O213" s="204"/>
      <c r="P213" s="204"/>
      <c r="Q213" s="204"/>
      <c r="R213" s="204">
        <v>24.019532958904129</v>
      </c>
      <c r="S213" s="205">
        <v>0.9950999999999981</v>
      </c>
    </row>
    <row r="214" spans="1:19" x14ac:dyDescent="0.25">
      <c r="A214" s="156" t="s">
        <v>102</v>
      </c>
      <c r="B214" s="202">
        <v>124.18561643835613</v>
      </c>
      <c r="C214" s="202">
        <v>124.18561643835613</v>
      </c>
      <c r="D214" s="202"/>
      <c r="E214" s="202">
        <v>120.46004794520556</v>
      </c>
      <c r="F214" s="202"/>
      <c r="G214" s="202"/>
      <c r="H214" s="202"/>
      <c r="I214" s="202"/>
      <c r="J214" s="202">
        <v>3.4420273972602704</v>
      </c>
      <c r="K214" s="202">
        <v>18.291780821917833</v>
      </c>
      <c r="L214" s="202">
        <v>18.291780821917833</v>
      </c>
      <c r="M214" s="202">
        <v>35.211150684931518</v>
      </c>
      <c r="N214" s="202">
        <v>35.211150684931518</v>
      </c>
      <c r="O214" s="202"/>
      <c r="P214" s="202"/>
      <c r="Q214" s="202"/>
      <c r="R214" s="202">
        <v>177.40500684931516</v>
      </c>
      <c r="S214" s="203">
        <v>1.4285471372393301</v>
      </c>
    </row>
    <row r="215" spans="1:19" x14ac:dyDescent="0.25">
      <c r="A215" s="155" t="s">
        <v>212</v>
      </c>
      <c r="B215" s="204">
        <v>124.18561643835615</v>
      </c>
      <c r="C215" s="204">
        <v>124.18561643835615</v>
      </c>
      <c r="D215" s="204"/>
      <c r="E215" s="204">
        <v>120.46004794520569</v>
      </c>
      <c r="F215" s="204"/>
      <c r="G215" s="204"/>
      <c r="H215" s="204"/>
      <c r="I215" s="204"/>
      <c r="J215" s="204">
        <v>3.442027397260278</v>
      </c>
      <c r="K215" s="204">
        <v>18.29178082191784</v>
      </c>
      <c r="L215" s="204">
        <v>18.29178082191784</v>
      </c>
      <c r="M215" s="204">
        <v>35.211150684931518</v>
      </c>
      <c r="N215" s="204">
        <v>35.211150684931518</v>
      </c>
      <c r="O215" s="204"/>
      <c r="P215" s="204"/>
      <c r="Q215" s="204"/>
      <c r="R215" s="204">
        <v>177.40500684931533</v>
      </c>
      <c r="S215" s="205">
        <v>1.4285471372393315</v>
      </c>
    </row>
    <row r="216" spans="1:19" x14ac:dyDescent="0.25">
      <c r="A216" s="156" t="s">
        <v>103</v>
      </c>
      <c r="B216" s="202">
        <v>331.63561643835322</v>
      </c>
      <c r="C216" s="202">
        <v>331.43561643835324</v>
      </c>
      <c r="D216" s="202">
        <v>0.19999999999999998</v>
      </c>
      <c r="E216" s="202">
        <v>223.54400000000032</v>
      </c>
      <c r="F216" s="202">
        <v>129.35571287671374</v>
      </c>
      <c r="G216" s="202"/>
      <c r="H216" s="202"/>
      <c r="I216" s="202">
        <v>0.19</v>
      </c>
      <c r="J216" s="202">
        <v>5.4403726027397337</v>
      </c>
      <c r="K216" s="202">
        <v>4.4200000000000053</v>
      </c>
      <c r="L216" s="202">
        <v>4.4200000000000053</v>
      </c>
      <c r="M216" s="202">
        <v>56.624745205479421</v>
      </c>
      <c r="N216" s="202">
        <v>56.624745205479421</v>
      </c>
      <c r="O216" s="202"/>
      <c r="P216" s="202"/>
      <c r="Q216" s="202"/>
      <c r="R216" s="202">
        <v>419.5748306849332</v>
      </c>
      <c r="S216" s="203">
        <v>1.2651681842590232</v>
      </c>
    </row>
    <row r="217" spans="1:19" x14ac:dyDescent="0.25">
      <c r="A217" s="155" t="s">
        <v>211</v>
      </c>
      <c r="B217" s="204">
        <v>331.63561643834856</v>
      </c>
      <c r="C217" s="204">
        <v>331.43561643834857</v>
      </c>
      <c r="D217" s="204">
        <v>0.19999999999999998</v>
      </c>
      <c r="E217" s="204">
        <v>223.54400000000032</v>
      </c>
      <c r="F217" s="204">
        <v>129.35571287671348</v>
      </c>
      <c r="G217" s="204"/>
      <c r="H217" s="204"/>
      <c r="I217" s="204">
        <v>0.19</v>
      </c>
      <c r="J217" s="204">
        <v>5.4403726027397408</v>
      </c>
      <c r="K217" s="204">
        <v>4.420000000000007</v>
      </c>
      <c r="L217" s="204">
        <v>4.420000000000007</v>
      </c>
      <c r="M217" s="204">
        <v>56.624745205479421</v>
      </c>
      <c r="N217" s="204">
        <v>56.624745205479421</v>
      </c>
      <c r="O217" s="204"/>
      <c r="P217" s="204"/>
      <c r="Q217" s="204"/>
      <c r="R217" s="204">
        <v>419.57483068493298</v>
      </c>
      <c r="S217" s="205">
        <v>1.2651681842590403</v>
      </c>
    </row>
    <row r="218" spans="1:19" x14ac:dyDescent="0.25">
      <c r="A218" s="156" t="s">
        <v>104</v>
      </c>
      <c r="B218" s="202">
        <v>311.18904109589209</v>
      </c>
      <c r="C218" s="202">
        <v>311.18904109589209</v>
      </c>
      <c r="D218" s="202"/>
      <c r="E218" s="202"/>
      <c r="F218" s="202">
        <v>225.73653041095963</v>
      </c>
      <c r="G218" s="202"/>
      <c r="H218" s="202"/>
      <c r="I218" s="202"/>
      <c r="J218" s="202">
        <v>9.2054794520547933E-2</v>
      </c>
      <c r="K218" s="202">
        <v>6.9863013698630128E-2</v>
      </c>
      <c r="L218" s="202">
        <v>6.9863013698630128E-2</v>
      </c>
      <c r="M218" s="202"/>
      <c r="N218" s="202"/>
      <c r="O218" s="202"/>
      <c r="P218" s="202">
        <v>2.6359446082191846</v>
      </c>
      <c r="Q218" s="202"/>
      <c r="R218" s="202">
        <v>228.53439282739799</v>
      </c>
      <c r="S218" s="203">
        <v>0.73439087707775585</v>
      </c>
    </row>
    <row r="219" spans="1:19" x14ac:dyDescent="0.25">
      <c r="A219" s="155" t="s">
        <v>210</v>
      </c>
      <c r="B219" s="204">
        <v>311.18904109588516</v>
      </c>
      <c r="C219" s="204">
        <v>311.18904109588516</v>
      </c>
      <c r="D219" s="204"/>
      <c r="E219" s="204"/>
      <c r="F219" s="204">
        <v>225.73653041095869</v>
      </c>
      <c r="G219" s="204"/>
      <c r="H219" s="204"/>
      <c r="I219" s="204"/>
      <c r="J219" s="204">
        <v>9.2054794520547933E-2</v>
      </c>
      <c r="K219" s="204">
        <v>6.9863013698630128E-2</v>
      </c>
      <c r="L219" s="204">
        <v>6.9863013698630128E-2</v>
      </c>
      <c r="M219" s="204"/>
      <c r="N219" s="204"/>
      <c r="O219" s="204"/>
      <c r="P219" s="204">
        <v>2.6359446082191949</v>
      </c>
      <c r="Q219" s="204"/>
      <c r="R219" s="204">
        <v>228.53439282739708</v>
      </c>
      <c r="S219" s="205">
        <v>0.73439087707776929</v>
      </c>
    </row>
    <row r="220" spans="1:19" x14ac:dyDescent="0.25">
      <c r="A220" s="156" t="s">
        <v>433</v>
      </c>
      <c r="B220" s="202">
        <v>850.94356164382441</v>
      </c>
      <c r="C220" s="202">
        <v>797.52410958902988</v>
      </c>
      <c r="D220" s="202">
        <v>53.419452054794526</v>
      </c>
      <c r="E220" s="202">
        <v>290.81473698630111</v>
      </c>
      <c r="F220" s="202">
        <v>357.52844071232812</v>
      </c>
      <c r="G220" s="202"/>
      <c r="H220" s="202"/>
      <c r="I220" s="202">
        <v>50.748479452054724</v>
      </c>
      <c r="J220" s="202">
        <v>0.34522191780821898</v>
      </c>
      <c r="K220" s="202"/>
      <c r="L220" s="202"/>
      <c r="M220" s="202">
        <v>0.31246027397260273</v>
      </c>
      <c r="N220" s="202">
        <v>0.31246027397260273</v>
      </c>
      <c r="O220" s="202"/>
      <c r="P220" s="202">
        <v>7.3177557041096195</v>
      </c>
      <c r="Q220" s="202"/>
      <c r="R220" s="202">
        <v>707.06709504657442</v>
      </c>
      <c r="S220" s="203">
        <v>0.83092125837427544</v>
      </c>
    </row>
    <row r="221" spans="1:19" x14ac:dyDescent="0.25">
      <c r="A221" s="155" t="s">
        <v>209</v>
      </c>
      <c r="B221" s="204">
        <v>850.94356164384772</v>
      </c>
      <c r="C221" s="204">
        <v>797.52410958905318</v>
      </c>
      <c r="D221" s="204">
        <v>53.419452054794512</v>
      </c>
      <c r="E221" s="204">
        <v>290.81473698630236</v>
      </c>
      <c r="F221" s="204">
        <v>357.52844071232784</v>
      </c>
      <c r="G221" s="204"/>
      <c r="H221" s="204"/>
      <c r="I221" s="204">
        <v>50.748479452054909</v>
      </c>
      <c r="J221" s="204">
        <v>0.3452219178082192</v>
      </c>
      <c r="K221" s="204"/>
      <c r="L221" s="204"/>
      <c r="M221" s="204">
        <v>0.31246027397260273</v>
      </c>
      <c r="N221" s="204">
        <v>0.31246027397260273</v>
      </c>
      <c r="O221" s="204"/>
      <c r="P221" s="204">
        <v>7.3177557041096764</v>
      </c>
      <c r="Q221" s="204"/>
      <c r="R221" s="204">
        <v>707.06709504657556</v>
      </c>
      <c r="S221" s="205">
        <v>0.83092125837425401</v>
      </c>
    </row>
    <row r="222" spans="1:19" x14ac:dyDescent="0.25">
      <c r="A222" s="156" t="s">
        <v>105</v>
      </c>
      <c r="B222" s="202">
        <v>473.73334246574876</v>
      </c>
      <c r="C222" s="202">
        <v>473.73334246574876</v>
      </c>
      <c r="D222" s="202"/>
      <c r="E222" s="202">
        <v>524.48235945205931</v>
      </c>
      <c r="F222" s="202">
        <v>3.2641089041095874</v>
      </c>
      <c r="G222" s="202"/>
      <c r="H222" s="202"/>
      <c r="I222" s="202"/>
      <c r="J222" s="202">
        <v>19.111479452054891</v>
      </c>
      <c r="K222" s="202">
        <v>40.181232876712365</v>
      </c>
      <c r="L222" s="202">
        <v>40.181232876712365</v>
      </c>
      <c r="M222" s="202">
        <v>24.851835616438336</v>
      </c>
      <c r="N222" s="202">
        <v>24.851835616438336</v>
      </c>
      <c r="O222" s="202"/>
      <c r="P222" s="202"/>
      <c r="Q222" s="202"/>
      <c r="R222" s="202">
        <v>611.89101630137452</v>
      </c>
      <c r="S222" s="203">
        <v>1.2916359509687978</v>
      </c>
    </row>
    <row r="223" spans="1:19" x14ac:dyDescent="0.25">
      <c r="A223" s="155" t="s">
        <v>208</v>
      </c>
      <c r="B223" s="204">
        <v>473.73334246574723</v>
      </c>
      <c r="C223" s="204">
        <v>473.73334246574723</v>
      </c>
      <c r="D223" s="204"/>
      <c r="E223" s="204">
        <v>524.4823594520609</v>
      </c>
      <c r="F223" s="204">
        <v>3.2641089041095879</v>
      </c>
      <c r="G223" s="204"/>
      <c r="H223" s="204"/>
      <c r="I223" s="204"/>
      <c r="J223" s="204">
        <v>19.11147945205488</v>
      </c>
      <c r="K223" s="204">
        <v>40.181232876712315</v>
      </c>
      <c r="L223" s="204">
        <v>40.181232876712315</v>
      </c>
      <c r="M223" s="204">
        <v>24.851835616438336</v>
      </c>
      <c r="N223" s="204">
        <v>24.851835616438336</v>
      </c>
      <c r="O223" s="204"/>
      <c r="P223" s="204"/>
      <c r="Q223" s="204"/>
      <c r="R223" s="204">
        <v>611.89101630137611</v>
      </c>
      <c r="S223" s="205">
        <v>1.2916359509688053</v>
      </c>
    </row>
    <row r="224" spans="1:19" x14ac:dyDescent="0.25">
      <c r="A224" s="156" t="s">
        <v>106</v>
      </c>
      <c r="B224" s="202">
        <v>981.06027397262289</v>
      </c>
      <c r="C224" s="202">
        <v>981.06027397262289</v>
      </c>
      <c r="D224" s="202"/>
      <c r="E224" s="202">
        <v>894.62539178081272</v>
      </c>
      <c r="F224" s="202">
        <v>25.138985424657534</v>
      </c>
      <c r="G224" s="202">
        <v>65.435232876712391</v>
      </c>
      <c r="H224" s="202">
        <v>5.4326136986301368</v>
      </c>
      <c r="I224" s="202"/>
      <c r="J224" s="202">
        <v>41.954400000000021</v>
      </c>
      <c r="K224" s="202">
        <v>61.091945205479377</v>
      </c>
      <c r="L224" s="202">
        <v>61.091945205479377</v>
      </c>
      <c r="M224" s="202"/>
      <c r="N224" s="202"/>
      <c r="O224" s="202"/>
      <c r="P224" s="202"/>
      <c r="Q224" s="202"/>
      <c r="R224" s="202">
        <v>1093.6785689862922</v>
      </c>
      <c r="S224" s="203">
        <v>1.1147924322301241</v>
      </c>
    </row>
    <row r="225" spans="1:19" x14ac:dyDescent="0.25">
      <c r="A225" s="155" t="s">
        <v>207</v>
      </c>
      <c r="B225" s="204">
        <v>981.06027397262733</v>
      </c>
      <c r="C225" s="204">
        <v>981.06027397262733</v>
      </c>
      <c r="D225" s="204"/>
      <c r="E225" s="204">
        <v>894.62539178081261</v>
      </c>
      <c r="F225" s="204">
        <v>25.138985424657651</v>
      </c>
      <c r="G225" s="204">
        <v>65.435232876712391</v>
      </c>
      <c r="H225" s="204">
        <v>5.4326136986301368</v>
      </c>
      <c r="I225" s="204"/>
      <c r="J225" s="204">
        <v>41.954399999999694</v>
      </c>
      <c r="K225" s="204">
        <v>61.091945205479369</v>
      </c>
      <c r="L225" s="204">
        <v>61.091945205479369</v>
      </c>
      <c r="M225" s="204"/>
      <c r="N225" s="204"/>
      <c r="O225" s="204"/>
      <c r="P225" s="204"/>
      <c r="Q225" s="204"/>
      <c r="R225" s="204">
        <v>1093.6785689862918</v>
      </c>
      <c r="S225" s="205">
        <v>1.1147924322301186</v>
      </c>
    </row>
    <row r="226" spans="1:19" x14ac:dyDescent="0.25">
      <c r="A226" s="156" t="s">
        <v>107</v>
      </c>
      <c r="B226" s="202">
        <v>1567.4943835616134</v>
      </c>
      <c r="C226" s="202">
        <v>1567.4943835616134</v>
      </c>
      <c r="D226" s="202"/>
      <c r="E226" s="202">
        <v>1417.418690410952</v>
      </c>
      <c r="F226" s="202">
        <v>188.03167035616491</v>
      </c>
      <c r="G226" s="202">
        <v>29.315693150684901</v>
      </c>
      <c r="H226" s="202">
        <v>3.9618082191780823</v>
      </c>
      <c r="I226" s="202"/>
      <c r="J226" s="202">
        <v>45.225912328766924</v>
      </c>
      <c r="K226" s="202">
        <v>29.602849315068411</v>
      </c>
      <c r="L226" s="202">
        <v>29.602849315068411</v>
      </c>
      <c r="M226" s="202">
        <v>77.329479452056077</v>
      </c>
      <c r="N226" s="202">
        <v>77.329479452056077</v>
      </c>
      <c r="O226" s="202"/>
      <c r="P226" s="202">
        <v>0.24969659178082193</v>
      </c>
      <c r="Q226" s="202"/>
      <c r="R226" s="202">
        <v>1791.1357998246519</v>
      </c>
      <c r="S226" s="203">
        <v>1.1426744609794948</v>
      </c>
    </row>
    <row r="227" spans="1:19" x14ac:dyDescent="0.25">
      <c r="A227" s="155" t="s">
        <v>206</v>
      </c>
      <c r="B227" s="204">
        <v>1567.4943835616345</v>
      </c>
      <c r="C227" s="204">
        <v>1567.4943835616345</v>
      </c>
      <c r="D227" s="204"/>
      <c r="E227" s="204">
        <v>1417.4186904109768</v>
      </c>
      <c r="F227" s="204">
        <v>188.03167035616408</v>
      </c>
      <c r="G227" s="204">
        <v>29.315693150684872</v>
      </c>
      <c r="H227" s="204">
        <v>3.9618082191780823</v>
      </c>
      <c r="I227" s="204"/>
      <c r="J227" s="204">
        <v>45.225912328766086</v>
      </c>
      <c r="K227" s="204">
        <v>29.602849315068429</v>
      </c>
      <c r="L227" s="204">
        <v>29.602849315068429</v>
      </c>
      <c r="M227" s="204">
        <v>77.329479452056077</v>
      </c>
      <c r="N227" s="204">
        <v>77.329479452056077</v>
      </c>
      <c r="O227" s="204"/>
      <c r="P227" s="204">
        <v>0.24969659178082193</v>
      </c>
      <c r="Q227" s="204"/>
      <c r="R227" s="204">
        <v>1791.1357998246751</v>
      </c>
      <c r="S227" s="205">
        <v>1.1426744609794941</v>
      </c>
    </row>
    <row r="228" spans="1:19" x14ac:dyDescent="0.25">
      <c r="A228" s="156" t="s">
        <v>108</v>
      </c>
      <c r="B228" s="202">
        <v>2902.5005479451438</v>
      </c>
      <c r="C228" s="202">
        <v>2861.8402739725411</v>
      </c>
      <c r="D228" s="202">
        <v>40.660273972602795</v>
      </c>
      <c r="E228" s="202">
        <v>1306.8992575342495</v>
      </c>
      <c r="F228" s="202">
        <v>1089.3914464109521</v>
      </c>
      <c r="G228" s="202">
        <v>152.40936986301404</v>
      </c>
      <c r="H228" s="202">
        <v>3.2074191780821915</v>
      </c>
      <c r="I228" s="202">
        <v>38.627260273972702</v>
      </c>
      <c r="J228" s="202">
        <v>3.142191780821912</v>
      </c>
      <c r="K228" s="202">
        <v>23.967726027397276</v>
      </c>
      <c r="L228" s="202">
        <v>23.967726027397276</v>
      </c>
      <c r="M228" s="202"/>
      <c r="N228" s="202"/>
      <c r="O228" s="202"/>
      <c r="P228" s="202">
        <v>4.7882503726027359</v>
      </c>
      <c r="Q228" s="202"/>
      <c r="R228" s="202">
        <v>2622.4329214410927</v>
      </c>
      <c r="S228" s="203">
        <v>0.90350815723279432</v>
      </c>
    </row>
    <row r="229" spans="1:19" x14ac:dyDescent="0.25">
      <c r="A229" s="155" t="s">
        <v>205</v>
      </c>
      <c r="B229" s="204">
        <v>2902.5005479453325</v>
      </c>
      <c r="C229" s="204">
        <v>2861.8402739727298</v>
      </c>
      <c r="D229" s="204">
        <v>40.660273972602745</v>
      </c>
      <c r="E229" s="204">
        <v>1306.8992575342986</v>
      </c>
      <c r="F229" s="204">
        <v>1089.3914464109714</v>
      </c>
      <c r="G229" s="204">
        <v>152.40936986301389</v>
      </c>
      <c r="H229" s="204">
        <v>3.2074191780821915</v>
      </c>
      <c r="I229" s="204">
        <v>38.627260273972887</v>
      </c>
      <c r="J229" s="204">
        <v>3.1421917808219169</v>
      </c>
      <c r="K229" s="204">
        <v>23.96772602739734</v>
      </c>
      <c r="L229" s="204">
        <v>23.96772602739734</v>
      </c>
      <c r="M229" s="204"/>
      <c r="N229" s="204"/>
      <c r="O229" s="204"/>
      <c r="P229" s="204">
        <v>4.7882503726027483</v>
      </c>
      <c r="Q229" s="204"/>
      <c r="R229" s="204">
        <v>2622.4329214411614</v>
      </c>
      <c r="S229" s="205">
        <v>0.90350815723275923</v>
      </c>
    </row>
    <row r="230" spans="1:19" x14ac:dyDescent="0.25">
      <c r="A230" s="156" t="s">
        <v>109</v>
      </c>
      <c r="B230" s="202">
        <v>9039.6484383560583</v>
      </c>
      <c r="C230" s="202">
        <v>8995.7341917807153</v>
      </c>
      <c r="D230" s="202">
        <v>43.914246575342467</v>
      </c>
      <c r="E230" s="202">
        <v>7811.8748016441778</v>
      </c>
      <c r="F230" s="202">
        <v>740.39028271233951</v>
      </c>
      <c r="G230" s="202">
        <v>616.58899726028824</v>
      </c>
      <c r="H230" s="202">
        <v>85.44130958904141</v>
      </c>
      <c r="I230" s="202">
        <v>41.718534246575331</v>
      </c>
      <c r="J230" s="202">
        <v>302.34658684930884</v>
      </c>
      <c r="K230" s="202">
        <v>850.69600000000264</v>
      </c>
      <c r="L230" s="202">
        <v>850.69600000000264</v>
      </c>
      <c r="M230" s="202">
        <v>24.699600000000004</v>
      </c>
      <c r="N230" s="202">
        <v>24.699600000000004</v>
      </c>
      <c r="O230" s="202">
        <v>-8.2571780821917878E-2</v>
      </c>
      <c r="P230" s="202">
        <v>1.044397134246575</v>
      </c>
      <c r="Q230" s="202"/>
      <c r="R230" s="202">
        <v>10474.717937655159</v>
      </c>
      <c r="S230" s="203">
        <v>1.1587527998555751</v>
      </c>
    </row>
    <row r="231" spans="1:19" x14ac:dyDescent="0.25">
      <c r="A231" s="155" t="s">
        <v>204</v>
      </c>
      <c r="B231" s="204">
        <v>9039.6484383575444</v>
      </c>
      <c r="C231" s="204">
        <v>8995.7341917822014</v>
      </c>
      <c r="D231" s="204">
        <v>43.914246575342574</v>
      </c>
      <c r="E231" s="204">
        <v>7811.8748016438158</v>
      </c>
      <c r="F231" s="204">
        <v>740.39028271238305</v>
      </c>
      <c r="G231" s="204">
        <v>616.5889972602979</v>
      </c>
      <c r="H231" s="204">
        <v>85.44130958904141</v>
      </c>
      <c r="I231" s="204">
        <v>41.718534246575715</v>
      </c>
      <c r="J231" s="204">
        <v>302.34658684931435</v>
      </c>
      <c r="K231" s="204">
        <v>850.69599999995205</v>
      </c>
      <c r="L231" s="204">
        <v>850.69599999995205</v>
      </c>
      <c r="M231" s="204">
        <v>24.699600000000004</v>
      </c>
      <c r="N231" s="204">
        <v>24.699600000000004</v>
      </c>
      <c r="O231" s="204">
        <v>-8.2571780821917878E-2</v>
      </c>
      <c r="P231" s="204">
        <v>1.0443971342465748</v>
      </c>
      <c r="Q231" s="204"/>
      <c r="R231" s="204">
        <v>10474.717937654807</v>
      </c>
      <c r="S231" s="205">
        <v>1.1587527998553455</v>
      </c>
    </row>
    <row r="232" spans="1:19" x14ac:dyDescent="0.25">
      <c r="A232" s="156" t="s">
        <v>110</v>
      </c>
      <c r="B232" s="202">
        <v>63.334794520547817</v>
      </c>
      <c r="C232" s="202">
        <v>63.334794520547817</v>
      </c>
      <c r="D232" s="202"/>
      <c r="E232" s="202">
        <v>80.259073972602536</v>
      </c>
      <c r="F232" s="202"/>
      <c r="G232" s="202"/>
      <c r="H232" s="202"/>
      <c r="I232" s="202"/>
      <c r="J232" s="202">
        <v>1.8887671232876679</v>
      </c>
      <c r="K232" s="202">
        <v>2.2273972602739724</v>
      </c>
      <c r="L232" s="202">
        <v>2.2273972602739724</v>
      </c>
      <c r="M232" s="202"/>
      <c r="N232" s="202"/>
      <c r="O232" s="202"/>
      <c r="P232" s="202"/>
      <c r="Q232" s="202"/>
      <c r="R232" s="202">
        <v>84.375238356164175</v>
      </c>
      <c r="S232" s="203">
        <v>1.3322098697074034</v>
      </c>
    </row>
    <row r="233" spans="1:19" x14ac:dyDescent="0.25">
      <c r="A233" s="155" t="s">
        <v>203</v>
      </c>
      <c r="B233" s="204">
        <v>63.334794520547824</v>
      </c>
      <c r="C233" s="204">
        <v>63.334794520547824</v>
      </c>
      <c r="D233" s="204"/>
      <c r="E233" s="204">
        <v>80.259073972602437</v>
      </c>
      <c r="F233" s="204"/>
      <c r="G233" s="204"/>
      <c r="H233" s="204"/>
      <c r="I233" s="204"/>
      <c r="J233" s="204">
        <v>1.8887671232876648</v>
      </c>
      <c r="K233" s="204">
        <v>2.2273972602739729</v>
      </c>
      <c r="L233" s="204">
        <v>2.2273972602739729</v>
      </c>
      <c r="M233" s="204"/>
      <c r="N233" s="204"/>
      <c r="O233" s="204"/>
      <c r="P233" s="204"/>
      <c r="Q233" s="204"/>
      <c r="R233" s="204">
        <v>84.375238356164076</v>
      </c>
      <c r="S233" s="205">
        <v>1.3322098697074016</v>
      </c>
    </row>
    <row r="234" spans="1:19" x14ac:dyDescent="0.25">
      <c r="A234" s="156" t="s">
        <v>111</v>
      </c>
      <c r="B234" s="202">
        <v>81.192602739726226</v>
      </c>
      <c r="C234" s="202">
        <v>81.192602739726226</v>
      </c>
      <c r="D234" s="202"/>
      <c r="E234" s="202">
        <v>93.615199999999859</v>
      </c>
      <c r="F234" s="202">
        <v>12.384466027397261</v>
      </c>
      <c r="G234" s="202"/>
      <c r="H234" s="202"/>
      <c r="I234" s="202"/>
      <c r="J234" s="202">
        <v>3.3326301369863005</v>
      </c>
      <c r="K234" s="202">
        <v>3.5835616438356177</v>
      </c>
      <c r="L234" s="202">
        <v>3.5835616438356177</v>
      </c>
      <c r="M234" s="202">
        <v>41.284657534246556</v>
      </c>
      <c r="N234" s="202">
        <v>41.284657534246556</v>
      </c>
      <c r="O234" s="202"/>
      <c r="P234" s="202"/>
      <c r="Q234" s="202"/>
      <c r="R234" s="202">
        <v>154.20051534246559</v>
      </c>
      <c r="S234" s="203">
        <v>1.8991941400964325</v>
      </c>
    </row>
    <row r="235" spans="1:19" x14ac:dyDescent="0.25">
      <c r="A235" s="155" t="s">
        <v>202</v>
      </c>
      <c r="B235" s="204">
        <v>81.192602739726254</v>
      </c>
      <c r="C235" s="204">
        <v>81.192602739726254</v>
      </c>
      <c r="D235" s="204"/>
      <c r="E235" s="204">
        <v>93.615199999999859</v>
      </c>
      <c r="F235" s="204">
        <v>12.384466027397249</v>
      </c>
      <c r="G235" s="204"/>
      <c r="H235" s="204"/>
      <c r="I235" s="204"/>
      <c r="J235" s="204">
        <v>3.3326301369863018</v>
      </c>
      <c r="K235" s="204">
        <v>3.5835616438356177</v>
      </c>
      <c r="L235" s="204">
        <v>3.5835616438356177</v>
      </c>
      <c r="M235" s="204">
        <v>41.284657534246556</v>
      </c>
      <c r="N235" s="204">
        <v>41.284657534246556</v>
      </c>
      <c r="O235" s="204"/>
      <c r="P235" s="204"/>
      <c r="Q235" s="204"/>
      <c r="R235" s="204">
        <v>154.20051534246559</v>
      </c>
      <c r="S235" s="205">
        <v>1.8991941400964318</v>
      </c>
    </row>
    <row r="236" spans="1:19" x14ac:dyDescent="0.25">
      <c r="A236" s="156" t="s">
        <v>112</v>
      </c>
      <c r="B236" s="202">
        <v>208.77917808219129</v>
      </c>
      <c r="C236" s="202">
        <v>208.77917808219129</v>
      </c>
      <c r="D236" s="202"/>
      <c r="E236" s="202">
        <v>223.24248767123288</v>
      </c>
      <c r="F236" s="202"/>
      <c r="G236" s="202"/>
      <c r="H236" s="202"/>
      <c r="I236" s="202"/>
      <c r="J236" s="202">
        <v>5.6774794520548033</v>
      </c>
      <c r="K236" s="202">
        <v>49.414520547945195</v>
      </c>
      <c r="L236" s="202">
        <v>49.414520547945195</v>
      </c>
      <c r="M236" s="202"/>
      <c r="N236" s="202"/>
      <c r="O236" s="202"/>
      <c r="P236" s="202"/>
      <c r="Q236" s="202"/>
      <c r="R236" s="202">
        <v>278.33448767123286</v>
      </c>
      <c r="S236" s="203">
        <v>1.3331525213767215</v>
      </c>
    </row>
    <row r="237" spans="1:19" x14ac:dyDescent="0.25">
      <c r="A237" s="155" t="s">
        <v>198</v>
      </c>
      <c r="B237" s="204">
        <v>208.77917808219019</v>
      </c>
      <c r="C237" s="204">
        <v>208.77917808219019</v>
      </c>
      <c r="D237" s="204"/>
      <c r="E237" s="204">
        <v>223.24248767123294</v>
      </c>
      <c r="F237" s="204"/>
      <c r="G237" s="204"/>
      <c r="H237" s="204"/>
      <c r="I237" s="204"/>
      <c r="J237" s="204">
        <v>5.6774794520548157</v>
      </c>
      <c r="K237" s="204">
        <v>49.414520547945266</v>
      </c>
      <c r="L237" s="204">
        <v>49.414520547945266</v>
      </c>
      <c r="M237" s="204"/>
      <c r="N237" s="204"/>
      <c r="O237" s="204"/>
      <c r="P237" s="204"/>
      <c r="Q237" s="204"/>
      <c r="R237" s="204">
        <v>278.33448767123298</v>
      </c>
      <c r="S237" s="205">
        <v>1.333152521376729</v>
      </c>
    </row>
    <row r="238" spans="1:19" x14ac:dyDescent="0.25">
      <c r="A238" s="156" t="s">
        <v>113</v>
      </c>
      <c r="B238" s="202">
        <v>38.994520547945186</v>
      </c>
      <c r="C238" s="202">
        <v>38.994520547945186</v>
      </c>
      <c r="D238" s="202"/>
      <c r="E238" s="202">
        <v>38.381808219178083</v>
      </c>
      <c r="F238" s="202"/>
      <c r="G238" s="202"/>
      <c r="H238" s="202"/>
      <c r="I238" s="202"/>
      <c r="J238" s="202">
        <v>1.7095890410958905E-2</v>
      </c>
      <c r="K238" s="202"/>
      <c r="L238" s="202"/>
      <c r="M238" s="202"/>
      <c r="N238" s="202"/>
      <c r="O238" s="202"/>
      <c r="P238" s="202"/>
      <c r="Q238" s="202"/>
      <c r="R238" s="202">
        <v>38.39890410958904</v>
      </c>
      <c r="S238" s="203">
        <v>0.98472563760275467</v>
      </c>
    </row>
    <row r="239" spans="1:19" x14ac:dyDescent="0.25">
      <c r="A239" s="155" t="s">
        <v>199</v>
      </c>
      <c r="B239" s="204">
        <v>38.994520547945164</v>
      </c>
      <c r="C239" s="204">
        <v>38.994520547945164</v>
      </c>
      <c r="D239" s="204"/>
      <c r="E239" s="204">
        <v>38.381808219178083</v>
      </c>
      <c r="F239" s="204"/>
      <c r="G239" s="204"/>
      <c r="H239" s="204"/>
      <c r="I239" s="204"/>
      <c r="J239" s="204">
        <v>1.7095890410958905E-2</v>
      </c>
      <c r="K239" s="204"/>
      <c r="L239" s="204"/>
      <c r="M239" s="204"/>
      <c r="N239" s="204"/>
      <c r="O239" s="204"/>
      <c r="P239" s="204"/>
      <c r="Q239" s="204"/>
      <c r="R239" s="204">
        <v>38.39890410958904</v>
      </c>
      <c r="S239" s="205">
        <v>0.98472563760275522</v>
      </c>
    </row>
    <row r="240" spans="1:19" x14ac:dyDescent="0.25">
      <c r="A240" s="156" t="s">
        <v>114</v>
      </c>
      <c r="B240" s="202">
        <v>1272.8978904109563</v>
      </c>
      <c r="C240" s="202">
        <v>1269.7725205479426</v>
      </c>
      <c r="D240" s="202">
        <v>3.1253698630136988</v>
      </c>
      <c r="E240" s="202">
        <v>712.07250684930375</v>
      </c>
      <c r="F240" s="202">
        <v>381.87727928219243</v>
      </c>
      <c r="G240" s="202">
        <v>117.5842739726028</v>
      </c>
      <c r="H240" s="202">
        <v>0.18986301369863012</v>
      </c>
      <c r="I240" s="202">
        <v>2.9691013698630142</v>
      </c>
      <c r="J240" s="202">
        <v>1.2127561643835614</v>
      </c>
      <c r="K240" s="202">
        <v>1.7561643835616436</v>
      </c>
      <c r="L240" s="202">
        <v>1.7561643835616436</v>
      </c>
      <c r="M240" s="202"/>
      <c r="N240" s="202"/>
      <c r="O240" s="202">
        <v>-1.1093040000000001</v>
      </c>
      <c r="P240" s="202">
        <v>2.4465960833424685</v>
      </c>
      <c r="Q240" s="202"/>
      <c r="R240" s="202">
        <v>1218.9992371189483</v>
      </c>
      <c r="S240" s="203">
        <v>0.95765673452832356</v>
      </c>
    </row>
    <row r="241" spans="1:19" x14ac:dyDescent="0.25">
      <c r="A241" s="155" t="s">
        <v>196</v>
      </c>
      <c r="B241" s="204">
        <v>1272.8978904108826</v>
      </c>
      <c r="C241" s="204">
        <v>1269.7725205478689</v>
      </c>
      <c r="D241" s="204">
        <v>3.1253698630136988</v>
      </c>
      <c r="E241" s="204">
        <v>712.07250684926976</v>
      </c>
      <c r="F241" s="204">
        <v>381.87727928219158</v>
      </c>
      <c r="G241" s="204">
        <v>117.58427397260458</v>
      </c>
      <c r="H241" s="204">
        <v>0.18986301369863012</v>
      </c>
      <c r="I241" s="204">
        <v>2.9691013698630115</v>
      </c>
      <c r="J241" s="204">
        <v>1.2127561643835607</v>
      </c>
      <c r="K241" s="204">
        <v>1.7561643835616432</v>
      </c>
      <c r="L241" s="204">
        <v>1.7561643835616432</v>
      </c>
      <c r="M241" s="204"/>
      <c r="N241" s="204"/>
      <c r="O241" s="204">
        <v>-1.1093040000000001</v>
      </c>
      <c r="P241" s="204">
        <v>2.4465960833424725</v>
      </c>
      <c r="Q241" s="204"/>
      <c r="R241" s="204">
        <v>1218.9992371189148</v>
      </c>
      <c r="S241" s="205">
        <v>0.95765673452835276</v>
      </c>
    </row>
    <row r="242" spans="1:19" x14ac:dyDescent="0.25">
      <c r="A242" s="156" t="s">
        <v>115</v>
      </c>
      <c r="B242" s="202">
        <v>319.98493150684595</v>
      </c>
      <c r="C242" s="202">
        <v>319.98493150684595</v>
      </c>
      <c r="D242" s="202"/>
      <c r="E242" s="202">
        <v>293.34126027397383</v>
      </c>
      <c r="F242" s="202">
        <v>33.151544383561628</v>
      </c>
      <c r="G242" s="202"/>
      <c r="H242" s="202"/>
      <c r="I242" s="202"/>
      <c r="J242" s="202">
        <v>6.8779726027397441</v>
      </c>
      <c r="K242" s="202">
        <v>34.836986301369905</v>
      </c>
      <c r="L242" s="202">
        <v>34.836986301369905</v>
      </c>
      <c r="M242" s="202"/>
      <c r="N242" s="202"/>
      <c r="O242" s="202"/>
      <c r="P242" s="202"/>
      <c r="Q242" s="202"/>
      <c r="R242" s="202">
        <v>368.20776356164509</v>
      </c>
      <c r="S242" s="203">
        <v>1.1507034466520416</v>
      </c>
    </row>
    <row r="243" spans="1:19" x14ac:dyDescent="0.25">
      <c r="A243" s="155" t="s">
        <v>195</v>
      </c>
      <c r="B243" s="204">
        <v>319.98493150683981</v>
      </c>
      <c r="C243" s="204">
        <v>319.98493150683981</v>
      </c>
      <c r="D243" s="204"/>
      <c r="E243" s="204">
        <v>293.34126027397531</v>
      </c>
      <c r="F243" s="204">
        <v>33.151544383561884</v>
      </c>
      <c r="G243" s="204"/>
      <c r="H243" s="204"/>
      <c r="I243" s="204"/>
      <c r="J243" s="204">
        <v>6.8779726027397725</v>
      </c>
      <c r="K243" s="204">
        <v>34.836986301369883</v>
      </c>
      <c r="L243" s="204">
        <v>34.836986301369883</v>
      </c>
      <c r="M243" s="204"/>
      <c r="N243" s="204"/>
      <c r="O243" s="204"/>
      <c r="P243" s="204"/>
      <c r="Q243" s="204"/>
      <c r="R243" s="204">
        <v>368.20776356164686</v>
      </c>
      <c r="S243" s="205">
        <v>1.1507034466520691</v>
      </c>
    </row>
    <row r="244" spans="1:19" x14ac:dyDescent="0.25">
      <c r="A244" s="156" t="s">
        <v>116</v>
      </c>
      <c r="B244" s="202">
        <v>4659.5441095888445</v>
      </c>
      <c r="C244" s="202">
        <v>4659.3030136984335</v>
      </c>
      <c r="D244" s="202">
        <v>0.24109589041095883</v>
      </c>
      <c r="E244" s="202">
        <v>4016.3758301369062</v>
      </c>
      <c r="F244" s="202">
        <v>361.40226016438504</v>
      </c>
      <c r="G244" s="202">
        <v>231.01940821917671</v>
      </c>
      <c r="H244" s="202">
        <v>45.572186301369854</v>
      </c>
      <c r="I244" s="202">
        <v>0.22904109589041061</v>
      </c>
      <c r="J244" s="202">
        <v>159.04270684931467</v>
      </c>
      <c r="K244" s="202">
        <v>276.11572602739261</v>
      </c>
      <c r="L244" s="202">
        <v>276.11572602739261</v>
      </c>
      <c r="M244" s="202"/>
      <c r="N244" s="202"/>
      <c r="O244" s="202"/>
      <c r="P244" s="202">
        <v>0.41328537534246507</v>
      </c>
      <c r="Q244" s="202">
        <v>0.73924383561643836</v>
      </c>
      <c r="R244" s="202">
        <v>5090.909688005393</v>
      </c>
      <c r="S244" s="203">
        <v>1.092576777528266</v>
      </c>
    </row>
    <row r="245" spans="1:19" x14ac:dyDescent="0.25">
      <c r="A245" s="155" t="s">
        <v>194</v>
      </c>
      <c r="B245" s="204">
        <v>4659.5441095883107</v>
      </c>
      <c r="C245" s="204">
        <v>4659.3030136978996</v>
      </c>
      <c r="D245" s="204">
        <v>0.24109589041095883</v>
      </c>
      <c r="E245" s="204">
        <v>4016.375830136938</v>
      </c>
      <c r="F245" s="204">
        <v>361.40226016438424</v>
      </c>
      <c r="G245" s="204">
        <v>231.0194082191754</v>
      </c>
      <c r="H245" s="204">
        <v>45.572186301369854</v>
      </c>
      <c r="I245" s="204">
        <v>0.22904109589041061</v>
      </c>
      <c r="J245" s="204">
        <v>159.04270684931203</v>
      </c>
      <c r="K245" s="204">
        <v>276.11572602739363</v>
      </c>
      <c r="L245" s="204">
        <v>276.11572602739363</v>
      </c>
      <c r="M245" s="204"/>
      <c r="N245" s="204"/>
      <c r="O245" s="204"/>
      <c r="P245" s="204">
        <v>0.41328537534246507</v>
      </c>
      <c r="Q245" s="204">
        <v>0.73924383561643836</v>
      </c>
      <c r="R245" s="204">
        <v>5090.909688005423</v>
      </c>
      <c r="S245" s="205">
        <v>1.0925767775283977</v>
      </c>
    </row>
    <row r="246" spans="1:19" x14ac:dyDescent="0.25">
      <c r="A246" s="156" t="s">
        <v>538</v>
      </c>
      <c r="B246" s="202">
        <v>86.070082191780955</v>
      </c>
      <c r="C246" s="202">
        <v>86.070082191780955</v>
      </c>
      <c r="D246" s="202"/>
      <c r="E246" s="202">
        <v>111.6744523287669</v>
      </c>
      <c r="F246" s="202">
        <v>6.7570997260273966</v>
      </c>
      <c r="G246" s="202"/>
      <c r="H246" s="202"/>
      <c r="I246" s="202"/>
      <c r="J246" s="202">
        <v>0.83358904109589083</v>
      </c>
      <c r="K246" s="202">
        <v>0.39726027397260272</v>
      </c>
      <c r="L246" s="202">
        <v>0.39726027397260272</v>
      </c>
      <c r="M246" s="202"/>
      <c r="N246" s="202"/>
      <c r="O246" s="202"/>
      <c r="P246" s="202"/>
      <c r="Q246" s="202"/>
      <c r="R246" s="202">
        <v>119.66240136986279</v>
      </c>
      <c r="S246" s="203">
        <v>1.3902903113677942</v>
      </c>
    </row>
    <row r="247" spans="1:19" x14ac:dyDescent="0.25">
      <c r="A247" s="155" t="s">
        <v>381</v>
      </c>
      <c r="B247" s="204">
        <v>86.07008219178087</v>
      </c>
      <c r="C247" s="204">
        <v>86.07008219178087</v>
      </c>
      <c r="D247" s="204"/>
      <c r="E247" s="204">
        <v>111.67445232876688</v>
      </c>
      <c r="F247" s="204">
        <v>6.7570997260273993</v>
      </c>
      <c r="G247" s="204"/>
      <c r="H247" s="204"/>
      <c r="I247" s="204"/>
      <c r="J247" s="204">
        <v>0.83358904109589127</v>
      </c>
      <c r="K247" s="204">
        <v>0.39726027397260272</v>
      </c>
      <c r="L247" s="204">
        <v>0.39726027397260272</v>
      </c>
      <c r="M247" s="204"/>
      <c r="N247" s="204"/>
      <c r="O247" s="204"/>
      <c r="P247" s="204"/>
      <c r="Q247" s="204"/>
      <c r="R247" s="204">
        <v>119.66240136986278</v>
      </c>
      <c r="S247" s="205">
        <v>1.3902903113677956</v>
      </c>
    </row>
    <row r="248" spans="1:19" x14ac:dyDescent="0.25">
      <c r="A248" s="156" t="s">
        <v>117</v>
      </c>
      <c r="B248" s="202">
        <v>260.92189041095537</v>
      </c>
      <c r="C248" s="202">
        <v>255.87369863013345</v>
      </c>
      <c r="D248" s="202">
        <v>5.0481917808219263</v>
      </c>
      <c r="E248" s="202">
        <v>207.11493150685027</v>
      </c>
      <c r="F248" s="202">
        <v>25.859814410958911</v>
      </c>
      <c r="G248" s="202"/>
      <c r="H248" s="202">
        <v>10.324328767123294</v>
      </c>
      <c r="I248" s="202">
        <v>4.7957821917808232</v>
      </c>
      <c r="J248" s="202">
        <v>3.140054794520545</v>
      </c>
      <c r="K248" s="202">
        <v>0.58493150684931505</v>
      </c>
      <c r="L248" s="202">
        <v>0.58493150684931505</v>
      </c>
      <c r="M248" s="202">
        <v>17.085561643835611</v>
      </c>
      <c r="N248" s="202">
        <v>17.085561643835611</v>
      </c>
      <c r="O248" s="202"/>
      <c r="P248" s="202"/>
      <c r="Q248" s="202"/>
      <c r="R248" s="202">
        <v>268.90540482191881</v>
      </c>
      <c r="S248" s="203">
        <v>1.0305973346980941</v>
      </c>
    </row>
    <row r="249" spans="1:19" x14ac:dyDescent="0.25">
      <c r="A249" s="155" t="s">
        <v>193</v>
      </c>
      <c r="B249" s="204">
        <v>260.92189041095105</v>
      </c>
      <c r="C249" s="204">
        <v>255.87369863012913</v>
      </c>
      <c r="D249" s="204">
        <v>5.0481917808219334</v>
      </c>
      <c r="E249" s="204">
        <v>207.11493150685169</v>
      </c>
      <c r="F249" s="204">
        <v>25.859814410959061</v>
      </c>
      <c r="G249" s="204"/>
      <c r="H249" s="204">
        <v>10.324328767123294</v>
      </c>
      <c r="I249" s="204">
        <v>4.7957821917808339</v>
      </c>
      <c r="J249" s="204">
        <v>3.1400547945205455</v>
      </c>
      <c r="K249" s="204">
        <v>0.58493150684931505</v>
      </c>
      <c r="L249" s="204">
        <v>0.58493150684931505</v>
      </c>
      <c r="M249" s="204">
        <v>17.085561643835611</v>
      </c>
      <c r="N249" s="204">
        <v>17.085561643835611</v>
      </c>
      <c r="O249" s="204"/>
      <c r="P249" s="204"/>
      <c r="Q249" s="204"/>
      <c r="R249" s="204">
        <v>268.9054048219204</v>
      </c>
      <c r="S249" s="205">
        <v>1.0305973346981172</v>
      </c>
    </row>
    <row r="250" spans="1:19" x14ac:dyDescent="0.25">
      <c r="A250" s="156" t="s">
        <v>131</v>
      </c>
      <c r="B250" s="202">
        <v>14.772602739726034</v>
      </c>
      <c r="C250" s="202">
        <v>14.772602739726034</v>
      </c>
      <c r="D250" s="202"/>
      <c r="E250" s="202"/>
      <c r="F250" s="202">
        <v>10.716046027397256</v>
      </c>
      <c r="G250" s="202"/>
      <c r="H250" s="202"/>
      <c r="I250" s="202"/>
      <c r="J250" s="202">
        <v>8.6630136986301384E-2</v>
      </c>
      <c r="K250" s="202"/>
      <c r="L250" s="202"/>
      <c r="M250" s="202"/>
      <c r="N250" s="202"/>
      <c r="O250" s="202"/>
      <c r="P250" s="202"/>
      <c r="Q250" s="202"/>
      <c r="R250" s="202">
        <v>10.802676164383557</v>
      </c>
      <c r="S250" s="203">
        <v>0.73126424332344153</v>
      </c>
    </row>
    <row r="251" spans="1:19" x14ac:dyDescent="0.25">
      <c r="A251" s="155" t="s">
        <v>252</v>
      </c>
      <c r="B251" s="204">
        <v>14.772602739726056</v>
      </c>
      <c r="C251" s="204">
        <v>14.772602739726056</v>
      </c>
      <c r="D251" s="204"/>
      <c r="E251" s="204"/>
      <c r="F251" s="204">
        <v>10.716046027397256</v>
      </c>
      <c r="G251" s="204"/>
      <c r="H251" s="204"/>
      <c r="I251" s="204"/>
      <c r="J251" s="204">
        <v>8.6630136986301384E-2</v>
      </c>
      <c r="K251" s="204"/>
      <c r="L251" s="204"/>
      <c r="M251" s="204"/>
      <c r="N251" s="204"/>
      <c r="O251" s="204"/>
      <c r="P251" s="204"/>
      <c r="Q251" s="204"/>
      <c r="R251" s="204">
        <v>10.802676164383557</v>
      </c>
      <c r="S251" s="205">
        <v>0.73126424332344042</v>
      </c>
    </row>
    <row r="252" spans="1:19" x14ac:dyDescent="0.25">
      <c r="A252" s="156" t="s">
        <v>439</v>
      </c>
      <c r="B252" s="202">
        <v>1425.5287397260299</v>
      </c>
      <c r="C252" s="202">
        <v>1425.5287397260299</v>
      </c>
      <c r="D252" s="202"/>
      <c r="E252" s="202">
        <v>1095.4793279451987</v>
      </c>
      <c r="F252" s="202">
        <v>467.01668283287876</v>
      </c>
      <c r="G252" s="202"/>
      <c r="H252" s="202">
        <v>7.1515068493150675</v>
      </c>
      <c r="I252" s="202"/>
      <c r="J252" s="202">
        <v>7.5805808219178052</v>
      </c>
      <c r="K252" s="202">
        <v>8.1153424657534288</v>
      </c>
      <c r="L252" s="202">
        <v>8.1153424657534288</v>
      </c>
      <c r="M252" s="202"/>
      <c r="N252" s="202"/>
      <c r="O252" s="202">
        <v>-4.8609874947945295</v>
      </c>
      <c r="P252" s="202">
        <v>5.4595469095890712</v>
      </c>
      <c r="Q252" s="202"/>
      <c r="R252" s="202">
        <v>1585.9420003298583</v>
      </c>
      <c r="S252" s="203">
        <v>1.1125289558417868</v>
      </c>
    </row>
    <row r="253" spans="1:19" x14ac:dyDescent="0.25">
      <c r="A253" s="155" t="s">
        <v>192</v>
      </c>
      <c r="B253" s="204">
        <v>1425.5287397259106</v>
      </c>
      <c r="C253" s="204">
        <v>1425.5287397259106</v>
      </c>
      <c r="D253" s="204"/>
      <c r="E253" s="204">
        <v>1095.479327945176</v>
      </c>
      <c r="F253" s="204">
        <v>467.0166828328758</v>
      </c>
      <c r="G253" s="204"/>
      <c r="H253" s="204">
        <v>7.1515068493150675</v>
      </c>
      <c r="I253" s="204"/>
      <c r="J253" s="204">
        <v>7.5805808219178097</v>
      </c>
      <c r="K253" s="204">
        <v>8.1153424657534323</v>
      </c>
      <c r="L253" s="204">
        <v>8.1153424657534323</v>
      </c>
      <c r="M253" s="204"/>
      <c r="N253" s="204"/>
      <c r="O253" s="204">
        <v>-4.8609874947945295</v>
      </c>
      <c r="P253" s="204">
        <v>5.4595469095890667</v>
      </c>
      <c r="Q253" s="204"/>
      <c r="R253" s="204">
        <v>1585.9420003298328</v>
      </c>
      <c r="S253" s="205">
        <v>1.1125289558418621</v>
      </c>
    </row>
    <row r="254" spans="1:19" x14ac:dyDescent="0.25">
      <c r="A254" s="156" t="s">
        <v>119</v>
      </c>
      <c r="B254" s="202">
        <v>2575.4480547944554</v>
      </c>
      <c r="C254" s="202">
        <v>2575.4480547944554</v>
      </c>
      <c r="D254" s="202"/>
      <c r="E254" s="202">
        <v>2101.0471205479503</v>
      </c>
      <c r="F254" s="202">
        <v>245.13264913972853</v>
      </c>
      <c r="G254" s="202">
        <v>157.12641095890481</v>
      </c>
      <c r="H254" s="202">
        <v>24.863616438356139</v>
      </c>
      <c r="I254" s="202"/>
      <c r="J254" s="202">
        <v>68.848010958903984</v>
      </c>
      <c r="K254" s="202">
        <v>172.91676712328623</v>
      </c>
      <c r="L254" s="202">
        <v>172.91676712328623</v>
      </c>
      <c r="M254" s="202"/>
      <c r="N254" s="202"/>
      <c r="O254" s="202"/>
      <c r="P254" s="202">
        <v>1.9414088876712357</v>
      </c>
      <c r="Q254" s="202">
        <v>7.5467397260273952</v>
      </c>
      <c r="R254" s="202">
        <v>2779.4227237808282</v>
      </c>
      <c r="S254" s="203">
        <v>1.0791996827917587</v>
      </c>
    </row>
    <row r="255" spans="1:19" x14ac:dyDescent="0.25">
      <c r="A255" s="155" t="s">
        <v>191</v>
      </c>
      <c r="B255" s="204">
        <v>2575.4480547944108</v>
      </c>
      <c r="C255" s="204">
        <v>2575.4480547944108</v>
      </c>
      <c r="D255" s="204"/>
      <c r="E255" s="204">
        <v>2101.0471205478752</v>
      </c>
      <c r="F255" s="204">
        <v>245.13264913972878</v>
      </c>
      <c r="G255" s="204">
        <v>157.12641095890328</v>
      </c>
      <c r="H255" s="204">
        <v>24.863616438356139</v>
      </c>
      <c r="I255" s="204"/>
      <c r="J255" s="204">
        <v>68.848010958903387</v>
      </c>
      <c r="K255" s="204">
        <v>172.91676712328751</v>
      </c>
      <c r="L255" s="204">
        <v>172.91676712328751</v>
      </c>
      <c r="M255" s="204"/>
      <c r="N255" s="204"/>
      <c r="O255" s="204"/>
      <c r="P255" s="204">
        <v>1.9414088876712421</v>
      </c>
      <c r="Q255" s="204">
        <v>7.5467397260273952</v>
      </c>
      <c r="R255" s="204">
        <v>2779.4227237807527</v>
      </c>
      <c r="S255" s="205">
        <v>1.079199682791748</v>
      </c>
    </row>
    <row r="256" spans="1:19" x14ac:dyDescent="0.25">
      <c r="A256" s="156" t="s">
        <v>120</v>
      </c>
      <c r="B256" s="202">
        <v>1101.4597260274038</v>
      </c>
      <c r="C256" s="202">
        <v>1101.4010958904175</v>
      </c>
      <c r="D256" s="202">
        <v>5.8630136986301366E-2</v>
      </c>
      <c r="E256" s="202">
        <v>927.14786301369588</v>
      </c>
      <c r="F256" s="202">
        <v>65.885842356164432</v>
      </c>
      <c r="G256" s="202">
        <v>66.920383561643831</v>
      </c>
      <c r="H256" s="202">
        <v>2.5610410958904106</v>
      </c>
      <c r="I256" s="202">
        <v>5.5698630136986303E-2</v>
      </c>
      <c r="J256" s="202">
        <v>38.98517260273961</v>
      </c>
      <c r="K256" s="202">
        <v>104.70164383561634</v>
      </c>
      <c r="L256" s="202">
        <v>104.70164383561634</v>
      </c>
      <c r="M256" s="202"/>
      <c r="N256" s="202"/>
      <c r="O256" s="202"/>
      <c r="P256" s="202">
        <v>0.210185605479452</v>
      </c>
      <c r="Q256" s="202"/>
      <c r="R256" s="202">
        <v>1206.4678307013669</v>
      </c>
      <c r="S256" s="203">
        <v>1.0953354010070728</v>
      </c>
    </row>
    <row r="257" spans="1:19" x14ac:dyDescent="0.25">
      <c r="A257" s="155" t="s">
        <v>190</v>
      </c>
      <c r="B257" s="204">
        <v>1101.4597260274202</v>
      </c>
      <c r="C257" s="204">
        <v>1101.4010958904339</v>
      </c>
      <c r="D257" s="204">
        <v>5.863013698630138E-2</v>
      </c>
      <c r="E257" s="204">
        <v>927.14786301369429</v>
      </c>
      <c r="F257" s="204">
        <v>65.885842356165114</v>
      </c>
      <c r="G257" s="204">
        <v>66.920383561643888</v>
      </c>
      <c r="H257" s="204">
        <v>2.5610410958904106</v>
      </c>
      <c r="I257" s="204">
        <v>5.5698630136986303E-2</v>
      </c>
      <c r="J257" s="204">
        <v>38.985172602739581</v>
      </c>
      <c r="K257" s="204">
        <v>104.70164383561517</v>
      </c>
      <c r="L257" s="204">
        <v>104.70164383561517</v>
      </c>
      <c r="M257" s="204"/>
      <c r="N257" s="204"/>
      <c r="O257" s="204"/>
      <c r="P257" s="204">
        <v>0.210185605479452</v>
      </c>
      <c r="Q257" s="204"/>
      <c r="R257" s="204">
        <v>1206.4678307013648</v>
      </c>
      <c r="S257" s="205">
        <v>1.0953354010070546</v>
      </c>
    </row>
    <row r="258" spans="1:19" x14ac:dyDescent="0.25">
      <c r="A258" s="156" t="s">
        <v>121</v>
      </c>
      <c r="B258" s="202">
        <v>9.2054794520547922</v>
      </c>
      <c r="C258" s="202">
        <v>9.2054794520547922</v>
      </c>
      <c r="D258" s="202"/>
      <c r="E258" s="202"/>
      <c r="F258" s="202">
        <v>6.6776547945205484</v>
      </c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>
        <v>6.6776547945205484</v>
      </c>
      <c r="S258" s="203">
        <v>0.72540000000000027</v>
      </c>
    </row>
    <row r="259" spans="1:19" x14ac:dyDescent="0.25">
      <c r="A259" s="155" t="s">
        <v>189</v>
      </c>
      <c r="B259" s="204">
        <v>9.2054794520548082</v>
      </c>
      <c r="C259" s="204">
        <v>9.2054794520548082</v>
      </c>
      <c r="D259" s="204"/>
      <c r="E259" s="204"/>
      <c r="F259" s="204">
        <v>6.6776547945205511</v>
      </c>
      <c r="G259" s="204"/>
      <c r="H259" s="204"/>
      <c r="I259" s="204"/>
      <c r="J259" s="204"/>
      <c r="K259" s="204"/>
      <c r="L259" s="204"/>
      <c r="M259" s="204"/>
      <c r="N259" s="204"/>
      <c r="O259" s="204"/>
      <c r="P259" s="204"/>
      <c r="Q259" s="204"/>
      <c r="R259" s="204">
        <v>6.6776547945205511</v>
      </c>
      <c r="S259" s="205">
        <v>0.72539999999999927</v>
      </c>
    </row>
    <row r="260" spans="1:19" x14ac:dyDescent="0.25">
      <c r="A260" s="156" t="s">
        <v>122</v>
      </c>
      <c r="B260" s="202">
        <v>4166.276164383763</v>
      </c>
      <c r="C260" s="202">
        <v>4166.276164383763</v>
      </c>
      <c r="D260" s="202"/>
      <c r="E260" s="202">
        <v>3237.0587013697268</v>
      </c>
      <c r="F260" s="202">
        <v>622.96898465754009</v>
      </c>
      <c r="G260" s="202">
        <v>265.49599999999947</v>
      </c>
      <c r="H260" s="202">
        <v>115.2953698630148</v>
      </c>
      <c r="I260" s="202"/>
      <c r="J260" s="202">
        <v>101.91123287671302</v>
      </c>
      <c r="K260" s="202">
        <v>219.76745205479241</v>
      </c>
      <c r="L260" s="202">
        <v>219.76745205479241</v>
      </c>
      <c r="M260" s="202">
        <v>0.24706849315075491</v>
      </c>
      <c r="N260" s="202">
        <v>0.24706849315075491</v>
      </c>
      <c r="O260" s="202">
        <v>-75.117712498630254</v>
      </c>
      <c r="P260" s="202">
        <v>1.2782709863013668</v>
      </c>
      <c r="Q260" s="202"/>
      <c r="R260" s="202">
        <v>4488.9053678026075</v>
      </c>
      <c r="S260" s="203">
        <v>1.0774382663772757</v>
      </c>
    </row>
    <row r="261" spans="1:19" x14ac:dyDescent="0.25">
      <c r="A261" s="155" t="s">
        <v>185</v>
      </c>
      <c r="B261" s="204">
        <v>4166.2761643837139</v>
      </c>
      <c r="C261" s="204">
        <v>4166.2761643837139</v>
      </c>
      <c r="D261" s="204"/>
      <c r="E261" s="204">
        <v>3237.058701369569</v>
      </c>
      <c r="F261" s="204">
        <v>622.96898465753884</v>
      </c>
      <c r="G261" s="204">
        <v>265.49599999999953</v>
      </c>
      <c r="H261" s="204">
        <v>115.2953698630148</v>
      </c>
      <c r="I261" s="204"/>
      <c r="J261" s="204">
        <v>101.91123287671205</v>
      </c>
      <c r="K261" s="204">
        <v>219.76745205479293</v>
      </c>
      <c r="L261" s="204">
        <v>219.76745205479293</v>
      </c>
      <c r="M261" s="204">
        <v>0.24706849315075491</v>
      </c>
      <c r="N261" s="204">
        <v>0.24706849315075491</v>
      </c>
      <c r="O261" s="204">
        <v>-75.117712498630254</v>
      </c>
      <c r="P261" s="204">
        <v>1.2782709863013684</v>
      </c>
      <c r="Q261" s="204"/>
      <c r="R261" s="204">
        <v>4488.9053678024475</v>
      </c>
      <c r="S261" s="205">
        <v>1.0774382663772499</v>
      </c>
    </row>
    <row r="262" spans="1:19" x14ac:dyDescent="0.25">
      <c r="A262" s="156" t="s">
        <v>123</v>
      </c>
      <c r="B262" s="202">
        <v>198.06986301369741</v>
      </c>
      <c r="C262" s="202">
        <v>198.06986301369741</v>
      </c>
      <c r="D262" s="202"/>
      <c r="E262" s="202">
        <v>197.15735890410932</v>
      </c>
      <c r="F262" s="202">
        <v>44.040325808219315</v>
      </c>
      <c r="G262" s="202"/>
      <c r="H262" s="202">
        <v>3.2854739726027393</v>
      </c>
      <c r="I262" s="202"/>
      <c r="J262" s="202">
        <v>4.6347945205479482</v>
      </c>
      <c r="K262" s="202">
        <v>3.4772602739726071</v>
      </c>
      <c r="L262" s="202">
        <v>3.4772602739726071</v>
      </c>
      <c r="M262" s="202">
        <v>31.650164383561624</v>
      </c>
      <c r="N262" s="202">
        <v>31.650164383561624</v>
      </c>
      <c r="O262" s="202"/>
      <c r="P262" s="202"/>
      <c r="Q262" s="202"/>
      <c r="R262" s="202">
        <v>284.24537786301352</v>
      </c>
      <c r="S262" s="203">
        <v>1.4350763591094959</v>
      </c>
    </row>
    <row r="263" spans="1:19" x14ac:dyDescent="0.25">
      <c r="A263" s="155" t="s">
        <v>184</v>
      </c>
      <c r="B263" s="204">
        <v>198.06986301369676</v>
      </c>
      <c r="C263" s="204">
        <v>198.06986301369676</v>
      </c>
      <c r="D263" s="204"/>
      <c r="E263" s="204">
        <v>197.157358904109</v>
      </c>
      <c r="F263" s="204">
        <v>44.040325808219613</v>
      </c>
      <c r="G263" s="204"/>
      <c r="H263" s="204">
        <v>3.2854739726027393</v>
      </c>
      <c r="I263" s="204"/>
      <c r="J263" s="204">
        <v>4.6347945205479579</v>
      </c>
      <c r="K263" s="204">
        <v>3.477260273972608</v>
      </c>
      <c r="L263" s="204">
        <v>3.477260273972608</v>
      </c>
      <c r="M263" s="204">
        <v>31.650164383561624</v>
      </c>
      <c r="N263" s="204">
        <v>31.650164383561624</v>
      </c>
      <c r="O263" s="204"/>
      <c r="P263" s="204"/>
      <c r="Q263" s="204"/>
      <c r="R263" s="204">
        <v>284.24537786301357</v>
      </c>
      <c r="S263" s="205">
        <v>1.435076359109501</v>
      </c>
    </row>
    <row r="264" spans="1:19" x14ac:dyDescent="0.25">
      <c r="A264" s="156" t="s">
        <v>124</v>
      </c>
      <c r="B264" s="202">
        <v>1670.3369863013795</v>
      </c>
      <c r="C264" s="202">
        <v>1610.7824657534343</v>
      </c>
      <c r="D264" s="202">
        <v>59.554520547945209</v>
      </c>
      <c r="E264" s="202">
        <v>1297.3416575342458</v>
      </c>
      <c r="F264" s="202">
        <v>449.44473846576324</v>
      </c>
      <c r="G264" s="202">
        <v>55.60032876712328</v>
      </c>
      <c r="H264" s="202">
        <v>9.39821917808219</v>
      </c>
      <c r="I264" s="202">
        <v>56.57679452054802</v>
      </c>
      <c r="J264" s="202">
        <v>44.90495342465757</v>
      </c>
      <c r="K264" s="202">
        <v>128.1032328767121</v>
      </c>
      <c r="L264" s="202">
        <v>128.1032328767121</v>
      </c>
      <c r="M264" s="202">
        <v>54.611901369862757</v>
      </c>
      <c r="N264" s="202">
        <v>54.611901369862757</v>
      </c>
      <c r="O264" s="202"/>
      <c r="P264" s="202">
        <v>0.72871559013698639</v>
      </c>
      <c r="Q264" s="202">
        <v>0.74169863013698623</v>
      </c>
      <c r="R264" s="202">
        <v>2097.4522403572687</v>
      </c>
      <c r="S264" s="203">
        <v>1.2557060386968073</v>
      </c>
    </row>
    <row r="265" spans="1:19" x14ac:dyDescent="0.25">
      <c r="A265" s="155" t="s">
        <v>179</v>
      </c>
      <c r="B265" s="204">
        <v>1670.33698630137</v>
      </c>
      <c r="C265" s="204">
        <v>1610.7824657534247</v>
      </c>
      <c r="D265" s="204">
        <v>59.554520547945167</v>
      </c>
      <c r="E265" s="204">
        <v>1297.3416575342474</v>
      </c>
      <c r="F265" s="204">
        <v>449.44473846575909</v>
      </c>
      <c r="G265" s="204">
        <v>55.600328767123258</v>
      </c>
      <c r="H265" s="204">
        <v>9.39821917808219</v>
      </c>
      <c r="I265" s="204">
        <v>56.576794520548447</v>
      </c>
      <c r="J265" s="204">
        <v>44.904953424656874</v>
      </c>
      <c r="K265" s="204">
        <v>128.10323287671002</v>
      </c>
      <c r="L265" s="204">
        <v>128.10323287671002</v>
      </c>
      <c r="M265" s="204">
        <v>54.611901369862757</v>
      </c>
      <c r="N265" s="204">
        <v>54.611901369862757</v>
      </c>
      <c r="O265" s="204"/>
      <c r="P265" s="204">
        <v>0.72871559013698606</v>
      </c>
      <c r="Q265" s="204">
        <v>0.74169863013698623</v>
      </c>
      <c r="R265" s="204">
        <v>2097.4522403572641</v>
      </c>
      <c r="S265" s="205">
        <v>1.2557060386968117</v>
      </c>
    </row>
    <row r="266" spans="1:19" x14ac:dyDescent="0.25">
      <c r="A266" s="156" t="s">
        <v>125</v>
      </c>
      <c r="B266" s="202">
        <v>1658.229589041091</v>
      </c>
      <c r="C266" s="202">
        <v>1657.6487671232828</v>
      </c>
      <c r="D266" s="202">
        <v>0.58082191780821901</v>
      </c>
      <c r="E266" s="202">
        <v>1510.4112575342335</v>
      </c>
      <c r="F266" s="202">
        <v>210.89833964383507</v>
      </c>
      <c r="G266" s="202">
        <v>35.863013698630134</v>
      </c>
      <c r="H266" s="202"/>
      <c r="I266" s="202">
        <v>0.5517808219178082</v>
      </c>
      <c r="J266" s="202">
        <v>50.788767123287641</v>
      </c>
      <c r="K266" s="202">
        <v>77.873753424657409</v>
      </c>
      <c r="L266" s="202">
        <v>77.873753424657409</v>
      </c>
      <c r="M266" s="202">
        <v>63.434312328767028</v>
      </c>
      <c r="N266" s="202">
        <v>63.434312328767028</v>
      </c>
      <c r="O266" s="202"/>
      <c r="P266" s="202">
        <v>2.0004996328767182</v>
      </c>
      <c r="Q266" s="202"/>
      <c r="R266" s="202">
        <v>1951.8217242082053</v>
      </c>
      <c r="S266" s="203">
        <v>1.1770515597522841</v>
      </c>
    </row>
    <row r="267" spans="1:19" x14ac:dyDescent="0.25">
      <c r="A267" s="155" t="s">
        <v>177</v>
      </c>
      <c r="B267" s="204">
        <v>1658.2295890410874</v>
      </c>
      <c r="C267" s="204">
        <v>1657.6487671232792</v>
      </c>
      <c r="D267" s="204">
        <v>0.5808219178082179</v>
      </c>
      <c r="E267" s="204">
        <v>1510.4112575342276</v>
      </c>
      <c r="F267" s="204">
        <v>210.89833964383502</v>
      </c>
      <c r="G267" s="204">
        <v>35.863013698630112</v>
      </c>
      <c r="H267" s="204"/>
      <c r="I267" s="204">
        <v>0.55178082191780675</v>
      </c>
      <c r="J267" s="204">
        <v>50.78876712328637</v>
      </c>
      <c r="K267" s="204">
        <v>77.873753424657295</v>
      </c>
      <c r="L267" s="204">
        <v>77.873753424657295</v>
      </c>
      <c r="M267" s="204">
        <v>63.434312328767028</v>
      </c>
      <c r="N267" s="204">
        <v>63.434312328767028</v>
      </c>
      <c r="O267" s="204"/>
      <c r="P267" s="204">
        <v>2.0004996328767297</v>
      </c>
      <c r="Q267" s="204"/>
      <c r="R267" s="204">
        <v>1951.8217242081978</v>
      </c>
      <c r="S267" s="205">
        <v>1.1770515597522822</v>
      </c>
    </row>
    <row r="268" spans="1:19" x14ac:dyDescent="0.25">
      <c r="A268" s="37" t="s">
        <v>13</v>
      </c>
      <c r="B268" s="206">
        <v>187273.14786301352</v>
      </c>
      <c r="C268" s="206">
        <v>185538.580438356</v>
      </c>
      <c r="D268" s="206">
        <v>1734.5674246575311</v>
      </c>
      <c r="E268" s="206">
        <v>145112.05408219199</v>
      </c>
      <c r="F268" s="206">
        <v>28894.509951435652</v>
      </c>
      <c r="G268" s="206">
        <v>10667.445197260355</v>
      </c>
      <c r="H268" s="206">
        <v>1811.2123534246557</v>
      </c>
      <c r="I268" s="206">
        <v>1647.8390534246585</v>
      </c>
      <c r="J268" s="206">
        <v>4809.3342969862915</v>
      </c>
      <c r="K268" s="206">
        <v>31033.452873972386</v>
      </c>
      <c r="L268" s="206">
        <v>30953.311711856772</v>
      </c>
      <c r="M268" s="206">
        <v>4705.0899095890354</v>
      </c>
      <c r="N268" s="206">
        <v>4678.0090950121858</v>
      </c>
      <c r="O268" s="206">
        <v>-342.01447948493035</v>
      </c>
      <c r="P268" s="206">
        <v>137.37564587786318</v>
      </c>
      <c r="Q268" s="206">
        <v>200.28619397260331</v>
      </c>
      <c r="R268" s="206">
        <v>228569.36310195806</v>
      </c>
      <c r="S268" s="207">
        <v>1.2205132754491417</v>
      </c>
    </row>
    <row r="269" spans="1:19" x14ac:dyDescent="0.25">
      <c r="E269" s="113"/>
    </row>
    <row r="271" spans="1:19" x14ac:dyDescent="0.25">
      <c r="A271" s="144" t="s">
        <v>474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ul15">
    <tabColor theme="9" tint="0.59999389629810485"/>
  </sheetPr>
  <dimension ref="A1:P265"/>
  <sheetViews>
    <sheetView zoomScale="90" zoomScaleNormal="90" workbookViewId="0">
      <pane xSplit="1" ySplit="1" topLeftCell="I246" activePane="bottomRight" state="frozen"/>
      <selection pane="topRight" activeCell="B1" sqref="B1"/>
      <selection pane="bottomLeft" activeCell="A2" sqref="A2"/>
      <selection pane="bottomRight"/>
    </sheetView>
  </sheetViews>
  <sheetFormatPr defaultColWidth="19.5703125" defaultRowHeight="15" x14ac:dyDescent="0.25"/>
  <cols>
    <col min="1" max="1" width="46.5703125" style="144" customWidth="1"/>
    <col min="2" max="3" width="18.85546875" style="144" customWidth="1"/>
    <col min="4" max="16" width="19" style="144" customWidth="1"/>
    <col min="17" max="16384" width="19.5703125" style="144"/>
  </cols>
  <sheetData>
    <row r="1" spans="1:16" ht="84" x14ac:dyDescent="0.25">
      <c r="A1" s="36" t="s">
        <v>12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356</v>
      </c>
      <c r="M1" s="36" t="s">
        <v>357</v>
      </c>
      <c r="N1" s="36" t="s">
        <v>471</v>
      </c>
      <c r="O1" s="36" t="s">
        <v>11</v>
      </c>
      <c r="P1" s="36" t="s">
        <v>378</v>
      </c>
    </row>
    <row r="2" spans="1:16" x14ac:dyDescent="0.25">
      <c r="A2" s="156" t="s">
        <v>380</v>
      </c>
      <c r="B2" s="157">
        <v>525</v>
      </c>
      <c r="C2" s="157">
        <v>1692</v>
      </c>
      <c r="D2" s="157">
        <v>6186</v>
      </c>
      <c r="E2" s="157">
        <v>7961</v>
      </c>
      <c r="F2" s="202">
        <v>23369.045453999901</v>
      </c>
      <c r="G2" s="202">
        <v>27349.358071000253</v>
      </c>
      <c r="H2" s="202">
        <v>504</v>
      </c>
      <c r="I2" s="202">
        <v>132044.91999999926</v>
      </c>
      <c r="J2" s="202">
        <v>165539.36750000005</v>
      </c>
      <c r="K2" s="202">
        <v>1582.5</v>
      </c>
      <c r="L2" s="202">
        <v>51222.403525000154</v>
      </c>
      <c r="M2" s="202">
        <v>299166.78749999928</v>
      </c>
      <c r="N2" s="202">
        <v>299166.78749999928</v>
      </c>
      <c r="O2" s="202">
        <v>350389.19102499943</v>
      </c>
      <c r="P2" s="208">
        <v>2.2247188244131584E-2</v>
      </c>
    </row>
    <row r="3" spans="1:16" x14ac:dyDescent="0.25">
      <c r="A3" s="155" t="s">
        <v>379</v>
      </c>
      <c r="B3" s="158">
        <v>525</v>
      </c>
      <c r="C3" s="158">
        <v>1692</v>
      </c>
      <c r="D3" s="158">
        <v>6186</v>
      </c>
      <c r="E3" s="158">
        <v>7961</v>
      </c>
      <c r="F3" s="204">
        <v>23369.045453999901</v>
      </c>
      <c r="G3" s="204">
        <v>27349.358071000253</v>
      </c>
      <c r="H3" s="204">
        <v>504</v>
      </c>
      <c r="I3" s="204">
        <v>132044.91999999966</v>
      </c>
      <c r="J3" s="204">
        <v>165539.36749999414</v>
      </c>
      <c r="K3" s="204">
        <v>1582.5</v>
      </c>
      <c r="L3" s="204">
        <v>51222.403525000154</v>
      </c>
      <c r="M3" s="204">
        <v>299166.78749999381</v>
      </c>
      <c r="N3" s="204">
        <v>299166.78749999381</v>
      </c>
      <c r="O3" s="204">
        <v>350389.19102499395</v>
      </c>
      <c r="P3" s="209">
        <v>2.2247188244131237E-2</v>
      </c>
    </row>
    <row r="4" spans="1:16" x14ac:dyDescent="0.25">
      <c r="A4" s="156" t="s">
        <v>15</v>
      </c>
      <c r="B4" s="157">
        <v>122</v>
      </c>
      <c r="C4" s="157">
        <v>77</v>
      </c>
      <c r="D4" s="157">
        <v>1246</v>
      </c>
      <c r="E4" s="157">
        <v>310</v>
      </c>
      <c r="F4" s="202">
        <v>6472.9810260000077</v>
      </c>
      <c r="G4" s="202">
        <v>1233.4138240000013</v>
      </c>
      <c r="H4" s="202">
        <v>648</v>
      </c>
      <c r="I4" s="202">
        <v>24539.160000000033</v>
      </c>
      <c r="J4" s="202">
        <v>7833.3774999999914</v>
      </c>
      <c r="K4" s="202">
        <v>2045</v>
      </c>
      <c r="L4" s="202">
        <v>8354.3948500000079</v>
      </c>
      <c r="M4" s="202">
        <v>34417.53750000002</v>
      </c>
      <c r="N4" s="202">
        <v>34417.53750000002</v>
      </c>
      <c r="O4" s="202">
        <v>42771.932350000032</v>
      </c>
      <c r="P4" s="208">
        <v>2.7157094309105587E-3</v>
      </c>
    </row>
    <row r="5" spans="1:16" x14ac:dyDescent="0.25">
      <c r="A5" s="155" t="s">
        <v>321</v>
      </c>
      <c r="B5" s="158">
        <v>122</v>
      </c>
      <c r="C5" s="158">
        <v>77</v>
      </c>
      <c r="D5" s="158">
        <v>1246</v>
      </c>
      <c r="E5" s="158">
        <v>310</v>
      </c>
      <c r="F5" s="204">
        <v>6472.9810260000077</v>
      </c>
      <c r="G5" s="204">
        <v>1233.4138240000013</v>
      </c>
      <c r="H5" s="204">
        <v>648</v>
      </c>
      <c r="I5" s="204">
        <v>24539.160000000054</v>
      </c>
      <c r="J5" s="204">
        <v>7833.3774999999923</v>
      </c>
      <c r="K5" s="204">
        <v>2045</v>
      </c>
      <c r="L5" s="204">
        <v>8354.3948500000079</v>
      </c>
      <c r="M5" s="204">
        <v>34417.537500000049</v>
      </c>
      <c r="N5" s="204">
        <v>34417.537500000049</v>
      </c>
      <c r="O5" s="204">
        <v>42771.932350000061</v>
      </c>
      <c r="P5" s="209">
        <v>2.7157094309105605E-3</v>
      </c>
    </row>
    <row r="6" spans="1:16" x14ac:dyDescent="0.25">
      <c r="A6" s="156" t="s">
        <v>16</v>
      </c>
      <c r="B6" s="157">
        <v>15</v>
      </c>
      <c r="C6" s="157"/>
      <c r="D6" s="157">
        <v>192</v>
      </c>
      <c r="E6" s="157"/>
      <c r="F6" s="202">
        <v>1076.4000000000001</v>
      </c>
      <c r="G6" s="202"/>
      <c r="H6" s="202">
        <v>2911.6800000000003</v>
      </c>
      <c r="I6" s="202">
        <v>2862.9900000000057</v>
      </c>
      <c r="J6" s="202"/>
      <c r="K6" s="202">
        <v>8716.52</v>
      </c>
      <c r="L6" s="202">
        <v>3988.0800000000004</v>
      </c>
      <c r="M6" s="202">
        <v>11579.510000000006</v>
      </c>
      <c r="N6" s="202">
        <v>11579.510000000006</v>
      </c>
      <c r="O6" s="202">
        <v>15567.590000000006</v>
      </c>
      <c r="P6" s="208">
        <v>9.8842976355612054E-4</v>
      </c>
    </row>
    <row r="7" spans="1:16" x14ac:dyDescent="0.25">
      <c r="A7" s="155" t="s">
        <v>320</v>
      </c>
      <c r="B7" s="158">
        <v>15</v>
      </c>
      <c r="C7" s="158"/>
      <c r="D7" s="158">
        <v>192</v>
      </c>
      <c r="E7" s="158"/>
      <c r="F7" s="204">
        <v>1076.4000000000001</v>
      </c>
      <c r="G7" s="204"/>
      <c r="H7" s="204">
        <v>2911.6800000000003</v>
      </c>
      <c r="I7" s="204">
        <v>2862.9900000000052</v>
      </c>
      <c r="J7" s="204"/>
      <c r="K7" s="204">
        <v>8716.5199999999986</v>
      </c>
      <c r="L7" s="204">
        <v>3988.0800000000004</v>
      </c>
      <c r="M7" s="204">
        <v>11579.510000000004</v>
      </c>
      <c r="N7" s="204">
        <v>11579.510000000004</v>
      </c>
      <c r="O7" s="204">
        <v>15567.590000000004</v>
      </c>
      <c r="P7" s="209">
        <v>9.8842976355612054E-4</v>
      </c>
    </row>
    <row r="8" spans="1:16" x14ac:dyDescent="0.25">
      <c r="A8" s="156" t="s">
        <v>488</v>
      </c>
      <c r="B8" s="157">
        <v>266</v>
      </c>
      <c r="C8" s="157">
        <v>17</v>
      </c>
      <c r="D8" s="157">
        <v>3237</v>
      </c>
      <c r="E8" s="157">
        <v>61</v>
      </c>
      <c r="F8" s="202">
        <v>17844.119081999972</v>
      </c>
      <c r="G8" s="202">
        <v>155.14200000000002</v>
      </c>
      <c r="H8" s="202">
        <v>64050.480000000127</v>
      </c>
      <c r="I8" s="202">
        <v>55323.100000000886</v>
      </c>
      <c r="J8" s="202">
        <v>1389.18</v>
      </c>
      <c r="K8" s="202">
        <v>194261.38999999998</v>
      </c>
      <c r="L8" s="202">
        <v>82049.741082000095</v>
      </c>
      <c r="M8" s="202">
        <v>250973.67000000086</v>
      </c>
      <c r="N8" s="202">
        <v>250973.67000000086</v>
      </c>
      <c r="O8" s="202">
        <v>333023.41108200094</v>
      </c>
      <c r="P8" s="208">
        <v>2.1144586379422559E-2</v>
      </c>
    </row>
    <row r="9" spans="1:16" x14ac:dyDescent="0.25">
      <c r="A9" s="155" t="s">
        <v>487</v>
      </c>
      <c r="B9" s="158">
        <v>266</v>
      </c>
      <c r="C9" s="158">
        <v>17</v>
      </c>
      <c r="D9" s="158">
        <v>3237</v>
      </c>
      <c r="E9" s="158">
        <v>61</v>
      </c>
      <c r="F9" s="204">
        <v>17844.119081999972</v>
      </c>
      <c r="G9" s="204">
        <v>155.14200000000002</v>
      </c>
      <c r="H9" s="204">
        <v>64050.480000000127</v>
      </c>
      <c r="I9" s="204">
        <v>55323.100000000843</v>
      </c>
      <c r="J9" s="204">
        <v>1389.1799999999992</v>
      </c>
      <c r="K9" s="204">
        <v>194261.39000000694</v>
      </c>
      <c r="L9" s="204">
        <v>82049.741082000095</v>
      </c>
      <c r="M9" s="204">
        <v>250973.67000000778</v>
      </c>
      <c r="N9" s="204">
        <v>250973.67000000778</v>
      </c>
      <c r="O9" s="204">
        <v>333023.41108200786</v>
      </c>
      <c r="P9" s="209">
        <v>2.1144586379422996E-2</v>
      </c>
    </row>
    <row r="10" spans="1:16" x14ac:dyDescent="0.25">
      <c r="A10" s="156" t="s">
        <v>17</v>
      </c>
      <c r="B10" s="157">
        <v>228</v>
      </c>
      <c r="C10" s="157"/>
      <c r="D10" s="157">
        <v>2532</v>
      </c>
      <c r="E10" s="157"/>
      <c r="F10" s="202">
        <v>14933.338542000005</v>
      </c>
      <c r="G10" s="202"/>
      <c r="H10" s="202">
        <v>56431.440000000111</v>
      </c>
      <c r="I10" s="202">
        <v>41561.930000000386</v>
      </c>
      <c r="J10" s="202"/>
      <c r="K10" s="202">
        <v>163385.66999999961</v>
      </c>
      <c r="L10" s="202">
        <v>71364.778542000116</v>
      </c>
      <c r="M10" s="202">
        <v>204947.59999999998</v>
      </c>
      <c r="N10" s="202">
        <v>204947.59999999998</v>
      </c>
      <c r="O10" s="202">
        <v>276312.37854200008</v>
      </c>
      <c r="P10" s="208">
        <v>1.7543844550755663E-2</v>
      </c>
    </row>
    <row r="11" spans="1:16" x14ac:dyDescent="0.25">
      <c r="A11" s="155" t="s">
        <v>319</v>
      </c>
      <c r="B11" s="158">
        <v>228</v>
      </c>
      <c r="C11" s="158"/>
      <c r="D11" s="158">
        <v>2532</v>
      </c>
      <c r="E11" s="158"/>
      <c r="F11" s="204">
        <v>14933.338542000005</v>
      </c>
      <c r="G11" s="204"/>
      <c r="H11" s="204">
        <v>56431.440000000111</v>
      </c>
      <c r="I11" s="204">
        <v>41561.930000000342</v>
      </c>
      <c r="J11" s="204"/>
      <c r="K11" s="204">
        <v>163385.6700000031</v>
      </c>
      <c r="L11" s="204">
        <v>71364.778542000116</v>
      </c>
      <c r="M11" s="204">
        <v>204947.60000000344</v>
      </c>
      <c r="N11" s="204">
        <v>204947.60000000344</v>
      </c>
      <c r="O11" s="204">
        <v>276312.37854200357</v>
      </c>
      <c r="P11" s="209">
        <v>1.7543844550755885E-2</v>
      </c>
    </row>
    <row r="12" spans="1:16" x14ac:dyDescent="0.25">
      <c r="A12" s="156" t="s">
        <v>493</v>
      </c>
      <c r="B12" s="157"/>
      <c r="C12" s="157">
        <v>91</v>
      </c>
      <c r="D12" s="157"/>
      <c r="E12" s="157">
        <v>280</v>
      </c>
      <c r="F12" s="202"/>
      <c r="G12" s="202">
        <v>1460.160428999998</v>
      </c>
      <c r="H12" s="202"/>
      <c r="I12" s="202"/>
      <c r="J12" s="202">
        <v>7072.6500000000106</v>
      </c>
      <c r="K12" s="202"/>
      <c r="L12" s="202">
        <v>1460.160428999998</v>
      </c>
      <c r="M12" s="202">
        <v>7072.6500000000106</v>
      </c>
      <c r="N12" s="202">
        <v>4806.3536878499963</v>
      </c>
      <c r="O12" s="202">
        <v>6266.514116849994</v>
      </c>
      <c r="P12" s="208">
        <v>3.9787848130886858E-4</v>
      </c>
    </row>
    <row r="13" spans="1:16" x14ac:dyDescent="0.25">
      <c r="A13" s="155" t="s">
        <v>317</v>
      </c>
      <c r="B13" s="158"/>
      <c r="C13" s="158">
        <v>91</v>
      </c>
      <c r="D13" s="158"/>
      <c r="E13" s="158">
        <v>280</v>
      </c>
      <c r="F13" s="204"/>
      <c r="G13" s="204">
        <v>1460.160428999998</v>
      </c>
      <c r="H13" s="204"/>
      <c r="I13" s="204"/>
      <c r="J13" s="204">
        <v>7072.6500000000106</v>
      </c>
      <c r="K13" s="204"/>
      <c r="L13" s="204">
        <v>1460.160428999998</v>
      </c>
      <c r="M13" s="204">
        <v>7072.6500000000106</v>
      </c>
      <c r="N13" s="204">
        <v>4806.3536878499963</v>
      </c>
      <c r="O13" s="204">
        <v>6266.514116849994</v>
      </c>
      <c r="P13" s="209">
        <v>3.9787848130886858E-4</v>
      </c>
    </row>
    <row r="14" spans="1:16" x14ac:dyDescent="0.25">
      <c r="A14" s="156" t="s">
        <v>19</v>
      </c>
      <c r="B14" s="157">
        <v>583</v>
      </c>
      <c r="C14" s="157">
        <v>109</v>
      </c>
      <c r="D14" s="157">
        <v>5546</v>
      </c>
      <c r="E14" s="157">
        <v>460</v>
      </c>
      <c r="F14" s="202">
        <v>31419.899675999877</v>
      </c>
      <c r="G14" s="202">
        <v>1993.6801340000043</v>
      </c>
      <c r="H14" s="202">
        <v>2088</v>
      </c>
      <c r="I14" s="202">
        <v>103225.95000000011</v>
      </c>
      <c r="J14" s="202">
        <v>9599.0700000000106</v>
      </c>
      <c r="K14" s="202">
        <v>5189.5</v>
      </c>
      <c r="L14" s="202">
        <v>35501.579809999879</v>
      </c>
      <c r="M14" s="202">
        <v>118014.52000000012</v>
      </c>
      <c r="N14" s="202">
        <v>118014.52000000012</v>
      </c>
      <c r="O14" s="202">
        <v>153516.09980999999</v>
      </c>
      <c r="P14" s="208">
        <v>9.7471658899840018E-3</v>
      </c>
    </row>
    <row r="15" spans="1:16" x14ac:dyDescent="0.25">
      <c r="A15" s="155" t="s">
        <v>316</v>
      </c>
      <c r="B15" s="158">
        <v>583</v>
      </c>
      <c r="C15" s="158">
        <v>109</v>
      </c>
      <c r="D15" s="158">
        <v>5546</v>
      </c>
      <c r="E15" s="158">
        <v>460</v>
      </c>
      <c r="F15" s="204">
        <v>31419.899675999877</v>
      </c>
      <c r="G15" s="204">
        <v>1993.6801340000043</v>
      </c>
      <c r="H15" s="204">
        <v>2088</v>
      </c>
      <c r="I15" s="204">
        <v>103225.95000000084</v>
      </c>
      <c r="J15" s="204">
        <v>9599.0700000000052</v>
      </c>
      <c r="K15" s="204">
        <v>5189.5</v>
      </c>
      <c r="L15" s="204">
        <v>35501.579809999879</v>
      </c>
      <c r="M15" s="204">
        <v>118014.52000000085</v>
      </c>
      <c r="N15" s="204">
        <v>118014.52000000085</v>
      </c>
      <c r="O15" s="204">
        <v>153516.09981000074</v>
      </c>
      <c r="P15" s="209">
        <v>9.7471658899840503E-3</v>
      </c>
    </row>
    <row r="16" spans="1:16" x14ac:dyDescent="0.25">
      <c r="A16" s="156" t="s">
        <v>148</v>
      </c>
      <c r="B16" s="157">
        <v>724</v>
      </c>
      <c r="C16" s="157">
        <v>660</v>
      </c>
      <c r="D16" s="157">
        <v>7786</v>
      </c>
      <c r="E16" s="157">
        <v>2651</v>
      </c>
      <c r="F16" s="202">
        <v>40487.409342000006</v>
      </c>
      <c r="G16" s="202">
        <v>10396.626724000082</v>
      </c>
      <c r="H16" s="202">
        <v>2772</v>
      </c>
      <c r="I16" s="202">
        <v>148631.4399999989</v>
      </c>
      <c r="J16" s="202">
        <v>59232.354999999756</v>
      </c>
      <c r="K16" s="202">
        <v>9039</v>
      </c>
      <c r="L16" s="202">
        <v>53656.036066000088</v>
      </c>
      <c r="M16" s="202">
        <v>216902.79499999864</v>
      </c>
      <c r="N16" s="202">
        <v>216902.79499999864</v>
      </c>
      <c r="O16" s="202">
        <v>270558.83106599876</v>
      </c>
      <c r="P16" s="208">
        <v>1.7178535753998237E-2</v>
      </c>
    </row>
    <row r="17" spans="1:16" x14ac:dyDescent="0.25">
      <c r="A17" s="155" t="s">
        <v>175</v>
      </c>
      <c r="B17" s="158">
        <v>724</v>
      </c>
      <c r="C17" s="158">
        <v>660</v>
      </c>
      <c r="D17" s="158">
        <v>7786</v>
      </c>
      <c r="E17" s="158">
        <v>2651</v>
      </c>
      <c r="F17" s="204">
        <v>40487.409342000006</v>
      </c>
      <c r="G17" s="204">
        <v>10396.626724000082</v>
      </c>
      <c r="H17" s="204">
        <v>2772</v>
      </c>
      <c r="I17" s="204">
        <v>148631.44000000018</v>
      </c>
      <c r="J17" s="204">
        <v>59232.35500000001</v>
      </c>
      <c r="K17" s="204">
        <v>9039</v>
      </c>
      <c r="L17" s="204">
        <v>53656.036066000088</v>
      </c>
      <c r="M17" s="204">
        <v>216902.79500000019</v>
      </c>
      <c r="N17" s="204">
        <v>216902.79500000019</v>
      </c>
      <c r="O17" s="204">
        <v>270558.83106600028</v>
      </c>
      <c r="P17" s="209">
        <v>1.7178535753998334E-2</v>
      </c>
    </row>
    <row r="18" spans="1:16" x14ac:dyDescent="0.25">
      <c r="A18" s="156" t="s">
        <v>20</v>
      </c>
      <c r="B18" s="157"/>
      <c r="C18" s="157">
        <v>6</v>
      </c>
      <c r="D18" s="157"/>
      <c r="E18" s="157">
        <v>28</v>
      </c>
      <c r="F18" s="202"/>
      <c r="G18" s="202">
        <v>109.51199999999999</v>
      </c>
      <c r="H18" s="202"/>
      <c r="I18" s="202"/>
      <c r="J18" s="202">
        <v>654.03</v>
      </c>
      <c r="K18" s="202"/>
      <c r="L18" s="202">
        <v>109.51199999999999</v>
      </c>
      <c r="M18" s="202">
        <v>654.03</v>
      </c>
      <c r="N18" s="202">
        <v>182.51949807</v>
      </c>
      <c r="O18" s="202">
        <v>292.03149807</v>
      </c>
      <c r="P18" s="208">
        <v>1.8541895347209792E-5</v>
      </c>
    </row>
    <row r="19" spans="1:16" x14ac:dyDescent="0.25">
      <c r="A19" s="155" t="s">
        <v>315</v>
      </c>
      <c r="B19" s="158"/>
      <c r="C19" s="158">
        <v>6</v>
      </c>
      <c r="D19" s="158"/>
      <c r="E19" s="158">
        <v>28</v>
      </c>
      <c r="F19" s="204"/>
      <c r="G19" s="204">
        <v>109.51199999999999</v>
      </c>
      <c r="H19" s="204"/>
      <c r="I19" s="204"/>
      <c r="J19" s="204">
        <v>654.03</v>
      </c>
      <c r="K19" s="204"/>
      <c r="L19" s="204">
        <v>109.51199999999999</v>
      </c>
      <c r="M19" s="204">
        <v>654.03</v>
      </c>
      <c r="N19" s="204">
        <v>182.51949807</v>
      </c>
      <c r="O19" s="204">
        <v>292.03149807</v>
      </c>
      <c r="P19" s="209">
        <v>1.8541895347209792E-5</v>
      </c>
    </row>
    <row r="20" spans="1:16" x14ac:dyDescent="0.25">
      <c r="A20" s="156" t="s">
        <v>21</v>
      </c>
      <c r="B20" s="157">
        <v>1797</v>
      </c>
      <c r="C20" s="157">
        <v>790</v>
      </c>
      <c r="D20" s="157">
        <v>17922</v>
      </c>
      <c r="E20" s="157">
        <v>2848</v>
      </c>
      <c r="F20" s="202">
        <v>107014.55032800137</v>
      </c>
      <c r="G20" s="202">
        <v>11752.889338000201</v>
      </c>
      <c r="H20" s="202">
        <v>9468</v>
      </c>
      <c r="I20" s="202">
        <v>330494.6999999964</v>
      </c>
      <c r="J20" s="202">
        <v>63826.619999999632</v>
      </c>
      <c r="K20" s="202">
        <v>25940.5</v>
      </c>
      <c r="L20" s="202">
        <v>128235.43966600156</v>
      </c>
      <c r="M20" s="202">
        <v>420261.81999999605</v>
      </c>
      <c r="N20" s="202">
        <v>420261.81999999605</v>
      </c>
      <c r="O20" s="202">
        <v>548497.25966599758</v>
      </c>
      <c r="P20" s="208">
        <v>3.4825622763885858E-2</v>
      </c>
    </row>
    <row r="21" spans="1:16" x14ac:dyDescent="0.25">
      <c r="A21" s="155" t="s">
        <v>314</v>
      </c>
      <c r="B21" s="158">
        <v>1797</v>
      </c>
      <c r="C21" s="158">
        <v>790</v>
      </c>
      <c r="D21" s="158">
        <v>17922</v>
      </c>
      <c r="E21" s="158">
        <v>2848</v>
      </c>
      <c r="F21" s="204">
        <v>107014.55032800137</v>
      </c>
      <c r="G21" s="204">
        <v>11752.889338000201</v>
      </c>
      <c r="H21" s="204">
        <v>9468</v>
      </c>
      <c r="I21" s="204">
        <v>330494.69999997952</v>
      </c>
      <c r="J21" s="204">
        <v>63826.619999999988</v>
      </c>
      <c r="K21" s="204">
        <v>25940.5</v>
      </c>
      <c r="L21" s="204">
        <v>128235.43966600156</v>
      </c>
      <c r="M21" s="204">
        <v>420261.81999997952</v>
      </c>
      <c r="N21" s="204">
        <v>420261.81999997952</v>
      </c>
      <c r="O21" s="204">
        <v>548497.25966598105</v>
      </c>
      <c r="P21" s="209">
        <v>3.482562276388481E-2</v>
      </c>
    </row>
    <row r="22" spans="1:16" x14ac:dyDescent="0.25">
      <c r="A22" s="156" t="s">
        <v>22</v>
      </c>
      <c r="B22" s="157">
        <v>839</v>
      </c>
      <c r="C22" s="157">
        <v>336</v>
      </c>
      <c r="D22" s="157">
        <v>7857</v>
      </c>
      <c r="E22" s="157">
        <v>1299</v>
      </c>
      <c r="F22" s="202">
        <v>49168.082376000195</v>
      </c>
      <c r="G22" s="202">
        <v>4258.0950490000178</v>
      </c>
      <c r="H22" s="202">
        <v>2484</v>
      </c>
      <c r="I22" s="202">
        <v>163609.66999999911</v>
      </c>
      <c r="J22" s="202">
        <v>30248.562499999818</v>
      </c>
      <c r="K22" s="202">
        <v>14670</v>
      </c>
      <c r="L22" s="202">
        <v>55910.177425000213</v>
      </c>
      <c r="M22" s="202">
        <v>208528.23249999894</v>
      </c>
      <c r="N22" s="202">
        <v>208528.23249999894</v>
      </c>
      <c r="O22" s="202">
        <v>264438.40992499917</v>
      </c>
      <c r="P22" s="208">
        <v>1.6789933123709151E-2</v>
      </c>
    </row>
    <row r="23" spans="1:16" x14ac:dyDescent="0.25">
      <c r="A23" s="155" t="s">
        <v>313</v>
      </c>
      <c r="B23" s="158">
        <v>839</v>
      </c>
      <c r="C23" s="158">
        <v>336</v>
      </c>
      <c r="D23" s="158">
        <v>7857</v>
      </c>
      <c r="E23" s="158">
        <v>1299</v>
      </c>
      <c r="F23" s="204">
        <v>49168.082376000195</v>
      </c>
      <c r="G23" s="204">
        <v>4258.0950490000178</v>
      </c>
      <c r="H23" s="204">
        <v>2484</v>
      </c>
      <c r="I23" s="204">
        <v>163609.66999999862</v>
      </c>
      <c r="J23" s="204">
        <v>30248.562499999513</v>
      </c>
      <c r="K23" s="204">
        <v>14670</v>
      </c>
      <c r="L23" s="204">
        <v>55910.177425000213</v>
      </c>
      <c r="M23" s="204">
        <v>208528.23249999812</v>
      </c>
      <c r="N23" s="204">
        <v>208528.23249999812</v>
      </c>
      <c r="O23" s="204">
        <v>264438.40992499836</v>
      </c>
      <c r="P23" s="209">
        <v>1.6789933123709098E-2</v>
      </c>
    </row>
    <row r="24" spans="1:16" x14ac:dyDescent="0.25">
      <c r="A24" s="156" t="s">
        <v>23</v>
      </c>
      <c r="B24" s="157">
        <v>668</v>
      </c>
      <c r="C24" s="157">
        <v>231</v>
      </c>
      <c r="D24" s="157">
        <v>6540</v>
      </c>
      <c r="E24" s="157">
        <v>984</v>
      </c>
      <c r="F24" s="202">
        <v>44474.573520000042</v>
      </c>
      <c r="G24" s="202">
        <v>3423.7709999999943</v>
      </c>
      <c r="H24" s="202">
        <v>3672</v>
      </c>
      <c r="I24" s="202">
        <v>147208.60999999937</v>
      </c>
      <c r="J24" s="202">
        <v>19890.844999999965</v>
      </c>
      <c r="K24" s="202">
        <v>12287</v>
      </c>
      <c r="L24" s="202">
        <v>51570.344520000035</v>
      </c>
      <c r="M24" s="202">
        <v>179386.45499999935</v>
      </c>
      <c r="N24" s="202">
        <v>179386.45499999935</v>
      </c>
      <c r="O24" s="202">
        <v>230956.79951999939</v>
      </c>
      <c r="P24" s="208">
        <v>1.4664092177480988E-2</v>
      </c>
    </row>
    <row r="25" spans="1:16" x14ac:dyDescent="0.25">
      <c r="A25" s="155" t="s">
        <v>311</v>
      </c>
      <c r="B25" s="158">
        <v>668</v>
      </c>
      <c r="C25" s="158">
        <v>231</v>
      </c>
      <c r="D25" s="158">
        <v>6540</v>
      </c>
      <c r="E25" s="158">
        <v>984</v>
      </c>
      <c r="F25" s="204">
        <v>44474.573520000042</v>
      </c>
      <c r="G25" s="204">
        <v>3423.7709999999943</v>
      </c>
      <c r="H25" s="204">
        <v>3672</v>
      </c>
      <c r="I25" s="204">
        <v>147208.6099999999</v>
      </c>
      <c r="J25" s="204">
        <v>19890.84499999987</v>
      </c>
      <c r="K25" s="204">
        <v>12287</v>
      </c>
      <c r="L25" s="204">
        <v>51570.344520000035</v>
      </c>
      <c r="M25" s="204">
        <v>179386.45499999978</v>
      </c>
      <c r="N25" s="204">
        <v>179386.45499999978</v>
      </c>
      <c r="O25" s="204">
        <v>230956.79951999983</v>
      </c>
      <c r="P25" s="209">
        <v>1.4664092177481016E-2</v>
      </c>
    </row>
    <row r="26" spans="1:16" x14ac:dyDescent="0.25">
      <c r="A26" s="156" t="s">
        <v>24</v>
      </c>
      <c r="B26" s="157"/>
      <c r="C26" s="157">
        <v>13</v>
      </c>
      <c r="D26" s="157"/>
      <c r="E26" s="157">
        <v>69</v>
      </c>
      <c r="F26" s="202"/>
      <c r="G26" s="202">
        <v>310.28399999999999</v>
      </c>
      <c r="H26" s="202"/>
      <c r="I26" s="202"/>
      <c r="J26" s="202">
        <v>927.81000000000074</v>
      </c>
      <c r="K26" s="202"/>
      <c r="L26" s="202">
        <v>310.28399999999999</v>
      </c>
      <c r="M26" s="202">
        <v>927.81000000000074</v>
      </c>
      <c r="N26" s="202">
        <v>927.81000000000074</v>
      </c>
      <c r="O26" s="202">
        <v>1238.0940000000007</v>
      </c>
      <c r="P26" s="208">
        <v>7.861004559345743E-5</v>
      </c>
    </row>
    <row r="27" spans="1:16" x14ac:dyDescent="0.25">
      <c r="A27" s="155" t="s">
        <v>310</v>
      </c>
      <c r="B27" s="158"/>
      <c r="C27" s="158">
        <v>13</v>
      </c>
      <c r="D27" s="158"/>
      <c r="E27" s="158">
        <v>69</v>
      </c>
      <c r="F27" s="204"/>
      <c r="G27" s="204">
        <v>310.28399999999999</v>
      </c>
      <c r="H27" s="204"/>
      <c r="I27" s="204"/>
      <c r="J27" s="204">
        <v>927.81000000000063</v>
      </c>
      <c r="K27" s="204"/>
      <c r="L27" s="204">
        <v>310.28399999999999</v>
      </c>
      <c r="M27" s="204">
        <v>927.81000000000063</v>
      </c>
      <c r="N27" s="204">
        <v>927.81000000000063</v>
      </c>
      <c r="O27" s="204">
        <v>1238.0940000000005</v>
      </c>
      <c r="P27" s="209">
        <v>7.8610045593457416E-5</v>
      </c>
    </row>
    <row r="28" spans="1:16" x14ac:dyDescent="0.25">
      <c r="A28" s="156" t="s">
        <v>25</v>
      </c>
      <c r="B28" s="157">
        <v>29</v>
      </c>
      <c r="C28" s="157">
        <v>17</v>
      </c>
      <c r="D28" s="157">
        <v>323</v>
      </c>
      <c r="E28" s="157">
        <v>130</v>
      </c>
      <c r="F28" s="202">
        <v>2969.6398920000006</v>
      </c>
      <c r="G28" s="202">
        <v>401.54389299999997</v>
      </c>
      <c r="H28" s="202"/>
      <c r="I28" s="202">
        <v>7856.8199999999988</v>
      </c>
      <c r="J28" s="202">
        <v>2542.6050000000014</v>
      </c>
      <c r="K28" s="202"/>
      <c r="L28" s="202">
        <v>3371.1837850000006</v>
      </c>
      <c r="M28" s="202">
        <v>10399.424999999999</v>
      </c>
      <c r="N28" s="202">
        <v>10399.424999999999</v>
      </c>
      <c r="O28" s="202">
        <v>13770.608785</v>
      </c>
      <c r="P28" s="208">
        <v>8.7433440791936207E-4</v>
      </c>
    </row>
    <row r="29" spans="1:16" x14ac:dyDescent="0.25">
      <c r="A29" s="155" t="s">
        <v>309</v>
      </c>
      <c r="B29" s="158">
        <v>29</v>
      </c>
      <c r="C29" s="158">
        <v>17</v>
      </c>
      <c r="D29" s="158">
        <v>323</v>
      </c>
      <c r="E29" s="158">
        <v>130</v>
      </c>
      <c r="F29" s="204">
        <v>2969.6398920000006</v>
      </c>
      <c r="G29" s="204">
        <v>401.54389299999997</v>
      </c>
      <c r="H29" s="204"/>
      <c r="I29" s="204">
        <v>7856.82</v>
      </c>
      <c r="J29" s="204">
        <v>2542.6050000000009</v>
      </c>
      <c r="K29" s="204"/>
      <c r="L29" s="204">
        <v>3371.1837850000006</v>
      </c>
      <c r="M29" s="204">
        <v>10399.425000000001</v>
      </c>
      <c r="N29" s="204">
        <v>10399.425000000001</v>
      </c>
      <c r="O29" s="204">
        <v>13770.608785000002</v>
      </c>
      <c r="P29" s="209">
        <v>8.7433440791936229E-4</v>
      </c>
    </row>
    <row r="30" spans="1:16" x14ac:dyDescent="0.25">
      <c r="A30" s="156" t="s">
        <v>383</v>
      </c>
      <c r="B30" s="157">
        <v>4</v>
      </c>
      <c r="C30" s="157"/>
      <c r="D30" s="157">
        <v>155</v>
      </c>
      <c r="E30" s="157"/>
      <c r="F30" s="202">
        <v>279.36</v>
      </c>
      <c r="G30" s="202"/>
      <c r="H30" s="202"/>
      <c r="I30" s="202">
        <v>2122.7649999999999</v>
      </c>
      <c r="J30" s="202"/>
      <c r="K30" s="202"/>
      <c r="L30" s="202">
        <v>279.36</v>
      </c>
      <c r="M30" s="202">
        <v>2122.7649999999999</v>
      </c>
      <c r="N30" s="202">
        <v>2122.7649999999999</v>
      </c>
      <c r="O30" s="202">
        <v>2402.125</v>
      </c>
      <c r="P30" s="208">
        <v>1.5251762448665755E-4</v>
      </c>
    </row>
    <row r="31" spans="1:16" x14ac:dyDescent="0.25">
      <c r="A31" s="155" t="s">
        <v>308</v>
      </c>
      <c r="B31" s="158">
        <v>4</v>
      </c>
      <c r="C31" s="158"/>
      <c r="D31" s="158">
        <v>155</v>
      </c>
      <c r="E31" s="158"/>
      <c r="F31" s="204">
        <v>279.36</v>
      </c>
      <c r="G31" s="204"/>
      <c r="H31" s="204"/>
      <c r="I31" s="204">
        <v>2122.7649999999999</v>
      </c>
      <c r="J31" s="204"/>
      <c r="K31" s="204"/>
      <c r="L31" s="204">
        <v>279.36</v>
      </c>
      <c r="M31" s="204">
        <v>2122.7649999999999</v>
      </c>
      <c r="N31" s="204">
        <v>2122.7649999999999</v>
      </c>
      <c r="O31" s="204">
        <v>2402.125</v>
      </c>
      <c r="P31" s="209">
        <v>1.5251762448665755E-4</v>
      </c>
    </row>
    <row r="32" spans="1:16" x14ac:dyDescent="0.25">
      <c r="A32" s="156" t="s">
        <v>128</v>
      </c>
      <c r="B32" s="157"/>
      <c r="C32" s="157">
        <v>80</v>
      </c>
      <c r="D32" s="157"/>
      <c r="E32" s="157">
        <v>329</v>
      </c>
      <c r="F32" s="202"/>
      <c r="G32" s="202">
        <v>1524.0420000000026</v>
      </c>
      <c r="H32" s="202"/>
      <c r="I32" s="202"/>
      <c r="J32" s="202">
        <v>6218.3550000000041</v>
      </c>
      <c r="K32" s="202"/>
      <c r="L32" s="202">
        <v>1524.0420000000026</v>
      </c>
      <c r="M32" s="202">
        <v>6218.3550000000041</v>
      </c>
      <c r="N32" s="202">
        <v>1764.358737570001</v>
      </c>
      <c r="O32" s="202">
        <v>3288.4007375700039</v>
      </c>
      <c r="P32" s="208">
        <v>2.087897461016182E-4</v>
      </c>
    </row>
    <row r="33" spans="1:16" x14ac:dyDescent="0.25">
      <c r="A33" s="155" t="s">
        <v>307</v>
      </c>
      <c r="B33" s="158"/>
      <c r="C33" s="158">
        <v>80</v>
      </c>
      <c r="D33" s="158"/>
      <c r="E33" s="158">
        <v>329</v>
      </c>
      <c r="F33" s="204"/>
      <c r="G33" s="204">
        <v>1524.0420000000026</v>
      </c>
      <c r="H33" s="204"/>
      <c r="I33" s="204"/>
      <c r="J33" s="204">
        <v>6218.3550000000041</v>
      </c>
      <c r="K33" s="204"/>
      <c r="L33" s="204">
        <v>1524.0420000000026</v>
      </c>
      <c r="M33" s="204">
        <v>6218.3550000000041</v>
      </c>
      <c r="N33" s="204">
        <v>1764.358737570001</v>
      </c>
      <c r="O33" s="204">
        <v>3288.4007375700039</v>
      </c>
      <c r="P33" s="209">
        <v>2.087897461016182E-4</v>
      </c>
    </row>
    <row r="34" spans="1:16" x14ac:dyDescent="0.25">
      <c r="A34" s="156" t="s">
        <v>494</v>
      </c>
      <c r="B34" s="157">
        <v>67</v>
      </c>
      <c r="C34" s="157">
        <v>17</v>
      </c>
      <c r="D34" s="157">
        <v>551</v>
      </c>
      <c r="E34" s="157">
        <v>71</v>
      </c>
      <c r="F34" s="202">
        <v>2136.4200539999974</v>
      </c>
      <c r="G34" s="202">
        <v>239.49900000000005</v>
      </c>
      <c r="H34" s="202"/>
      <c r="I34" s="202">
        <v>9186.4100000000017</v>
      </c>
      <c r="J34" s="202">
        <v>1203.7024999999996</v>
      </c>
      <c r="K34" s="202">
        <v>204</v>
      </c>
      <c r="L34" s="202">
        <v>2375.9190539999977</v>
      </c>
      <c r="M34" s="202">
        <v>10594.112500000001</v>
      </c>
      <c r="N34" s="202">
        <v>10594.112500000001</v>
      </c>
      <c r="O34" s="202">
        <v>12970.031553999999</v>
      </c>
      <c r="P34" s="208">
        <v>8.2350352381040603E-4</v>
      </c>
    </row>
    <row r="35" spans="1:16" x14ac:dyDescent="0.25">
      <c r="A35" s="155" t="s">
        <v>306</v>
      </c>
      <c r="B35" s="158">
        <v>67</v>
      </c>
      <c r="C35" s="158">
        <v>17</v>
      </c>
      <c r="D35" s="158">
        <v>551</v>
      </c>
      <c r="E35" s="158">
        <v>71</v>
      </c>
      <c r="F35" s="204">
        <v>2136.4200539999974</v>
      </c>
      <c r="G35" s="204">
        <v>239.49900000000005</v>
      </c>
      <c r="H35" s="204"/>
      <c r="I35" s="204">
        <v>9186.4100000000017</v>
      </c>
      <c r="J35" s="204">
        <v>1203.7024999999992</v>
      </c>
      <c r="K35" s="204">
        <v>204</v>
      </c>
      <c r="L35" s="204">
        <v>2375.9190539999977</v>
      </c>
      <c r="M35" s="204">
        <v>10594.112500000001</v>
      </c>
      <c r="N35" s="204">
        <v>10594.112500000001</v>
      </c>
      <c r="O35" s="204">
        <v>12970.031553999999</v>
      </c>
      <c r="P35" s="209">
        <v>8.2350352381040603E-4</v>
      </c>
    </row>
    <row r="36" spans="1:16" x14ac:dyDescent="0.25">
      <c r="A36" s="156" t="s">
        <v>27</v>
      </c>
      <c r="B36" s="157">
        <v>76</v>
      </c>
      <c r="C36" s="157">
        <v>1</v>
      </c>
      <c r="D36" s="157">
        <v>965</v>
      </c>
      <c r="E36" s="157">
        <v>6</v>
      </c>
      <c r="F36" s="202">
        <v>6359.3999999999915</v>
      </c>
      <c r="G36" s="202">
        <v>11.349</v>
      </c>
      <c r="H36" s="202">
        <v>144</v>
      </c>
      <c r="I36" s="202">
        <v>19275.520000000019</v>
      </c>
      <c r="J36" s="202">
        <v>107.185</v>
      </c>
      <c r="K36" s="202">
        <v>803.5</v>
      </c>
      <c r="L36" s="202">
        <v>6514.7489999999916</v>
      </c>
      <c r="M36" s="202">
        <v>20186.20500000002</v>
      </c>
      <c r="N36" s="202">
        <v>20186.20500000002</v>
      </c>
      <c r="O36" s="202">
        <v>26700.954000000012</v>
      </c>
      <c r="P36" s="208">
        <v>1.695318135237558E-3</v>
      </c>
    </row>
    <row r="37" spans="1:16" x14ac:dyDescent="0.25">
      <c r="A37" s="155" t="s">
        <v>305</v>
      </c>
      <c r="B37" s="158">
        <v>76</v>
      </c>
      <c r="C37" s="158">
        <v>1</v>
      </c>
      <c r="D37" s="158">
        <v>965</v>
      </c>
      <c r="E37" s="158">
        <v>6</v>
      </c>
      <c r="F37" s="204">
        <v>6359.3999999999915</v>
      </c>
      <c r="G37" s="204">
        <v>11.349</v>
      </c>
      <c r="H37" s="204">
        <v>144</v>
      </c>
      <c r="I37" s="204">
        <v>19275.520000000004</v>
      </c>
      <c r="J37" s="204">
        <v>107.185</v>
      </c>
      <c r="K37" s="204">
        <v>803.5</v>
      </c>
      <c r="L37" s="204">
        <v>6514.7489999999916</v>
      </c>
      <c r="M37" s="204">
        <v>20186.205000000005</v>
      </c>
      <c r="N37" s="204">
        <v>20186.205000000005</v>
      </c>
      <c r="O37" s="204">
        <v>26700.953999999998</v>
      </c>
      <c r="P37" s="209">
        <v>1.695318135237557E-3</v>
      </c>
    </row>
    <row r="38" spans="1:16" x14ac:dyDescent="0.25">
      <c r="A38" s="156" t="s">
        <v>143</v>
      </c>
      <c r="B38" s="157"/>
      <c r="C38" s="157">
        <v>23</v>
      </c>
      <c r="D38" s="157"/>
      <c r="E38" s="157">
        <v>69</v>
      </c>
      <c r="F38" s="202"/>
      <c r="G38" s="202">
        <v>209.89800000000005</v>
      </c>
      <c r="H38" s="202"/>
      <c r="I38" s="202"/>
      <c r="J38" s="202">
        <v>2083.77</v>
      </c>
      <c r="K38" s="202"/>
      <c r="L38" s="202">
        <v>209.89800000000005</v>
      </c>
      <c r="M38" s="202">
        <v>2083.77</v>
      </c>
      <c r="N38" s="202">
        <v>1703.5194828599995</v>
      </c>
      <c r="O38" s="202">
        <v>1913.4174828599996</v>
      </c>
      <c r="P38" s="208">
        <v>1.2148821944613496E-4</v>
      </c>
    </row>
    <row r="39" spans="1:16" x14ac:dyDescent="0.25">
      <c r="A39" s="155" t="s">
        <v>304</v>
      </c>
      <c r="B39" s="158"/>
      <c r="C39" s="158">
        <v>23</v>
      </c>
      <c r="D39" s="158"/>
      <c r="E39" s="158">
        <v>69</v>
      </c>
      <c r="F39" s="204"/>
      <c r="G39" s="204">
        <v>209.89800000000005</v>
      </c>
      <c r="H39" s="204"/>
      <c r="I39" s="204"/>
      <c r="J39" s="204">
        <v>2083.77</v>
      </c>
      <c r="K39" s="204"/>
      <c r="L39" s="204">
        <v>209.89800000000005</v>
      </c>
      <c r="M39" s="204">
        <v>2083.77</v>
      </c>
      <c r="N39" s="204">
        <v>1703.5194828599995</v>
      </c>
      <c r="O39" s="204">
        <v>1913.4174828599996</v>
      </c>
      <c r="P39" s="209">
        <v>1.2148821944613496E-4</v>
      </c>
    </row>
    <row r="40" spans="1:16" x14ac:dyDescent="0.25">
      <c r="A40" s="156" t="s">
        <v>28</v>
      </c>
      <c r="B40" s="157">
        <v>2040</v>
      </c>
      <c r="C40" s="157">
        <v>557</v>
      </c>
      <c r="D40" s="157">
        <v>22106</v>
      </c>
      <c r="E40" s="157">
        <v>2458</v>
      </c>
      <c r="F40" s="202">
        <v>128858.59695599905</v>
      </c>
      <c r="G40" s="202">
        <v>9767.3972050000411</v>
      </c>
      <c r="H40" s="202">
        <v>15147.36</v>
      </c>
      <c r="I40" s="202">
        <v>430715.35999999201</v>
      </c>
      <c r="J40" s="202">
        <v>55573.829999999733</v>
      </c>
      <c r="K40" s="202">
        <v>51086.1</v>
      </c>
      <c r="L40" s="202">
        <v>153773.35416099906</v>
      </c>
      <c r="M40" s="202">
        <v>537375.28999999177</v>
      </c>
      <c r="N40" s="202">
        <v>537375.28999999177</v>
      </c>
      <c r="O40" s="202">
        <v>691148.64416099084</v>
      </c>
      <c r="P40" s="208">
        <v>4.3882957537433945E-2</v>
      </c>
    </row>
    <row r="41" spans="1:16" x14ac:dyDescent="0.25">
      <c r="A41" s="155" t="s">
        <v>303</v>
      </c>
      <c r="B41" s="158">
        <v>2040</v>
      </c>
      <c r="C41" s="158">
        <v>557</v>
      </c>
      <c r="D41" s="158">
        <v>22106</v>
      </c>
      <c r="E41" s="158">
        <v>2458</v>
      </c>
      <c r="F41" s="204">
        <v>128858.59695599905</v>
      </c>
      <c r="G41" s="204">
        <v>9767.3972050000411</v>
      </c>
      <c r="H41" s="204">
        <v>15147.36</v>
      </c>
      <c r="I41" s="204">
        <v>430715.35999997973</v>
      </c>
      <c r="J41" s="204">
        <v>55573.829999999536</v>
      </c>
      <c r="K41" s="204">
        <v>51086.1</v>
      </c>
      <c r="L41" s="204">
        <v>153773.35416099906</v>
      </c>
      <c r="M41" s="204">
        <v>537375.28999997932</v>
      </c>
      <c r="N41" s="204">
        <v>537375.28999997932</v>
      </c>
      <c r="O41" s="204">
        <v>691148.64416097838</v>
      </c>
      <c r="P41" s="209">
        <v>4.3882957537433154E-2</v>
      </c>
    </row>
    <row r="42" spans="1:16" x14ac:dyDescent="0.25">
      <c r="A42" s="156" t="s">
        <v>29</v>
      </c>
      <c r="B42" s="157">
        <v>22</v>
      </c>
      <c r="C42" s="157"/>
      <c r="D42" s="157">
        <v>284</v>
      </c>
      <c r="E42" s="157"/>
      <c r="F42" s="202">
        <v>2076.1198919999993</v>
      </c>
      <c r="G42" s="202"/>
      <c r="H42" s="202"/>
      <c r="I42" s="202">
        <v>6605.2199999999957</v>
      </c>
      <c r="J42" s="202"/>
      <c r="K42" s="202">
        <v>73</v>
      </c>
      <c r="L42" s="202">
        <v>2076.1198919999993</v>
      </c>
      <c r="M42" s="202">
        <v>6678.2199999999957</v>
      </c>
      <c r="N42" s="202">
        <v>6678.2199999999957</v>
      </c>
      <c r="O42" s="202">
        <v>8754.3398919999945</v>
      </c>
      <c r="P42" s="208">
        <v>5.5583748734000992E-4</v>
      </c>
    </row>
    <row r="43" spans="1:16" x14ac:dyDescent="0.25">
      <c r="A43" s="155" t="s">
        <v>300</v>
      </c>
      <c r="B43" s="158">
        <v>22</v>
      </c>
      <c r="C43" s="158"/>
      <c r="D43" s="158">
        <v>284</v>
      </c>
      <c r="E43" s="158"/>
      <c r="F43" s="204">
        <v>2076.1198919999993</v>
      </c>
      <c r="G43" s="204"/>
      <c r="H43" s="204"/>
      <c r="I43" s="204">
        <v>6605.2199999999966</v>
      </c>
      <c r="J43" s="204"/>
      <c r="K43" s="204">
        <v>73</v>
      </c>
      <c r="L43" s="204">
        <v>2076.1198919999993</v>
      </c>
      <c r="M43" s="204">
        <v>6678.2199999999966</v>
      </c>
      <c r="N43" s="204">
        <v>6678.2199999999966</v>
      </c>
      <c r="O43" s="204">
        <v>8754.3398919999963</v>
      </c>
      <c r="P43" s="209">
        <v>5.5583748734001003E-4</v>
      </c>
    </row>
    <row r="44" spans="1:16" x14ac:dyDescent="0.25">
      <c r="A44" s="156" t="s">
        <v>30</v>
      </c>
      <c r="B44" s="157">
        <v>627</v>
      </c>
      <c r="C44" s="157">
        <v>168</v>
      </c>
      <c r="D44" s="157">
        <v>5672</v>
      </c>
      <c r="E44" s="157">
        <v>514</v>
      </c>
      <c r="F44" s="202">
        <v>34131.960756000277</v>
      </c>
      <c r="G44" s="202">
        <v>2190.2423690000069</v>
      </c>
      <c r="H44" s="202">
        <v>1044</v>
      </c>
      <c r="I44" s="202">
        <v>92670.300000000745</v>
      </c>
      <c r="J44" s="202">
        <v>14190.930000000009</v>
      </c>
      <c r="K44" s="202">
        <v>3517.5</v>
      </c>
      <c r="L44" s="202">
        <v>37366.203125000284</v>
      </c>
      <c r="M44" s="202">
        <v>110378.73000000075</v>
      </c>
      <c r="N44" s="202">
        <v>110378.73000000075</v>
      </c>
      <c r="O44" s="202">
        <v>147744.93312500103</v>
      </c>
      <c r="P44" s="208">
        <v>9.3807384004434575E-3</v>
      </c>
    </row>
    <row r="45" spans="1:16" x14ac:dyDescent="0.25">
      <c r="A45" s="155" t="s">
        <v>302</v>
      </c>
      <c r="B45" s="158">
        <v>627</v>
      </c>
      <c r="C45" s="158">
        <v>168</v>
      </c>
      <c r="D45" s="158">
        <v>5672</v>
      </c>
      <c r="E45" s="158">
        <v>514</v>
      </c>
      <c r="F45" s="204">
        <v>34131.960756000277</v>
      </c>
      <c r="G45" s="204">
        <v>2190.2423690000069</v>
      </c>
      <c r="H45" s="204">
        <v>1044</v>
      </c>
      <c r="I45" s="204">
        <v>92670.300000001123</v>
      </c>
      <c r="J45" s="204">
        <v>14190.929999999973</v>
      </c>
      <c r="K45" s="204">
        <v>3517.5</v>
      </c>
      <c r="L45" s="204">
        <v>37366.203125000284</v>
      </c>
      <c r="M45" s="204">
        <v>110378.7300000011</v>
      </c>
      <c r="N45" s="204">
        <v>110378.7300000011</v>
      </c>
      <c r="O45" s="204">
        <v>147744.93312500138</v>
      </c>
      <c r="P45" s="209">
        <v>9.38073840044348E-3</v>
      </c>
    </row>
    <row r="46" spans="1:16" x14ac:dyDescent="0.25">
      <c r="A46" s="156" t="s">
        <v>31</v>
      </c>
      <c r="B46" s="157">
        <v>58</v>
      </c>
      <c r="C46" s="157">
        <v>31</v>
      </c>
      <c r="D46" s="157">
        <v>606</v>
      </c>
      <c r="E46" s="157">
        <v>145</v>
      </c>
      <c r="F46" s="202">
        <v>5308.5602699999981</v>
      </c>
      <c r="G46" s="202">
        <v>590.14771299999961</v>
      </c>
      <c r="H46" s="202">
        <v>288</v>
      </c>
      <c r="I46" s="202">
        <v>14733.510000000015</v>
      </c>
      <c r="J46" s="202">
        <v>3468.5299999999979</v>
      </c>
      <c r="K46" s="202">
        <v>777</v>
      </c>
      <c r="L46" s="202">
        <v>6186.7079829999975</v>
      </c>
      <c r="M46" s="202">
        <v>18979.040000000012</v>
      </c>
      <c r="N46" s="202">
        <v>18979.040000000012</v>
      </c>
      <c r="O46" s="202">
        <v>25165.747983000008</v>
      </c>
      <c r="P46" s="208">
        <v>1.5978436179620358E-3</v>
      </c>
    </row>
    <row r="47" spans="1:16" x14ac:dyDescent="0.25">
      <c r="A47" s="155" t="s">
        <v>301</v>
      </c>
      <c r="B47" s="158">
        <v>58</v>
      </c>
      <c r="C47" s="158">
        <v>31</v>
      </c>
      <c r="D47" s="158">
        <v>606</v>
      </c>
      <c r="E47" s="158">
        <v>145</v>
      </c>
      <c r="F47" s="204">
        <v>5308.5602699999981</v>
      </c>
      <c r="G47" s="204">
        <v>590.14771299999961</v>
      </c>
      <c r="H47" s="204">
        <v>288</v>
      </c>
      <c r="I47" s="204">
        <v>14733.510000000006</v>
      </c>
      <c r="J47" s="204">
        <v>3468.5299999999984</v>
      </c>
      <c r="K47" s="204">
        <v>777</v>
      </c>
      <c r="L47" s="204">
        <v>6186.7079829999975</v>
      </c>
      <c r="M47" s="204">
        <v>18979.040000000005</v>
      </c>
      <c r="N47" s="204">
        <v>18979.040000000005</v>
      </c>
      <c r="O47" s="204">
        <v>25165.747983000001</v>
      </c>
      <c r="P47" s="209">
        <v>1.5978436179620353E-3</v>
      </c>
    </row>
    <row r="48" spans="1:16" x14ac:dyDescent="0.25">
      <c r="A48" s="156" t="s">
        <v>32</v>
      </c>
      <c r="B48" s="157">
        <v>863</v>
      </c>
      <c r="C48" s="157">
        <v>366</v>
      </c>
      <c r="D48" s="157">
        <v>9032</v>
      </c>
      <c r="E48" s="157">
        <v>1834</v>
      </c>
      <c r="F48" s="202">
        <v>50775.651522000255</v>
      </c>
      <c r="G48" s="202">
        <v>5039.88919300002</v>
      </c>
      <c r="H48" s="202">
        <v>4068</v>
      </c>
      <c r="I48" s="202">
        <v>180571.09999999826</v>
      </c>
      <c r="J48" s="202">
        <v>38496.315000000024</v>
      </c>
      <c r="K48" s="202">
        <v>11827</v>
      </c>
      <c r="L48" s="202">
        <v>59883.540715000272</v>
      </c>
      <c r="M48" s="202">
        <v>230894.41499999829</v>
      </c>
      <c r="N48" s="202">
        <v>230894.41499999829</v>
      </c>
      <c r="O48" s="202">
        <v>290777.95571499853</v>
      </c>
      <c r="P48" s="208">
        <v>1.8462304442415815E-2</v>
      </c>
    </row>
    <row r="49" spans="1:16" x14ac:dyDescent="0.25">
      <c r="A49" s="155" t="s">
        <v>298</v>
      </c>
      <c r="B49" s="158">
        <v>863</v>
      </c>
      <c r="C49" s="158">
        <v>366</v>
      </c>
      <c r="D49" s="158">
        <v>9032</v>
      </c>
      <c r="E49" s="158">
        <v>1834</v>
      </c>
      <c r="F49" s="204">
        <v>50775.651522000255</v>
      </c>
      <c r="G49" s="204">
        <v>5039.88919300002</v>
      </c>
      <c r="H49" s="204">
        <v>4068</v>
      </c>
      <c r="I49" s="204">
        <v>180571.09999999878</v>
      </c>
      <c r="J49" s="204">
        <v>38496.314999999864</v>
      </c>
      <c r="K49" s="204">
        <v>11827</v>
      </c>
      <c r="L49" s="204">
        <v>59883.540715000272</v>
      </c>
      <c r="M49" s="204">
        <v>230894.41499999864</v>
      </c>
      <c r="N49" s="204">
        <v>230894.41499999864</v>
      </c>
      <c r="O49" s="204">
        <v>290777.95571499888</v>
      </c>
      <c r="P49" s="209">
        <v>1.8462304442415835E-2</v>
      </c>
    </row>
    <row r="50" spans="1:16" x14ac:dyDescent="0.25">
      <c r="A50" s="156" t="s">
        <v>33</v>
      </c>
      <c r="B50" s="157">
        <v>85</v>
      </c>
      <c r="C50" s="157">
        <v>96</v>
      </c>
      <c r="D50" s="157">
        <v>796</v>
      </c>
      <c r="E50" s="157">
        <v>468</v>
      </c>
      <c r="F50" s="202">
        <v>5241.5995680000015</v>
      </c>
      <c r="G50" s="202">
        <v>1527.786802000003</v>
      </c>
      <c r="H50" s="202">
        <v>180</v>
      </c>
      <c r="I50" s="202">
        <v>19330.399999999969</v>
      </c>
      <c r="J50" s="202">
        <v>11671.009999999993</v>
      </c>
      <c r="K50" s="202">
        <v>851.5</v>
      </c>
      <c r="L50" s="202">
        <v>6949.3863700000047</v>
      </c>
      <c r="M50" s="202">
        <v>31852.90999999996</v>
      </c>
      <c r="N50" s="202">
        <v>31852.90999999996</v>
      </c>
      <c r="O50" s="202">
        <v>38802.296369999967</v>
      </c>
      <c r="P50" s="208">
        <v>2.4636661568318264E-3</v>
      </c>
    </row>
    <row r="51" spans="1:16" x14ac:dyDescent="0.25">
      <c r="A51" s="155" t="s">
        <v>297</v>
      </c>
      <c r="B51" s="158">
        <v>85</v>
      </c>
      <c r="C51" s="158">
        <v>96</v>
      </c>
      <c r="D51" s="158">
        <v>796</v>
      </c>
      <c r="E51" s="158">
        <v>468</v>
      </c>
      <c r="F51" s="204">
        <v>5241.5995680000015</v>
      </c>
      <c r="G51" s="204">
        <v>1527.786802000003</v>
      </c>
      <c r="H51" s="204">
        <v>180</v>
      </c>
      <c r="I51" s="204">
        <v>19330.399999999972</v>
      </c>
      <c r="J51" s="204">
        <v>11671.009999999949</v>
      </c>
      <c r="K51" s="204">
        <v>851.5</v>
      </c>
      <c r="L51" s="204">
        <v>6949.3863700000047</v>
      </c>
      <c r="M51" s="204">
        <v>31852.909999999923</v>
      </c>
      <c r="N51" s="204">
        <v>31852.909999999923</v>
      </c>
      <c r="O51" s="204">
        <v>38802.296369999931</v>
      </c>
      <c r="P51" s="209">
        <v>2.4636661568318238E-3</v>
      </c>
    </row>
    <row r="52" spans="1:16" x14ac:dyDescent="0.25">
      <c r="A52" s="156" t="s">
        <v>34</v>
      </c>
      <c r="B52" s="157">
        <v>8</v>
      </c>
      <c r="C52" s="157">
        <v>8</v>
      </c>
      <c r="D52" s="157">
        <v>90</v>
      </c>
      <c r="E52" s="157">
        <v>27</v>
      </c>
      <c r="F52" s="202">
        <v>558.72000000000014</v>
      </c>
      <c r="G52" s="202">
        <v>182.52</v>
      </c>
      <c r="H52" s="202">
        <v>108</v>
      </c>
      <c r="I52" s="202">
        <v>1613.2</v>
      </c>
      <c r="J52" s="202">
        <v>471.51000000000005</v>
      </c>
      <c r="K52" s="202">
        <v>215</v>
      </c>
      <c r="L52" s="202">
        <v>849.24000000000012</v>
      </c>
      <c r="M52" s="202">
        <v>2299.71</v>
      </c>
      <c r="N52" s="202">
        <v>2299.71</v>
      </c>
      <c r="O52" s="202">
        <v>3148.9500000000003</v>
      </c>
      <c r="P52" s="208">
        <v>1.9993562933954742E-4</v>
      </c>
    </row>
    <row r="53" spans="1:16" x14ac:dyDescent="0.25">
      <c r="A53" s="155" t="s">
        <v>295</v>
      </c>
      <c r="B53" s="158">
        <v>8</v>
      </c>
      <c r="C53" s="158">
        <v>8</v>
      </c>
      <c r="D53" s="158">
        <v>90</v>
      </c>
      <c r="E53" s="158">
        <v>27</v>
      </c>
      <c r="F53" s="204">
        <v>558.72000000000014</v>
      </c>
      <c r="G53" s="204">
        <v>182.52</v>
      </c>
      <c r="H53" s="204">
        <v>108</v>
      </c>
      <c r="I53" s="204">
        <v>1613.1999999999998</v>
      </c>
      <c r="J53" s="204">
        <v>471.5100000000001</v>
      </c>
      <c r="K53" s="204">
        <v>215</v>
      </c>
      <c r="L53" s="204">
        <v>849.24000000000012</v>
      </c>
      <c r="M53" s="204">
        <v>2299.71</v>
      </c>
      <c r="N53" s="204">
        <v>2299.71</v>
      </c>
      <c r="O53" s="204">
        <v>3148.9500000000003</v>
      </c>
      <c r="P53" s="209">
        <v>1.9993562933954742E-4</v>
      </c>
    </row>
    <row r="54" spans="1:16" x14ac:dyDescent="0.25">
      <c r="A54" s="156" t="s">
        <v>35</v>
      </c>
      <c r="B54" s="157">
        <v>377</v>
      </c>
      <c r="C54" s="157">
        <v>464</v>
      </c>
      <c r="D54" s="157">
        <v>3563</v>
      </c>
      <c r="E54" s="157">
        <v>1911</v>
      </c>
      <c r="F54" s="202">
        <v>18529.557785999863</v>
      </c>
      <c r="G54" s="202">
        <v>7988.7626820000387</v>
      </c>
      <c r="H54" s="202">
        <v>864</v>
      </c>
      <c r="I54" s="202">
        <v>71508.760000000111</v>
      </c>
      <c r="J54" s="202">
        <v>40258.400000000256</v>
      </c>
      <c r="K54" s="202">
        <v>3843.5</v>
      </c>
      <c r="L54" s="202">
        <v>27382.320467999903</v>
      </c>
      <c r="M54" s="202">
        <v>115610.66000000037</v>
      </c>
      <c r="N54" s="202">
        <v>115610.66000000037</v>
      </c>
      <c r="O54" s="202">
        <v>142992.98046800029</v>
      </c>
      <c r="P54" s="208">
        <v>9.0790236558240828E-3</v>
      </c>
    </row>
    <row r="55" spans="1:16" x14ac:dyDescent="0.25">
      <c r="A55" s="155" t="s">
        <v>294</v>
      </c>
      <c r="B55" s="158">
        <v>377</v>
      </c>
      <c r="C55" s="158">
        <v>464</v>
      </c>
      <c r="D55" s="158">
        <v>3563</v>
      </c>
      <c r="E55" s="158">
        <v>1911</v>
      </c>
      <c r="F55" s="204">
        <v>18529.557785999863</v>
      </c>
      <c r="G55" s="204">
        <v>7988.7626820000387</v>
      </c>
      <c r="H55" s="204">
        <v>864</v>
      </c>
      <c r="I55" s="204">
        <v>71508.760000000213</v>
      </c>
      <c r="J55" s="204">
        <v>40258.400000000132</v>
      </c>
      <c r="K55" s="204">
        <v>3843.5</v>
      </c>
      <c r="L55" s="204">
        <v>27382.320467999903</v>
      </c>
      <c r="M55" s="204">
        <v>115610.66000000035</v>
      </c>
      <c r="N55" s="204">
        <v>115610.66000000035</v>
      </c>
      <c r="O55" s="204">
        <v>142992.98046800026</v>
      </c>
      <c r="P55" s="209">
        <v>9.0790236558240811E-3</v>
      </c>
    </row>
    <row r="56" spans="1:16" x14ac:dyDescent="0.25">
      <c r="A56" s="156" t="s">
        <v>36</v>
      </c>
      <c r="B56" s="157"/>
      <c r="C56" s="157">
        <v>57</v>
      </c>
      <c r="D56" s="157"/>
      <c r="E56" s="157">
        <v>227</v>
      </c>
      <c r="F56" s="202"/>
      <c r="G56" s="202">
        <v>1095.1192040000005</v>
      </c>
      <c r="H56" s="202"/>
      <c r="I56" s="202"/>
      <c r="J56" s="202">
        <v>4499.6250000000045</v>
      </c>
      <c r="K56" s="202"/>
      <c r="L56" s="202">
        <v>1095.1192040000005</v>
      </c>
      <c r="M56" s="202">
        <v>4499.6250000000045</v>
      </c>
      <c r="N56" s="202">
        <v>4499.6250000000045</v>
      </c>
      <c r="O56" s="202">
        <v>5594.7442040000051</v>
      </c>
      <c r="P56" s="208">
        <v>3.5522593353991847E-4</v>
      </c>
    </row>
    <row r="57" spans="1:16" x14ac:dyDescent="0.25">
      <c r="A57" s="155" t="s">
        <v>293</v>
      </c>
      <c r="B57" s="158"/>
      <c r="C57" s="158">
        <v>57</v>
      </c>
      <c r="D57" s="158"/>
      <c r="E57" s="158">
        <v>227</v>
      </c>
      <c r="F57" s="204"/>
      <c r="G57" s="204">
        <v>1095.1192040000005</v>
      </c>
      <c r="H57" s="204"/>
      <c r="I57" s="204"/>
      <c r="J57" s="204">
        <v>4499.6250000000064</v>
      </c>
      <c r="K57" s="204"/>
      <c r="L57" s="204">
        <v>1095.1192040000005</v>
      </c>
      <c r="M57" s="204">
        <v>4499.6250000000064</v>
      </c>
      <c r="N57" s="204">
        <v>4499.6250000000064</v>
      </c>
      <c r="O57" s="204">
        <v>5594.7442040000069</v>
      </c>
      <c r="P57" s="209">
        <v>3.5522593353991857E-4</v>
      </c>
    </row>
    <row r="58" spans="1:16" x14ac:dyDescent="0.25">
      <c r="A58" s="156" t="s">
        <v>37</v>
      </c>
      <c r="B58" s="157">
        <v>19</v>
      </c>
      <c r="C58" s="157"/>
      <c r="D58" s="157">
        <v>224</v>
      </c>
      <c r="E58" s="157"/>
      <c r="F58" s="202">
        <v>1839.6002159999998</v>
      </c>
      <c r="G58" s="202"/>
      <c r="H58" s="202"/>
      <c r="I58" s="202">
        <v>4481.1799999999994</v>
      </c>
      <c r="J58" s="202"/>
      <c r="K58" s="202"/>
      <c r="L58" s="202">
        <v>1839.6002159999998</v>
      </c>
      <c r="M58" s="202">
        <v>4481.1799999999994</v>
      </c>
      <c r="N58" s="202">
        <v>4481.1799999999994</v>
      </c>
      <c r="O58" s="202">
        <v>6320.7802159999992</v>
      </c>
      <c r="P58" s="208">
        <v>4.0132398748882019E-4</v>
      </c>
    </row>
    <row r="59" spans="1:16" x14ac:dyDescent="0.25">
      <c r="A59" s="155" t="s">
        <v>290</v>
      </c>
      <c r="B59" s="158">
        <v>19</v>
      </c>
      <c r="C59" s="158"/>
      <c r="D59" s="158">
        <v>224</v>
      </c>
      <c r="E59" s="158"/>
      <c r="F59" s="204">
        <v>1839.6002159999998</v>
      </c>
      <c r="G59" s="204"/>
      <c r="H59" s="204"/>
      <c r="I59" s="204">
        <v>4481.1799999999976</v>
      </c>
      <c r="J59" s="204"/>
      <c r="K59" s="204"/>
      <c r="L59" s="204">
        <v>1839.6002159999998</v>
      </c>
      <c r="M59" s="204">
        <v>4481.1799999999976</v>
      </c>
      <c r="N59" s="204">
        <v>4481.1799999999976</v>
      </c>
      <c r="O59" s="204">
        <v>6320.7802159999974</v>
      </c>
      <c r="P59" s="209">
        <v>4.0132398748882002E-4</v>
      </c>
    </row>
    <row r="60" spans="1:16" x14ac:dyDescent="0.25">
      <c r="A60" s="156" t="s">
        <v>38</v>
      </c>
      <c r="B60" s="157">
        <v>788</v>
      </c>
      <c r="C60" s="157">
        <v>116</v>
      </c>
      <c r="D60" s="157">
        <v>8266</v>
      </c>
      <c r="E60" s="157">
        <v>391</v>
      </c>
      <c r="F60" s="202">
        <v>46967.577515999983</v>
      </c>
      <c r="G60" s="202">
        <v>1695.096148000003</v>
      </c>
      <c r="H60" s="202">
        <v>1872</v>
      </c>
      <c r="I60" s="202">
        <v>156079.07999999932</v>
      </c>
      <c r="J60" s="202">
        <v>10052.575000000006</v>
      </c>
      <c r="K60" s="202">
        <v>6314.81</v>
      </c>
      <c r="L60" s="202">
        <v>50534.673663999987</v>
      </c>
      <c r="M60" s="202">
        <v>172446.46499999933</v>
      </c>
      <c r="N60" s="202">
        <v>172446.46499999933</v>
      </c>
      <c r="O60" s="202">
        <v>222981.13866399933</v>
      </c>
      <c r="P60" s="208">
        <v>1.4157695196695913E-2</v>
      </c>
    </row>
    <row r="61" spans="1:16" x14ac:dyDescent="0.25">
      <c r="A61" s="155" t="s">
        <v>289</v>
      </c>
      <c r="B61" s="158">
        <v>788</v>
      </c>
      <c r="C61" s="158">
        <v>116</v>
      </c>
      <c r="D61" s="158">
        <v>8266</v>
      </c>
      <c r="E61" s="158">
        <v>391</v>
      </c>
      <c r="F61" s="204">
        <v>46967.577515999983</v>
      </c>
      <c r="G61" s="204">
        <v>1695.096148000003</v>
      </c>
      <c r="H61" s="204">
        <v>1872</v>
      </c>
      <c r="I61" s="204">
        <v>156079.07999999955</v>
      </c>
      <c r="J61" s="204">
        <v>10052.57500000001</v>
      </c>
      <c r="K61" s="204">
        <v>6314.81</v>
      </c>
      <c r="L61" s="204">
        <v>50534.673663999987</v>
      </c>
      <c r="M61" s="204">
        <v>172446.46499999956</v>
      </c>
      <c r="N61" s="204">
        <v>172446.46499999956</v>
      </c>
      <c r="O61" s="204">
        <v>222981.13866399956</v>
      </c>
      <c r="P61" s="209">
        <v>1.4157695196695927E-2</v>
      </c>
    </row>
    <row r="62" spans="1:16" x14ac:dyDescent="0.25">
      <c r="A62" s="156" t="s">
        <v>39</v>
      </c>
      <c r="B62" s="157"/>
      <c r="C62" s="157">
        <v>189</v>
      </c>
      <c r="D62" s="157"/>
      <c r="E62" s="157">
        <v>668</v>
      </c>
      <c r="F62" s="202"/>
      <c r="G62" s="202">
        <v>2436.6441759999966</v>
      </c>
      <c r="H62" s="202"/>
      <c r="I62" s="202"/>
      <c r="J62" s="202">
        <v>16842.539999999968</v>
      </c>
      <c r="K62" s="202"/>
      <c r="L62" s="202">
        <v>2436.6441759999966</v>
      </c>
      <c r="M62" s="202">
        <v>16842.539999999968</v>
      </c>
      <c r="N62" s="202">
        <v>8395.905134759987</v>
      </c>
      <c r="O62" s="202">
        <v>10832.549310759983</v>
      </c>
      <c r="P62" s="208">
        <v>6.8778880699867507E-4</v>
      </c>
    </row>
    <row r="63" spans="1:16" x14ac:dyDescent="0.25">
      <c r="A63" s="155" t="s">
        <v>288</v>
      </c>
      <c r="B63" s="158"/>
      <c r="C63" s="158">
        <v>189</v>
      </c>
      <c r="D63" s="158"/>
      <c r="E63" s="158">
        <v>668</v>
      </c>
      <c r="F63" s="204"/>
      <c r="G63" s="204">
        <v>2436.6441759999966</v>
      </c>
      <c r="H63" s="204"/>
      <c r="I63" s="204"/>
      <c r="J63" s="204">
        <v>16842.539999999968</v>
      </c>
      <c r="K63" s="204"/>
      <c r="L63" s="204">
        <v>2436.6441759999966</v>
      </c>
      <c r="M63" s="204">
        <v>16842.539999999968</v>
      </c>
      <c r="N63" s="204">
        <v>8395.905134759987</v>
      </c>
      <c r="O63" s="204">
        <v>10832.549310759983</v>
      </c>
      <c r="P63" s="209">
        <v>6.8778880699867507E-4</v>
      </c>
    </row>
    <row r="64" spans="1:16" x14ac:dyDescent="0.25">
      <c r="A64" s="156" t="s">
        <v>440</v>
      </c>
      <c r="B64" s="157">
        <v>1742</v>
      </c>
      <c r="C64" s="157">
        <v>807</v>
      </c>
      <c r="D64" s="157">
        <v>17334</v>
      </c>
      <c r="E64" s="157">
        <v>3368</v>
      </c>
      <c r="F64" s="202">
        <v>104552.61650999989</v>
      </c>
      <c r="G64" s="202">
        <v>11443.30068299989</v>
      </c>
      <c r="H64" s="202">
        <v>4608</v>
      </c>
      <c r="I64" s="202">
        <v>350381.19999999687</v>
      </c>
      <c r="J64" s="202">
        <v>73524.815000000177</v>
      </c>
      <c r="K64" s="202">
        <v>21215</v>
      </c>
      <c r="L64" s="202">
        <v>120603.91719299978</v>
      </c>
      <c r="M64" s="202">
        <v>445121.01499999705</v>
      </c>
      <c r="N64" s="202">
        <v>445121.01499999705</v>
      </c>
      <c r="O64" s="202">
        <v>565724.93219299684</v>
      </c>
      <c r="P64" s="208">
        <v>3.5919455803070738E-2</v>
      </c>
    </row>
    <row r="65" spans="1:16" x14ac:dyDescent="0.25">
      <c r="A65" s="155" t="s">
        <v>287</v>
      </c>
      <c r="B65" s="158">
        <v>1742</v>
      </c>
      <c r="C65" s="158">
        <v>807</v>
      </c>
      <c r="D65" s="158">
        <v>17334</v>
      </c>
      <c r="E65" s="158">
        <v>3368</v>
      </c>
      <c r="F65" s="204">
        <v>104552.61650999989</v>
      </c>
      <c r="G65" s="204">
        <v>11443.30068299989</v>
      </c>
      <c r="H65" s="204">
        <v>4608</v>
      </c>
      <c r="I65" s="204">
        <v>350381.1999999914</v>
      </c>
      <c r="J65" s="204">
        <v>73524.814999999639</v>
      </c>
      <c r="K65" s="204">
        <v>21215</v>
      </c>
      <c r="L65" s="204">
        <v>120603.91719299978</v>
      </c>
      <c r="M65" s="204">
        <v>445121.01499999105</v>
      </c>
      <c r="N65" s="204">
        <v>445121.01499999105</v>
      </c>
      <c r="O65" s="204">
        <v>565724.93219299079</v>
      </c>
      <c r="P65" s="209">
        <v>3.5919455803070356E-2</v>
      </c>
    </row>
    <row r="66" spans="1:16" x14ac:dyDescent="0.25">
      <c r="A66" s="156" t="s">
        <v>40</v>
      </c>
      <c r="B66" s="157">
        <v>62</v>
      </c>
      <c r="C66" s="157">
        <v>61</v>
      </c>
      <c r="D66" s="157">
        <v>490</v>
      </c>
      <c r="E66" s="157">
        <v>304</v>
      </c>
      <c r="F66" s="202">
        <v>2758.6795140000027</v>
      </c>
      <c r="G66" s="202">
        <v>967.355421000001</v>
      </c>
      <c r="H66" s="202">
        <v>288</v>
      </c>
      <c r="I66" s="202">
        <v>8647.6600000000017</v>
      </c>
      <c r="J66" s="202">
        <v>4654.6500000000005</v>
      </c>
      <c r="K66" s="202">
        <v>717</v>
      </c>
      <c r="L66" s="202">
        <v>4014.0349350000038</v>
      </c>
      <c r="M66" s="202">
        <v>14019.310000000001</v>
      </c>
      <c r="N66" s="202">
        <v>14019.310000000001</v>
      </c>
      <c r="O66" s="202">
        <v>18033.344935000005</v>
      </c>
      <c r="P66" s="208">
        <v>1.1449874303105371E-3</v>
      </c>
    </row>
    <row r="67" spans="1:16" x14ac:dyDescent="0.25">
      <c r="A67" s="155" t="s">
        <v>292</v>
      </c>
      <c r="B67" s="158">
        <v>62</v>
      </c>
      <c r="C67" s="158">
        <v>61</v>
      </c>
      <c r="D67" s="158">
        <v>490</v>
      </c>
      <c r="E67" s="158">
        <v>304</v>
      </c>
      <c r="F67" s="204">
        <v>2758.6795140000027</v>
      </c>
      <c r="G67" s="204">
        <v>967.355421000001</v>
      </c>
      <c r="H67" s="204">
        <v>288</v>
      </c>
      <c r="I67" s="204">
        <v>8647.6600000000089</v>
      </c>
      <c r="J67" s="204">
        <v>4654.6500000000078</v>
      </c>
      <c r="K67" s="204">
        <v>717</v>
      </c>
      <c r="L67" s="204">
        <v>4014.0349350000038</v>
      </c>
      <c r="M67" s="204">
        <v>14019.310000000016</v>
      </c>
      <c r="N67" s="204">
        <v>14019.310000000016</v>
      </c>
      <c r="O67" s="204">
        <v>18033.344935000019</v>
      </c>
      <c r="P67" s="209">
        <v>1.1449874303105379E-3</v>
      </c>
    </row>
    <row r="68" spans="1:16" x14ac:dyDescent="0.25">
      <c r="A68" s="156" t="s">
        <v>41</v>
      </c>
      <c r="B68" s="157">
        <v>51</v>
      </c>
      <c r="C68" s="157"/>
      <c r="D68" s="157">
        <v>479</v>
      </c>
      <c r="E68" s="157"/>
      <c r="F68" s="202">
        <v>3457.0805940000032</v>
      </c>
      <c r="G68" s="202"/>
      <c r="H68" s="202">
        <v>576</v>
      </c>
      <c r="I68" s="202">
        <v>8082.1</v>
      </c>
      <c r="J68" s="202"/>
      <c r="K68" s="202">
        <v>1314.5</v>
      </c>
      <c r="L68" s="202">
        <v>4033.0805940000032</v>
      </c>
      <c r="M68" s="202">
        <v>9396.6</v>
      </c>
      <c r="N68" s="202">
        <v>9396.6</v>
      </c>
      <c r="O68" s="202">
        <v>13429.680594000003</v>
      </c>
      <c r="P68" s="208">
        <v>8.5268792498785235E-4</v>
      </c>
    </row>
    <row r="69" spans="1:16" x14ac:dyDescent="0.25">
      <c r="A69" s="155" t="s">
        <v>291</v>
      </c>
      <c r="B69" s="158">
        <v>51</v>
      </c>
      <c r="C69" s="158"/>
      <c r="D69" s="158">
        <v>479</v>
      </c>
      <c r="E69" s="158"/>
      <c r="F69" s="204">
        <v>3457.0805940000032</v>
      </c>
      <c r="G69" s="204"/>
      <c r="H69" s="204">
        <v>576</v>
      </c>
      <c r="I69" s="204">
        <v>8082.1000000000085</v>
      </c>
      <c r="J69" s="204"/>
      <c r="K69" s="204">
        <v>1314.5</v>
      </c>
      <c r="L69" s="204">
        <v>4033.0805940000032</v>
      </c>
      <c r="M69" s="204">
        <v>9396.6000000000095</v>
      </c>
      <c r="N69" s="204">
        <v>9396.6000000000095</v>
      </c>
      <c r="O69" s="204">
        <v>13429.680594000012</v>
      </c>
      <c r="P69" s="209">
        <v>8.5268792498785289E-4</v>
      </c>
    </row>
    <row r="70" spans="1:16" x14ac:dyDescent="0.25">
      <c r="A70" s="156" t="s">
        <v>42</v>
      </c>
      <c r="B70" s="157">
        <v>165</v>
      </c>
      <c r="C70" s="157">
        <v>7</v>
      </c>
      <c r="D70" s="157">
        <v>1677</v>
      </c>
      <c r="E70" s="157">
        <v>18</v>
      </c>
      <c r="F70" s="202">
        <v>11264.039298000022</v>
      </c>
      <c r="G70" s="202">
        <v>79.443000000000012</v>
      </c>
      <c r="H70" s="202">
        <v>396</v>
      </c>
      <c r="I70" s="202">
        <v>32683.219999999968</v>
      </c>
      <c r="J70" s="202">
        <v>463.41749999999996</v>
      </c>
      <c r="K70" s="202">
        <v>1159</v>
      </c>
      <c r="L70" s="202">
        <v>11739.482298000021</v>
      </c>
      <c r="M70" s="202">
        <v>34305.637499999968</v>
      </c>
      <c r="N70" s="202">
        <v>34305.637499999968</v>
      </c>
      <c r="O70" s="202">
        <v>46045.119797999985</v>
      </c>
      <c r="P70" s="208">
        <v>2.9235332427723468E-3</v>
      </c>
    </row>
    <row r="71" spans="1:16" x14ac:dyDescent="0.25">
      <c r="A71" s="155" t="s">
        <v>286</v>
      </c>
      <c r="B71" s="158">
        <v>165</v>
      </c>
      <c r="C71" s="158">
        <v>7</v>
      </c>
      <c r="D71" s="158">
        <v>1677</v>
      </c>
      <c r="E71" s="158">
        <v>18</v>
      </c>
      <c r="F71" s="204">
        <v>11264.039298000022</v>
      </c>
      <c r="G71" s="204">
        <v>79.443000000000012</v>
      </c>
      <c r="H71" s="204">
        <v>396</v>
      </c>
      <c r="I71" s="204">
        <v>32683.219999999943</v>
      </c>
      <c r="J71" s="204">
        <v>463.41749999999996</v>
      </c>
      <c r="K71" s="204">
        <v>1159</v>
      </c>
      <c r="L71" s="204">
        <v>11739.482298000021</v>
      </c>
      <c r="M71" s="204">
        <v>34305.637499999946</v>
      </c>
      <c r="N71" s="204">
        <v>34305.637499999946</v>
      </c>
      <c r="O71" s="204">
        <v>46045.119797999971</v>
      </c>
      <c r="P71" s="209">
        <v>2.9235332427723459E-3</v>
      </c>
    </row>
    <row r="72" spans="1:16" x14ac:dyDescent="0.25">
      <c r="A72" s="156" t="s">
        <v>43</v>
      </c>
      <c r="B72" s="157">
        <v>721</v>
      </c>
      <c r="C72" s="157">
        <v>366</v>
      </c>
      <c r="D72" s="157">
        <v>7103</v>
      </c>
      <c r="E72" s="157">
        <v>1646</v>
      </c>
      <c r="F72" s="202">
        <v>42969.058433999868</v>
      </c>
      <c r="G72" s="202">
        <v>4860.4169919999813</v>
      </c>
      <c r="H72" s="202">
        <v>1260</v>
      </c>
      <c r="I72" s="202">
        <v>142780.98999999973</v>
      </c>
      <c r="J72" s="202">
        <v>30946.402499999913</v>
      </c>
      <c r="K72" s="202">
        <v>4371</v>
      </c>
      <c r="L72" s="202">
        <v>49089.475425999852</v>
      </c>
      <c r="M72" s="202">
        <v>178098.39249999964</v>
      </c>
      <c r="N72" s="202">
        <v>178098.39249999964</v>
      </c>
      <c r="O72" s="202">
        <v>227187.86792599948</v>
      </c>
      <c r="P72" s="208">
        <v>1.4424792185361687E-2</v>
      </c>
    </row>
    <row r="73" spans="1:16" x14ac:dyDescent="0.25">
      <c r="A73" s="155" t="s">
        <v>285</v>
      </c>
      <c r="B73" s="158">
        <v>721</v>
      </c>
      <c r="C73" s="158">
        <v>366</v>
      </c>
      <c r="D73" s="158">
        <v>7103</v>
      </c>
      <c r="E73" s="158">
        <v>1646</v>
      </c>
      <c r="F73" s="204">
        <v>42969.058433999868</v>
      </c>
      <c r="G73" s="204">
        <v>4860.4169919999813</v>
      </c>
      <c r="H73" s="204">
        <v>1260</v>
      </c>
      <c r="I73" s="204">
        <v>142780.99000000043</v>
      </c>
      <c r="J73" s="204">
        <v>30946.402499999702</v>
      </c>
      <c r="K73" s="204">
        <v>4371</v>
      </c>
      <c r="L73" s="204">
        <v>49089.475425999852</v>
      </c>
      <c r="M73" s="204">
        <v>178098.39250000013</v>
      </c>
      <c r="N73" s="204">
        <v>178098.39250000013</v>
      </c>
      <c r="O73" s="204">
        <v>227187.86792599998</v>
      </c>
      <c r="P73" s="209">
        <v>1.4424792185361718E-2</v>
      </c>
    </row>
    <row r="74" spans="1:16" x14ac:dyDescent="0.25">
      <c r="A74" s="156" t="s">
        <v>149</v>
      </c>
      <c r="B74" s="157">
        <v>21</v>
      </c>
      <c r="C74" s="157">
        <v>28</v>
      </c>
      <c r="D74" s="157">
        <v>227</v>
      </c>
      <c r="E74" s="157">
        <v>154</v>
      </c>
      <c r="F74" s="202">
        <v>942.83972999999946</v>
      </c>
      <c r="G74" s="202">
        <v>556.68642400000033</v>
      </c>
      <c r="H74" s="202"/>
      <c r="I74" s="202">
        <v>4455.6799999999967</v>
      </c>
      <c r="J74" s="202">
        <v>2278.315000000001</v>
      </c>
      <c r="K74" s="202"/>
      <c r="L74" s="202">
        <v>1499.5261539999997</v>
      </c>
      <c r="M74" s="202">
        <v>6733.9949999999972</v>
      </c>
      <c r="N74" s="202">
        <v>6733.9949999999972</v>
      </c>
      <c r="O74" s="202">
        <v>8233.5211539999964</v>
      </c>
      <c r="P74" s="208">
        <v>5.2276925121245684E-4</v>
      </c>
    </row>
    <row r="75" spans="1:16" x14ac:dyDescent="0.25">
      <c r="A75" s="155" t="s">
        <v>284</v>
      </c>
      <c r="B75" s="158">
        <v>21</v>
      </c>
      <c r="C75" s="158">
        <v>28</v>
      </c>
      <c r="D75" s="158">
        <v>227</v>
      </c>
      <c r="E75" s="158">
        <v>154</v>
      </c>
      <c r="F75" s="204">
        <v>942.83972999999946</v>
      </c>
      <c r="G75" s="204">
        <v>556.68642400000033</v>
      </c>
      <c r="H75" s="204"/>
      <c r="I75" s="204">
        <v>4455.6799999999976</v>
      </c>
      <c r="J75" s="204">
        <v>2278.3150000000005</v>
      </c>
      <c r="K75" s="204"/>
      <c r="L75" s="204">
        <v>1499.5261539999997</v>
      </c>
      <c r="M75" s="204">
        <v>6733.9949999999981</v>
      </c>
      <c r="N75" s="204">
        <v>6733.9949999999981</v>
      </c>
      <c r="O75" s="204">
        <v>8233.5211539999982</v>
      </c>
      <c r="P75" s="209">
        <v>5.2276925121245695E-4</v>
      </c>
    </row>
    <row r="76" spans="1:16" x14ac:dyDescent="0.25">
      <c r="A76" s="156" t="s">
        <v>539</v>
      </c>
      <c r="B76" s="157">
        <v>35</v>
      </c>
      <c r="C76" s="157"/>
      <c r="D76" s="157">
        <v>373</v>
      </c>
      <c r="E76" s="157">
        <v>2</v>
      </c>
      <c r="F76" s="202">
        <v>1292.0405399999995</v>
      </c>
      <c r="G76" s="202"/>
      <c r="H76" s="202">
        <v>72</v>
      </c>
      <c r="I76" s="202">
        <v>7086.4699999999966</v>
      </c>
      <c r="J76" s="202">
        <v>50.7</v>
      </c>
      <c r="K76" s="202">
        <v>260</v>
      </c>
      <c r="L76" s="202">
        <v>1364.0405399999995</v>
      </c>
      <c r="M76" s="202">
        <v>7397.1699999999964</v>
      </c>
      <c r="N76" s="202">
        <v>7397.1699999999964</v>
      </c>
      <c r="O76" s="202">
        <v>8761.2105399999964</v>
      </c>
      <c r="P76" s="208">
        <v>5.5627372396868018E-4</v>
      </c>
    </row>
    <row r="77" spans="1:16" x14ac:dyDescent="0.25">
      <c r="A77" s="155" t="s">
        <v>283</v>
      </c>
      <c r="B77" s="158">
        <v>35</v>
      </c>
      <c r="C77" s="158"/>
      <c r="D77" s="158">
        <v>373</v>
      </c>
      <c r="E77" s="158">
        <v>2</v>
      </c>
      <c r="F77" s="204">
        <v>1292.0405399999995</v>
      </c>
      <c r="G77" s="204"/>
      <c r="H77" s="204">
        <v>72</v>
      </c>
      <c r="I77" s="204">
        <v>7086.4699999999993</v>
      </c>
      <c r="J77" s="204">
        <v>50.7</v>
      </c>
      <c r="K77" s="204">
        <v>260</v>
      </c>
      <c r="L77" s="204">
        <v>1364.0405399999995</v>
      </c>
      <c r="M77" s="204">
        <v>7397.1699999999992</v>
      </c>
      <c r="N77" s="204">
        <v>7397.1699999999992</v>
      </c>
      <c r="O77" s="204">
        <v>8761.2105399999982</v>
      </c>
      <c r="P77" s="209">
        <v>5.5627372396868028E-4</v>
      </c>
    </row>
    <row r="78" spans="1:16" x14ac:dyDescent="0.25">
      <c r="A78" s="156" t="s">
        <v>46</v>
      </c>
      <c r="B78" s="157"/>
      <c r="C78" s="157">
        <v>5</v>
      </c>
      <c r="D78" s="157"/>
      <c r="E78" s="157">
        <v>28</v>
      </c>
      <c r="F78" s="202"/>
      <c r="G78" s="202">
        <v>90.792000000000002</v>
      </c>
      <c r="H78" s="202"/>
      <c r="I78" s="202"/>
      <c r="J78" s="202">
        <v>567.44999999999993</v>
      </c>
      <c r="K78" s="202"/>
      <c r="L78" s="202">
        <v>90.792000000000002</v>
      </c>
      <c r="M78" s="202">
        <v>567.44999999999993</v>
      </c>
      <c r="N78" s="202">
        <v>567.44999999999993</v>
      </c>
      <c r="O78" s="202">
        <v>658.24199999999996</v>
      </c>
      <c r="P78" s="208">
        <v>4.1793622803703572E-5</v>
      </c>
    </row>
    <row r="79" spans="1:16" x14ac:dyDescent="0.25">
      <c r="A79" s="155" t="s">
        <v>282</v>
      </c>
      <c r="B79" s="158"/>
      <c r="C79" s="158">
        <v>5</v>
      </c>
      <c r="D79" s="158"/>
      <c r="E79" s="158">
        <v>28</v>
      </c>
      <c r="F79" s="204"/>
      <c r="G79" s="204">
        <v>90.792000000000002</v>
      </c>
      <c r="H79" s="204"/>
      <c r="I79" s="204"/>
      <c r="J79" s="204">
        <v>567.44999999999993</v>
      </c>
      <c r="K79" s="204"/>
      <c r="L79" s="204">
        <v>90.792000000000002</v>
      </c>
      <c r="M79" s="204">
        <v>567.44999999999993</v>
      </c>
      <c r="N79" s="204">
        <v>567.44999999999993</v>
      </c>
      <c r="O79" s="204">
        <v>658.24199999999996</v>
      </c>
      <c r="P79" s="209">
        <v>4.1793622803703572E-5</v>
      </c>
    </row>
    <row r="80" spans="1:16" ht="24" x14ac:dyDescent="0.25">
      <c r="A80" s="156" t="s">
        <v>495</v>
      </c>
      <c r="B80" s="157"/>
      <c r="C80" s="157">
        <v>9</v>
      </c>
      <c r="D80" s="157"/>
      <c r="E80" s="157">
        <v>44</v>
      </c>
      <c r="F80" s="202"/>
      <c r="G80" s="202">
        <v>109.51210800000001</v>
      </c>
      <c r="H80" s="202"/>
      <c r="I80" s="202"/>
      <c r="J80" s="202">
        <v>603.32999999999993</v>
      </c>
      <c r="K80" s="202"/>
      <c r="L80" s="202">
        <v>109.51210800000001</v>
      </c>
      <c r="M80" s="202">
        <v>603.32999999999993</v>
      </c>
      <c r="N80" s="202">
        <v>603.32999999999993</v>
      </c>
      <c r="O80" s="202">
        <v>712.84210799999994</v>
      </c>
      <c r="P80" s="208">
        <v>4.5260336138303122E-5</v>
      </c>
    </row>
    <row r="81" spans="1:16" x14ac:dyDescent="0.25">
      <c r="A81" s="155" t="s">
        <v>281</v>
      </c>
      <c r="B81" s="158"/>
      <c r="C81" s="158">
        <v>9</v>
      </c>
      <c r="D81" s="158"/>
      <c r="E81" s="158">
        <v>44</v>
      </c>
      <c r="F81" s="204"/>
      <c r="G81" s="204">
        <v>109.51210800000001</v>
      </c>
      <c r="H81" s="204"/>
      <c r="I81" s="204"/>
      <c r="J81" s="204">
        <v>603.3299999999997</v>
      </c>
      <c r="K81" s="204"/>
      <c r="L81" s="204">
        <v>109.51210800000001</v>
      </c>
      <c r="M81" s="204">
        <v>603.3299999999997</v>
      </c>
      <c r="N81" s="204">
        <v>603.3299999999997</v>
      </c>
      <c r="O81" s="204">
        <v>712.84210799999971</v>
      </c>
      <c r="P81" s="209">
        <v>4.5260336138303109E-5</v>
      </c>
    </row>
    <row r="82" spans="1:16" x14ac:dyDescent="0.25">
      <c r="A82" s="156" t="s">
        <v>48</v>
      </c>
      <c r="B82" s="157">
        <v>28</v>
      </c>
      <c r="C82" s="157"/>
      <c r="D82" s="157">
        <v>208</v>
      </c>
      <c r="E82" s="157"/>
      <c r="F82" s="202">
        <v>1174.859784</v>
      </c>
      <c r="G82" s="202"/>
      <c r="H82" s="202"/>
      <c r="I82" s="202">
        <v>4126.6600000000017</v>
      </c>
      <c r="J82" s="202"/>
      <c r="K82" s="202"/>
      <c r="L82" s="202">
        <v>1174.859784</v>
      </c>
      <c r="M82" s="202">
        <v>4126.6600000000017</v>
      </c>
      <c r="N82" s="202">
        <v>4126.6600000000017</v>
      </c>
      <c r="O82" s="202">
        <v>5301.5197840000019</v>
      </c>
      <c r="P82" s="208">
        <v>3.3660829624798801E-4</v>
      </c>
    </row>
    <row r="83" spans="1:16" x14ac:dyDescent="0.25">
      <c r="A83" s="155" t="s">
        <v>279</v>
      </c>
      <c r="B83" s="158">
        <v>28</v>
      </c>
      <c r="C83" s="158"/>
      <c r="D83" s="158">
        <v>208</v>
      </c>
      <c r="E83" s="158"/>
      <c r="F83" s="204">
        <v>1174.859784</v>
      </c>
      <c r="G83" s="204"/>
      <c r="H83" s="204"/>
      <c r="I83" s="204">
        <v>4126.6600000000035</v>
      </c>
      <c r="J83" s="204"/>
      <c r="K83" s="204"/>
      <c r="L83" s="204">
        <v>1174.859784</v>
      </c>
      <c r="M83" s="204">
        <v>4126.6600000000035</v>
      </c>
      <c r="N83" s="204">
        <v>4126.6600000000035</v>
      </c>
      <c r="O83" s="204">
        <v>5301.5197840000037</v>
      </c>
      <c r="P83" s="209">
        <v>3.3660829624798812E-4</v>
      </c>
    </row>
    <row r="84" spans="1:16" x14ac:dyDescent="0.25">
      <c r="A84" s="156" t="s">
        <v>49</v>
      </c>
      <c r="B84" s="157">
        <v>588</v>
      </c>
      <c r="C84" s="157">
        <v>261</v>
      </c>
      <c r="D84" s="157">
        <v>5689</v>
      </c>
      <c r="E84" s="157">
        <v>1021</v>
      </c>
      <c r="F84" s="202">
        <v>35480.157570000214</v>
      </c>
      <c r="G84" s="202">
        <v>4021.6415380000035</v>
      </c>
      <c r="H84" s="202">
        <v>1260</v>
      </c>
      <c r="I84" s="202">
        <v>118946.8499999996</v>
      </c>
      <c r="J84" s="202">
        <v>23516.9025</v>
      </c>
      <c r="K84" s="202">
        <v>6402</v>
      </c>
      <c r="L84" s="202">
        <v>40761.799108000218</v>
      </c>
      <c r="M84" s="202">
        <v>148865.75249999959</v>
      </c>
      <c r="N84" s="202">
        <v>148865.75249999959</v>
      </c>
      <c r="O84" s="202">
        <v>189627.55160799981</v>
      </c>
      <c r="P84" s="208">
        <v>1.2039982810417106E-2</v>
      </c>
    </row>
    <row r="85" spans="1:16" x14ac:dyDescent="0.25">
      <c r="A85" s="155" t="s">
        <v>278</v>
      </c>
      <c r="B85" s="158">
        <v>588</v>
      </c>
      <c r="C85" s="158">
        <v>261</v>
      </c>
      <c r="D85" s="158">
        <v>5689</v>
      </c>
      <c r="E85" s="158">
        <v>1021</v>
      </c>
      <c r="F85" s="204">
        <v>35480.157570000214</v>
      </c>
      <c r="G85" s="204">
        <v>4021.6415380000035</v>
      </c>
      <c r="H85" s="204">
        <v>1260</v>
      </c>
      <c r="I85" s="204">
        <v>118946.84999999989</v>
      </c>
      <c r="J85" s="204">
        <v>23516.902499999953</v>
      </c>
      <c r="K85" s="204">
        <v>6402</v>
      </c>
      <c r="L85" s="204">
        <v>40761.799108000218</v>
      </c>
      <c r="M85" s="204">
        <v>148865.75249999983</v>
      </c>
      <c r="N85" s="204">
        <v>148865.75249999983</v>
      </c>
      <c r="O85" s="204">
        <v>189627.55160800004</v>
      </c>
      <c r="P85" s="209">
        <v>1.2039982810417122E-2</v>
      </c>
    </row>
    <row r="86" spans="1:16" ht="24" x14ac:dyDescent="0.25">
      <c r="A86" s="156" t="s">
        <v>434</v>
      </c>
      <c r="B86" s="157">
        <v>15</v>
      </c>
      <c r="C86" s="157"/>
      <c r="D86" s="157">
        <v>232</v>
      </c>
      <c r="E86" s="157"/>
      <c r="F86" s="202">
        <v>1103.7600000000004</v>
      </c>
      <c r="G86" s="202"/>
      <c r="H86" s="202"/>
      <c r="I86" s="202">
        <v>4514.1099999999997</v>
      </c>
      <c r="J86" s="202"/>
      <c r="K86" s="202"/>
      <c r="L86" s="202">
        <v>1103.7600000000004</v>
      </c>
      <c r="M86" s="202">
        <v>4514.1099999999997</v>
      </c>
      <c r="N86" s="202">
        <v>4514.1099999999997</v>
      </c>
      <c r="O86" s="202">
        <v>5617.87</v>
      </c>
      <c r="P86" s="208">
        <v>3.566942549096566E-4</v>
      </c>
    </row>
    <row r="87" spans="1:16" x14ac:dyDescent="0.25">
      <c r="A87" s="155" t="s">
        <v>268</v>
      </c>
      <c r="B87" s="158">
        <v>15</v>
      </c>
      <c r="C87" s="158"/>
      <c r="D87" s="158">
        <v>232</v>
      </c>
      <c r="E87" s="158"/>
      <c r="F87" s="204">
        <v>1103.7600000000004</v>
      </c>
      <c r="G87" s="204"/>
      <c r="H87" s="204"/>
      <c r="I87" s="204">
        <v>4514.1099999999988</v>
      </c>
      <c r="J87" s="204"/>
      <c r="K87" s="204"/>
      <c r="L87" s="204">
        <v>1103.7600000000004</v>
      </c>
      <c r="M87" s="204">
        <v>4514.1099999999988</v>
      </c>
      <c r="N87" s="204">
        <v>4514.1099999999988</v>
      </c>
      <c r="O87" s="204">
        <v>5617.869999999999</v>
      </c>
      <c r="P87" s="209">
        <v>3.5669425490965654E-4</v>
      </c>
    </row>
    <row r="88" spans="1:16" x14ac:dyDescent="0.25">
      <c r="A88" s="156" t="s">
        <v>51</v>
      </c>
      <c r="B88" s="157">
        <v>804</v>
      </c>
      <c r="C88" s="157">
        <v>395</v>
      </c>
      <c r="D88" s="157">
        <v>7927</v>
      </c>
      <c r="E88" s="157">
        <v>1370</v>
      </c>
      <c r="F88" s="202">
        <v>50977.613034000125</v>
      </c>
      <c r="G88" s="202">
        <v>5099.9090390000356</v>
      </c>
      <c r="H88" s="202">
        <v>2736</v>
      </c>
      <c r="I88" s="202">
        <v>166580.05999999976</v>
      </c>
      <c r="J88" s="202">
        <v>33211.39250000006</v>
      </c>
      <c r="K88" s="202">
        <v>12877.5</v>
      </c>
      <c r="L88" s="202">
        <v>58813.52207300016</v>
      </c>
      <c r="M88" s="202">
        <v>212668.95249999984</v>
      </c>
      <c r="N88" s="202">
        <v>212668.95249999984</v>
      </c>
      <c r="O88" s="202">
        <v>271482.47457299998</v>
      </c>
      <c r="P88" s="208">
        <v>1.7237180459648591E-2</v>
      </c>
    </row>
    <row r="89" spans="1:16" x14ac:dyDescent="0.25">
      <c r="A89" s="155" t="s">
        <v>267</v>
      </c>
      <c r="B89" s="158">
        <v>804</v>
      </c>
      <c r="C89" s="158">
        <v>395</v>
      </c>
      <c r="D89" s="158">
        <v>7927</v>
      </c>
      <c r="E89" s="158">
        <v>1370</v>
      </c>
      <c r="F89" s="204">
        <v>50977.613034000125</v>
      </c>
      <c r="G89" s="204">
        <v>5099.9090390000356</v>
      </c>
      <c r="H89" s="204">
        <v>2736</v>
      </c>
      <c r="I89" s="204">
        <v>166580.05999999991</v>
      </c>
      <c r="J89" s="204">
        <v>33211.392499999842</v>
      </c>
      <c r="K89" s="204">
        <v>12877.5</v>
      </c>
      <c r="L89" s="204">
        <v>58813.52207300016</v>
      </c>
      <c r="M89" s="204">
        <v>212668.95249999975</v>
      </c>
      <c r="N89" s="204">
        <v>212668.95249999975</v>
      </c>
      <c r="O89" s="204">
        <v>271482.47457299993</v>
      </c>
      <c r="P89" s="209">
        <v>1.7237180459648588E-2</v>
      </c>
    </row>
    <row r="90" spans="1:16" x14ac:dyDescent="0.25">
      <c r="A90" s="156" t="s">
        <v>52</v>
      </c>
      <c r="B90" s="157">
        <v>1702</v>
      </c>
      <c r="C90" s="157">
        <v>701</v>
      </c>
      <c r="D90" s="157">
        <v>19821</v>
      </c>
      <c r="E90" s="157">
        <v>3081</v>
      </c>
      <c r="F90" s="202">
        <v>100781.97218999991</v>
      </c>
      <c r="G90" s="202">
        <v>12948.387496000165</v>
      </c>
      <c r="H90" s="202">
        <v>5940</v>
      </c>
      <c r="I90" s="202">
        <v>373533.09999999887</v>
      </c>
      <c r="J90" s="202">
        <v>69737.914999999601</v>
      </c>
      <c r="K90" s="202">
        <v>26561</v>
      </c>
      <c r="L90" s="202">
        <v>119670.35968600008</v>
      </c>
      <c r="M90" s="202">
        <v>469832.0149999985</v>
      </c>
      <c r="N90" s="202">
        <v>469832.0149999985</v>
      </c>
      <c r="O90" s="202">
        <v>589502.37468599854</v>
      </c>
      <c r="P90" s="208">
        <v>3.7429152028454815E-2</v>
      </c>
    </row>
    <row r="91" spans="1:16" x14ac:dyDescent="0.25">
      <c r="A91" s="155" t="s">
        <v>261</v>
      </c>
      <c r="B91" s="158">
        <v>1702</v>
      </c>
      <c r="C91" s="158">
        <v>701</v>
      </c>
      <c r="D91" s="158">
        <v>19821</v>
      </c>
      <c r="E91" s="158">
        <v>3081</v>
      </c>
      <c r="F91" s="204">
        <v>100781.97218999991</v>
      </c>
      <c r="G91" s="204">
        <v>12948.387496000165</v>
      </c>
      <c r="H91" s="204">
        <v>5940</v>
      </c>
      <c r="I91" s="204">
        <v>373533.09999998607</v>
      </c>
      <c r="J91" s="204">
        <v>69737.914999999586</v>
      </c>
      <c r="K91" s="204">
        <v>26561</v>
      </c>
      <c r="L91" s="204">
        <v>119670.35968600008</v>
      </c>
      <c r="M91" s="204">
        <v>469832.01499998564</v>
      </c>
      <c r="N91" s="204">
        <v>469832.01499998564</v>
      </c>
      <c r="O91" s="204">
        <v>589502.37468598573</v>
      </c>
      <c r="P91" s="209">
        <v>3.7429152028454003E-2</v>
      </c>
    </row>
    <row r="92" spans="1:16" x14ac:dyDescent="0.25">
      <c r="A92" s="156" t="s">
        <v>53</v>
      </c>
      <c r="B92" s="157"/>
      <c r="C92" s="157">
        <v>173</v>
      </c>
      <c r="D92" s="157"/>
      <c r="E92" s="157">
        <v>566</v>
      </c>
      <c r="F92" s="202"/>
      <c r="G92" s="202">
        <v>2181.1154920000022</v>
      </c>
      <c r="H92" s="202"/>
      <c r="I92" s="202"/>
      <c r="J92" s="202">
        <v>14540.760000000004</v>
      </c>
      <c r="K92" s="202"/>
      <c r="L92" s="202">
        <v>2181.1154920000022</v>
      </c>
      <c r="M92" s="202">
        <v>14540.760000000004</v>
      </c>
      <c r="N92" s="202">
        <v>14540.760000000004</v>
      </c>
      <c r="O92" s="202">
        <v>16721.875492000006</v>
      </c>
      <c r="P92" s="208">
        <v>1.0617185729308422E-3</v>
      </c>
    </row>
    <row r="93" spans="1:16" x14ac:dyDescent="0.25">
      <c r="A93" s="155" t="s">
        <v>277</v>
      </c>
      <c r="B93" s="158"/>
      <c r="C93" s="158">
        <v>173</v>
      </c>
      <c r="D93" s="158"/>
      <c r="E93" s="158">
        <v>566</v>
      </c>
      <c r="F93" s="204"/>
      <c r="G93" s="204">
        <v>2181.1154920000022</v>
      </c>
      <c r="H93" s="204"/>
      <c r="I93" s="204"/>
      <c r="J93" s="204">
        <v>14540.759999999957</v>
      </c>
      <c r="K93" s="204"/>
      <c r="L93" s="204">
        <v>2181.1154920000022</v>
      </c>
      <c r="M93" s="204">
        <v>14540.759999999957</v>
      </c>
      <c r="N93" s="204">
        <v>14540.759999999957</v>
      </c>
      <c r="O93" s="204">
        <v>16721.875491999959</v>
      </c>
      <c r="P93" s="209">
        <v>1.0617185729308392E-3</v>
      </c>
    </row>
    <row r="94" spans="1:16" x14ac:dyDescent="0.25">
      <c r="A94" s="156" t="s">
        <v>54</v>
      </c>
      <c r="B94" s="157">
        <v>148</v>
      </c>
      <c r="C94" s="157"/>
      <c r="D94" s="157">
        <v>1495</v>
      </c>
      <c r="E94" s="157"/>
      <c r="F94" s="202">
        <v>10078.018596000004</v>
      </c>
      <c r="G94" s="202"/>
      <c r="H94" s="202">
        <v>36916.560000000056</v>
      </c>
      <c r="I94" s="202">
        <v>27877.539999999997</v>
      </c>
      <c r="J94" s="202"/>
      <c r="K94" s="202">
        <v>95325.650000000111</v>
      </c>
      <c r="L94" s="202">
        <v>46994.578596000058</v>
      </c>
      <c r="M94" s="202">
        <v>123203.1900000001</v>
      </c>
      <c r="N94" s="202">
        <v>123203.1900000001</v>
      </c>
      <c r="O94" s="202">
        <v>170197.76859600015</v>
      </c>
      <c r="P94" s="208">
        <v>1.0806331626868622E-2</v>
      </c>
    </row>
    <row r="95" spans="1:16" x14ac:dyDescent="0.25">
      <c r="A95" s="155" t="s">
        <v>276</v>
      </c>
      <c r="B95" s="158">
        <v>148</v>
      </c>
      <c r="C95" s="158"/>
      <c r="D95" s="158">
        <v>1495</v>
      </c>
      <c r="E95" s="158"/>
      <c r="F95" s="204">
        <v>10078.018596000004</v>
      </c>
      <c r="G95" s="204"/>
      <c r="H95" s="204">
        <v>36916.560000000056</v>
      </c>
      <c r="I95" s="204">
        <v>27877.539999999997</v>
      </c>
      <c r="J95" s="204"/>
      <c r="K95" s="204">
        <v>95325.649999999703</v>
      </c>
      <c r="L95" s="204">
        <v>46994.578596000058</v>
      </c>
      <c r="M95" s="204">
        <v>123203.1899999997</v>
      </c>
      <c r="N95" s="204">
        <v>123203.1899999997</v>
      </c>
      <c r="O95" s="204">
        <v>170197.76859599975</v>
      </c>
      <c r="P95" s="209">
        <v>1.0806331626868596E-2</v>
      </c>
    </row>
    <row r="96" spans="1:16" x14ac:dyDescent="0.25">
      <c r="A96" s="156" t="s">
        <v>55</v>
      </c>
      <c r="B96" s="157">
        <v>552</v>
      </c>
      <c r="C96" s="157">
        <v>215</v>
      </c>
      <c r="D96" s="157">
        <v>4972</v>
      </c>
      <c r="E96" s="157">
        <v>874</v>
      </c>
      <c r="F96" s="202">
        <v>23937.652926000264</v>
      </c>
      <c r="G96" s="202">
        <v>2901.1293669999923</v>
      </c>
      <c r="H96" s="202">
        <v>3276</v>
      </c>
      <c r="I96" s="202">
        <v>98386.425000000134</v>
      </c>
      <c r="J96" s="202">
        <v>17811.624999999989</v>
      </c>
      <c r="K96" s="202">
        <v>7899.25</v>
      </c>
      <c r="L96" s="202">
        <v>30114.782293000259</v>
      </c>
      <c r="M96" s="202">
        <v>124097.30000000012</v>
      </c>
      <c r="N96" s="202">
        <v>124097.30000000012</v>
      </c>
      <c r="O96" s="202">
        <v>154212.08229300036</v>
      </c>
      <c r="P96" s="208">
        <v>9.7913557614484528E-3</v>
      </c>
    </row>
    <row r="97" spans="1:16" x14ac:dyDescent="0.25">
      <c r="A97" s="155" t="s">
        <v>275</v>
      </c>
      <c r="B97" s="158">
        <v>552</v>
      </c>
      <c r="C97" s="158">
        <v>215</v>
      </c>
      <c r="D97" s="158">
        <v>4972</v>
      </c>
      <c r="E97" s="158">
        <v>874</v>
      </c>
      <c r="F97" s="204">
        <v>23937.652926000264</v>
      </c>
      <c r="G97" s="204">
        <v>2901.1293669999923</v>
      </c>
      <c r="H97" s="204">
        <v>3276</v>
      </c>
      <c r="I97" s="204">
        <v>98386.425000001167</v>
      </c>
      <c r="J97" s="204">
        <v>17811.624999999967</v>
      </c>
      <c r="K97" s="204">
        <v>7899.25</v>
      </c>
      <c r="L97" s="204">
        <v>30114.782293000259</v>
      </c>
      <c r="M97" s="204">
        <v>124097.30000000114</v>
      </c>
      <c r="N97" s="204">
        <v>124097.30000000114</v>
      </c>
      <c r="O97" s="204">
        <v>154212.08229300141</v>
      </c>
      <c r="P97" s="209">
        <v>9.7913557614485187E-3</v>
      </c>
    </row>
    <row r="98" spans="1:16" ht="24" x14ac:dyDescent="0.25">
      <c r="A98" s="156" t="s">
        <v>56</v>
      </c>
      <c r="B98" s="157"/>
      <c r="C98" s="157">
        <v>15</v>
      </c>
      <c r="D98" s="157"/>
      <c r="E98" s="157">
        <v>99</v>
      </c>
      <c r="F98" s="202"/>
      <c r="G98" s="202">
        <v>464.72399999999993</v>
      </c>
      <c r="H98" s="202"/>
      <c r="I98" s="202"/>
      <c r="J98" s="202">
        <v>1795.0400000000011</v>
      </c>
      <c r="K98" s="202">
        <v>22.5</v>
      </c>
      <c r="L98" s="202">
        <v>464.72399999999993</v>
      </c>
      <c r="M98" s="202">
        <v>1817.5400000000011</v>
      </c>
      <c r="N98" s="202">
        <v>1531.728199919999</v>
      </c>
      <c r="O98" s="202">
        <v>1996.452199919999</v>
      </c>
      <c r="P98" s="208">
        <v>1.2676032551718158E-4</v>
      </c>
    </row>
    <row r="99" spans="1:16" x14ac:dyDescent="0.25">
      <c r="A99" s="155" t="s">
        <v>274</v>
      </c>
      <c r="B99" s="158"/>
      <c r="C99" s="158">
        <v>15</v>
      </c>
      <c r="D99" s="158"/>
      <c r="E99" s="158">
        <v>99</v>
      </c>
      <c r="F99" s="204"/>
      <c r="G99" s="204">
        <v>464.72399999999993</v>
      </c>
      <c r="H99" s="204"/>
      <c r="I99" s="204"/>
      <c r="J99" s="204">
        <v>1795.0400000000011</v>
      </c>
      <c r="K99" s="204">
        <v>22.5</v>
      </c>
      <c r="L99" s="204">
        <v>464.72399999999993</v>
      </c>
      <c r="M99" s="204">
        <v>1817.5400000000011</v>
      </c>
      <c r="N99" s="204">
        <v>1531.728199919999</v>
      </c>
      <c r="O99" s="204">
        <v>1996.452199919999</v>
      </c>
      <c r="P99" s="209">
        <v>1.2676032551718158E-4</v>
      </c>
    </row>
    <row r="100" spans="1:16" x14ac:dyDescent="0.25">
      <c r="A100" s="156" t="s">
        <v>491</v>
      </c>
      <c r="B100" s="157">
        <v>92</v>
      </c>
      <c r="C100" s="157">
        <v>51</v>
      </c>
      <c r="D100" s="157">
        <v>909</v>
      </c>
      <c r="E100" s="157">
        <v>143</v>
      </c>
      <c r="F100" s="202">
        <v>8567.2811339999898</v>
      </c>
      <c r="G100" s="202">
        <v>684.45009099999947</v>
      </c>
      <c r="H100" s="202"/>
      <c r="I100" s="202">
        <v>20073.980000000018</v>
      </c>
      <c r="J100" s="202">
        <v>3934.5150000000026</v>
      </c>
      <c r="K100" s="202">
        <v>195.5</v>
      </c>
      <c r="L100" s="202">
        <v>9251.7312249999886</v>
      </c>
      <c r="M100" s="202">
        <v>24203.995000000021</v>
      </c>
      <c r="N100" s="202">
        <v>24203.995000000021</v>
      </c>
      <c r="O100" s="202">
        <v>33455.726225000006</v>
      </c>
      <c r="P100" s="208">
        <v>2.1241974873551428E-3</v>
      </c>
    </row>
    <row r="101" spans="1:16" x14ac:dyDescent="0.25">
      <c r="A101" s="155" t="s">
        <v>489</v>
      </c>
      <c r="B101" s="158">
        <v>92</v>
      </c>
      <c r="C101" s="158">
        <v>51</v>
      </c>
      <c r="D101" s="158">
        <v>909</v>
      </c>
      <c r="E101" s="158">
        <v>143</v>
      </c>
      <c r="F101" s="204">
        <v>8567.2811339999898</v>
      </c>
      <c r="G101" s="204">
        <v>684.45009099999947</v>
      </c>
      <c r="H101" s="204"/>
      <c r="I101" s="204">
        <v>20073.98</v>
      </c>
      <c r="J101" s="204">
        <v>3934.5150000000062</v>
      </c>
      <c r="K101" s="204">
        <v>195.5</v>
      </c>
      <c r="L101" s="204">
        <v>9251.7312249999886</v>
      </c>
      <c r="M101" s="204">
        <v>24203.995000000006</v>
      </c>
      <c r="N101" s="204">
        <v>24203.995000000006</v>
      </c>
      <c r="O101" s="204">
        <v>33455.726224999991</v>
      </c>
      <c r="P101" s="209">
        <v>2.1241974873551419E-3</v>
      </c>
    </row>
    <row r="102" spans="1:16" x14ac:dyDescent="0.25">
      <c r="A102" s="156" t="s">
        <v>129</v>
      </c>
      <c r="B102" s="157"/>
      <c r="C102" s="157">
        <v>20</v>
      </c>
      <c r="D102" s="157"/>
      <c r="E102" s="157">
        <v>60</v>
      </c>
      <c r="F102" s="202"/>
      <c r="G102" s="202">
        <v>182.52000000000004</v>
      </c>
      <c r="H102" s="202"/>
      <c r="I102" s="202"/>
      <c r="J102" s="202">
        <v>1520.9999999999998</v>
      </c>
      <c r="K102" s="202"/>
      <c r="L102" s="202">
        <v>182.52000000000004</v>
      </c>
      <c r="M102" s="202">
        <v>1520.9999999999998</v>
      </c>
      <c r="N102" s="202">
        <v>1520.9999999999998</v>
      </c>
      <c r="O102" s="202">
        <v>1703.5199999999998</v>
      </c>
      <c r="P102" s="208">
        <v>1.0816124209419195E-4</v>
      </c>
    </row>
    <row r="103" spans="1:16" x14ac:dyDescent="0.25">
      <c r="A103" s="155" t="s">
        <v>273</v>
      </c>
      <c r="B103" s="158"/>
      <c r="C103" s="158">
        <v>20</v>
      </c>
      <c r="D103" s="158"/>
      <c r="E103" s="158">
        <v>60</v>
      </c>
      <c r="F103" s="204"/>
      <c r="G103" s="204">
        <v>182.52000000000004</v>
      </c>
      <c r="H103" s="204"/>
      <c r="I103" s="204"/>
      <c r="J103" s="204">
        <v>1520.9999999999995</v>
      </c>
      <c r="K103" s="204"/>
      <c r="L103" s="204">
        <v>182.52000000000004</v>
      </c>
      <c r="M103" s="204">
        <v>1520.9999999999995</v>
      </c>
      <c r="N103" s="204">
        <v>1520.9999999999995</v>
      </c>
      <c r="O103" s="204">
        <v>1703.5199999999995</v>
      </c>
      <c r="P103" s="209">
        <v>1.0816124209419194E-4</v>
      </c>
    </row>
    <row r="104" spans="1:16" x14ac:dyDescent="0.25">
      <c r="A104" s="156" t="s">
        <v>57</v>
      </c>
      <c r="B104" s="157">
        <v>55</v>
      </c>
      <c r="C104" s="157"/>
      <c r="D104" s="157">
        <v>517</v>
      </c>
      <c r="E104" s="157"/>
      <c r="F104" s="202">
        <v>2007.8992440000018</v>
      </c>
      <c r="G104" s="202"/>
      <c r="H104" s="202">
        <v>36</v>
      </c>
      <c r="I104" s="202">
        <v>9442.260000000002</v>
      </c>
      <c r="J104" s="202"/>
      <c r="K104" s="202">
        <v>281</v>
      </c>
      <c r="L104" s="202">
        <v>2043.8992440000018</v>
      </c>
      <c r="M104" s="202">
        <v>9723.260000000002</v>
      </c>
      <c r="N104" s="202">
        <v>9723.260000000002</v>
      </c>
      <c r="O104" s="202">
        <v>11767.159244000004</v>
      </c>
      <c r="P104" s="208">
        <v>7.471298016760551E-4</v>
      </c>
    </row>
    <row r="105" spans="1:16" x14ac:dyDescent="0.25">
      <c r="A105" s="155" t="s">
        <v>272</v>
      </c>
      <c r="B105" s="158">
        <v>55</v>
      </c>
      <c r="C105" s="158"/>
      <c r="D105" s="158">
        <v>517</v>
      </c>
      <c r="E105" s="158"/>
      <c r="F105" s="204">
        <v>2007.8992440000018</v>
      </c>
      <c r="G105" s="204"/>
      <c r="H105" s="204">
        <v>36</v>
      </c>
      <c r="I105" s="204">
        <v>9442.26</v>
      </c>
      <c r="J105" s="204"/>
      <c r="K105" s="204">
        <v>281</v>
      </c>
      <c r="L105" s="204">
        <v>2043.8992440000018</v>
      </c>
      <c r="M105" s="204">
        <v>9723.26</v>
      </c>
      <c r="N105" s="204">
        <v>9723.26</v>
      </c>
      <c r="O105" s="204">
        <v>11767.159244000002</v>
      </c>
      <c r="P105" s="209">
        <v>7.4712980167605499E-4</v>
      </c>
    </row>
    <row r="106" spans="1:16" x14ac:dyDescent="0.25">
      <c r="A106" s="156" t="s">
        <v>58</v>
      </c>
      <c r="B106" s="157">
        <v>585</v>
      </c>
      <c r="C106" s="157">
        <v>207</v>
      </c>
      <c r="D106" s="157">
        <v>6362</v>
      </c>
      <c r="E106" s="157">
        <v>1020</v>
      </c>
      <c r="F106" s="202">
        <v>36582.83784</v>
      </c>
      <c r="G106" s="202">
        <v>2694.1618649999878</v>
      </c>
      <c r="H106" s="202">
        <v>2700</v>
      </c>
      <c r="I106" s="202">
        <v>120601.12000000042</v>
      </c>
      <c r="J106" s="202">
        <v>22177.252499999951</v>
      </c>
      <c r="K106" s="202">
        <v>11199</v>
      </c>
      <c r="L106" s="202">
        <v>41976.999704999987</v>
      </c>
      <c r="M106" s="202">
        <v>153977.37250000038</v>
      </c>
      <c r="N106" s="202">
        <v>153977.37250000038</v>
      </c>
      <c r="O106" s="202">
        <v>195954.37220500037</v>
      </c>
      <c r="P106" s="208">
        <v>1.2441690318564177E-2</v>
      </c>
    </row>
    <row r="107" spans="1:16" x14ac:dyDescent="0.25">
      <c r="A107" s="155" t="s">
        <v>271</v>
      </c>
      <c r="B107" s="158">
        <v>585</v>
      </c>
      <c r="C107" s="158">
        <v>207</v>
      </c>
      <c r="D107" s="158">
        <v>6362</v>
      </c>
      <c r="E107" s="158">
        <v>1020</v>
      </c>
      <c r="F107" s="204">
        <v>36582.83784</v>
      </c>
      <c r="G107" s="204">
        <v>2694.1618649999878</v>
      </c>
      <c r="H107" s="204">
        <v>2700</v>
      </c>
      <c r="I107" s="204">
        <v>120601.12000000125</v>
      </c>
      <c r="J107" s="204">
        <v>22177.252499999806</v>
      </c>
      <c r="K107" s="204">
        <v>11199</v>
      </c>
      <c r="L107" s="204">
        <v>41976.999704999987</v>
      </c>
      <c r="M107" s="204">
        <v>153977.37250000105</v>
      </c>
      <c r="N107" s="204">
        <v>153977.37250000105</v>
      </c>
      <c r="O107" s="204">
        <v>195954.37220500104</v>
      </c>
      <c r="P107" s="209">
        <v>1.244169031856422E-2</v>
      </c>
    </row>
    <row r="108" spans="1:16" x14ac:dyDescent="0.25">
      <c r="A108" s="156" t="s">
        <v>59</v>
      </c>
      <c r="B108" s="157">
        <v>1332</v>
      </c>
      <c r="C108" s="157">
        <v>670</v>
      </c>
      <c r="D108" s="157">
        <v>14383</v>
      </c>
      <c r="E108" s="157">
        <v>2323</v>
      </c>
      <c r="F108" s="202">
        <v>78224.037408001153</v>
      </c>
      <c r="G108" s="202">
        <v>8144.9470239998973</v>
      </c>
      <c r="H108" s="202">
        <v>4140</v>
      </c>
      <c r="I108" s="202">
        <v>285236.63999999769</v>
      </c>
      <c r="J108" s="202">
        <v>60219.152499999807</v>
      </c>
      <c r="K108" s="202">
        <v>17578</v>
      </c>
      <c r="L108" s="202">
        <v>90508.984432001045</v>
      </c>
      <c r="M108" s="202">
        <v>363033.79249999748</v>
      </c>
      <c r="N108" s="202">
        <v>363033.79249999748</v>
      </c>
      <c r="O108" s="202">
        <v>453542.77693199855</v>
      </c>
      <c r="P108" s="208">
        <v>2.8796697482749836E-2</v>
      </c>
    </row>
    <row r="109" spans="1:16" x14ac:dyDescent="0.25">
      <c r="A109" s="155" t="s">
        <v>270</v>
      </c>
      <c r="B109" s="158">
        <v>1332</v>
      </c>
      <c r="C109" s="158">
        <v>670</v>
      </c>
      <c r="D109" s="158">
        <v>14383</v>
      </c>
      <c r="E109" s="158">
        <v>2323</v>
      </c>
      <c r="F109" s="204">
        <v>78224.037408001153</v>
      </c>
      <c r="G109" s="204">
        <v>8144.9470239998973</v>
      </c>
      <c r="H109" s="204">
        <v>4140</v>
      </c>
      <c r="I109" s="204">
        <v>285236.63999998971</v>
      </c>
      <c r="J109" s="204">
        <v>60219.152499999895</v>
      </c>
      <c r="K109" s="204">
        <v>17578</v>
      </c>
      <c r="L109" s="204">
        <v>90508.984432001045</v>
      </c>
      <c r="M109" s="204">
        <v>363033.79249998962</v>
      </c>
      <c r="N109" s="204">
        <v>363033.79249998962</v>
      </c>
      <c r="O109" s="204">
        <v>453542.77693199064</v>
      </c>
      <c r="P109" s="209">
        <v>2.8796697482749333E-2</v>
      </c>
    </row>
    <row r="110" spans="1:16" x14ac:dyDescent="0.25">
      <c r="A110" s="156" t="s">
        <v>469</v>
      </c>
      <c r="B110" s="157">
        <v>256</v>
      </c>
      <c r="C110" s="157">
        <v>81</v>
      </c>
      <c r="D110" s="157">
        <v>2908</v>
      </c>
      <c r="E110" s="157">
        <v>329</v>
      </c>
      <c r="F110" s="202">
        <v>18541.983347999896</v>
      </c>
      <c r="G110" s="202">
        <v>1167.1919999999993</v>
      </c>
      <c r="H110" s="202">
        <v>1044</v>
      </c>
      <c r="I110" s="202">
        <v>55540.819999999992</v>
      </c>
      <c r="J110" s="202">
        <v>6329.1799999999994</v>
      </c>
      <c r="K110" s="202">
        <v>4021</v>
      </c>
      <c r="L110" s="202">
        <v>20753.175347999895</v>
      </c>
      <c r="M110" s="202">
        <v>65891</v>
      </c>
      <c r="N110" s="202">
        <v>65891</v>
      </c>
      <c r="O110" s="202">
        <v>86644.175347999902</v>
      </c>
      <c r="P110" s="208">
        <v>5.5012806576187172E-3</v>
      </c>
    </row>
    <row r="111" spans="1:16" x14ac:dyDescent="0.25">
      <c r="A111" s="155" t="s">
        <v>230</v>
      </c>
      <c r="B111" s="158">
        <v>256</v>
      </c>
      <c r="C111" s="158">
        <v>81</v>
      </c>
      <c r="D111" s="158">
        <v>2908</v>
      </c>
      <c r="E111" s="158">
        <v>329</v>
      </c>
      <c r="F111" s="204">
        <v>18541.983347999896</v>
      </c>
      <c r="G111" s="204">
        <v>1167.1919999999993</v>
      </c>
      <c r="H111" s="204">
        <v>1044</v>
      </c>
      <c r="I111" s="204">
        <v>55540.820000000189</v>
      </c>
      <c r="J111" s="204">
        <v>6329.1800000000012</v>
      </c>
      <c r="K111" s="204">
        <v>4021</v>
      </c>
      <c r="L111" s="204">
        <v>20753.175347999895</v>
      </c>
      <c r="M111" s="204">
        <v>65891.000000000189</v>
      </c>
      <c r="N111" s="204">
        <v>65891.000000000189</v>
      </c>
      <c r="O111" s="204">
        <v>86644.175348000077</v>
      </c>
      <c r="P111" s="209">
        <v>5.5012806576187285E-3</v>
      </c>
    </row>
    <row r="112" spans="1:16" x14ac:dyDescent="0.25">
      <c r="A112" s="156" t="s">
        <v>438</v>
      </c>
      <c r="B112" s="157">
        <v>2042</v>
      </c>
      <c r="C112" s="157">
        <v>558</v>
      </c>
      <c r="D112" s="157">
        <v>20195</v>
      </c>
      <c r="E112" s="157">
        <v>2266</v>
      </c>
      <c r="F112" s="202">
        <v>131761.63965600228</v>
      </c>
      <c r="G112" s="202">
        <v>6974.1389499999823</v>
      </c>
      <c r="H112" s="202">
        <v>7416</v>
      </c>
      <c r="I112" s="202">
        <v>408413.8599999969</v>
      </c>
      <c r="J112" s="202">
        <v>52809.347499999865</v>
      </c>
      <c r="K112" s="202">
        <v>25510</v>
      </c>
      <c r="L112" s="202">
        <v>146151.77860600228</v>
      </c>
      <c r="M112" s="202">
        <v>486733.20749999676</v>
      </c>
      <c r="N112" s="202">
        <v>486733.20749999676</v>
      </c>
      <c r="O112" s="202">
        <v>632884.98610599898</v>
      </c>
      <c r="P112" s="208">
        <v>4.0183635178917931E-2</v>
      </c>
    </row>
    <row r="113" spans="1:16" x14ac:dyDescent="0.25">
      <c r="A113" s="155" t="s">
        <v>244</v>
      </c>
      <c r="B113" s="158">
        <v>2042</v>
      </c>
      <c r="C113" s="158">
        <v>558</v>
      </c>
      <c r="D113" s="158">
        <v>20195</v>
      </c>
      <c r="E113" s="158">
        <v>2266</v>
      </c>
      <c r="F113" s="204">
        <v>131761.63965600228</v>
      </c>
      <c r="G113" s="204">
        <v>6974.1389499999823</v>
      </c>
      <c r="H113" s="204">
        <v>7416</v>
      </c>
      <c r="I113" s="204">
        <v>408413.85999999172</v>
      </c>
      <c r="J113" s="204">
        <v>52809.347499999967</v>
      </c>
      <c r="K113" s="204">
        <v>25510</v>
      </c>
      <c r="L113" s="204">
        <v>146151.77860600228</v>
      </c>
      <c r="M113" s="204">
        <v>486733.20749999169</v>
      </c>
      <c r="N113" s="204">
        <v>486733.20749999169</v>
      </c>
      <c r="O113" s="204">
        <v>632884.98610599397</v>
      </c>
      <c r="P113" s="209">
        <v>4.0183635178917612E-2</v>
      </c>
    </row>
    <row r="114" spans="1:16" x14ac:dyDescent="0.25">
      <c r="A114" s="156" t="s">
        <v>60</v>
      </c>
      <c r="B114" s="157">
        <v>562</v>
      </c>
      <c r="C114" s="157">
        <v>260</v>
      </c>
      <c r="D114" s="157">
        <v>5888</v>
      </c>
      <c r="E114" s="157">
        <v>957</v>
      </c>
      <c r="F114" s="202">
        <v>33788.342591999979</v>
      </c>
      <c r="G114" s="202">
        <v>3281.265409000016</v>
      </c>
      <c r="H114" s="202">
        <v>1980</v>
      </c>
      <c r="I114" s="202">
        <v>114749.00999999979</v>
      </c>
      <c r="J114" s="202">
        <v>22432.929999999982</v>
      </c>
      <c r="K114" s="202">
        <v>6506</v>
      </c>
      <c r="L114" s="202">
        <v>39049.608000999993</v>
      </c>
      <c r="M114" s="202">
        <v>143687.93999999977</v>
      </c>
      <c r="N114" s="202">
        <v>143687.93999999977</v>
      </c>
      <c r="O114" s="202">
        <v>182737.54800099976</v>
      </c>
      <c r="P114" s="208">
        <v>1.1602517240205669E-2</v>
      </c>
    </row>
    <row r="115" spans="1:16" x14ac:dyDescent="0.25">
      <c r="A115" s="155" t="s">
        <v>269</v>
      </c>
      <c r="B115" s="158">
        <v>562</v>
      </c>
      <c r="C115" s="158">
        <v>260</v>
      </c>
      <c r="D115" s="158">
        <v>5888</v>
      </c>
      <c r="E115" s="158">
        <v>957</v>
      </c>
      <c r="F115" s="204">
        <v>33788.342591999979</v>
      </c>
      <c r="G115" s="204">
        <v>3281.265409000016</v>
      </c>
      <c r="H115" s="204">
        <v>1980</v>
      </c>
      <c r="I115" s="204">
        <v>114749.01000000069</v>
      </c>
      <c r="J115" s="204">
        <v>22432.929999999906</v>
      </c>
      <c r="K115" s="204">
        <v>6506</v>
      </c>
      <c r="L115" s="204">
        <v>39049.608000999993</v>
      </c>
      <c r="M115" s="204">
        <v>143687.94000000058</v>
      </c>
      <c r="N115" s="204">
        <v>143687.94000000058</v>
      </c>
      <c r="O115" s="204">
        <v>182737.54800100057</v>
      </c>
      <c r="P115" s="209">
        <v>1.160251724020572E-2</v>
      </c>
    </row>
    <row r="116" spans="1:16" x14ac:dyDescent="0.25">
      <c r="A116" s="156" t="s">
        <v>473</v>
      </c>
      <c r="B116" s="157">
        <v>571</v>
      </c>
      <c r="C116" s="157">
        <v>287</v>
      </c>
      <c r="D116" s="157">
        <v>6341</v>
      </c>
      <c r="E116" s="157">
        <v>1172</v>
      </c>
      <c r="F116" s="202">
        <v>34109.460485999858</v>
      </c>
      <c r="G116" s="202">
        <v>3782.2631340000171</v>
      </c>
      <c r="H116" s="202">
        <v>1944</v>
      </c>
      <c r="I116" s="202">
        <v>123208.50999999994</v>
      </c>
      <c r="J116" s="202">
        <v>23385.049999999974</v>
      </c>
      <c r="K116" s="202">
        <v>6661.5</v>
      </c>
      <c r="L116" s="202">
        <v>39835.723619999873</v>
      </c>
      <c r="M116" s="202">
        <v>153255.05999999991</v>
      </c>
      <c r="N116" s="202">
        <v>153255.05999999991</v>
      </c>
      <c r="O116" s="202">
        <v>193090.78361999977</v>
      </c>
      <c r="P116" s="208">
        <v>1.2259873082370639E-2</v>
      </c>
    </row>
    <row r="117" spans="1:16" x14ac:dyDescent="0.25">
      <c r="A117" s="155" t="s">
        <v>472</v>
      </c>
      <c r="B117" s="158">
        <v>571</v>
      </c>
      <c r="C117" s="158">
        <v>287</v>
      </c>
      <c r="D117" s="158">
        <v>6341</v>
      </c>
      <c r="E117" s="158">
        <v>1172</v>
      </c>
      <c r="F117" s="204">
        <v>34109.460485999858</v>
      </c>
      <c r="G117" s="204">
        <v>3782.2631340000171</v>
      </c>
      <c r="H117" s="204">
        <v>1944</v>
      </c>
      <c r="I117" s="204">
        <v>123208.51000000103</v>
      </c>
      <c r="J117" s="204">
        <v>23385.049999999774</v>
      </c>
      <c r="K117" s="204">
        <v>6661.5</v>
      </c>
      <c r="L117" s="204">
        <v>39835.723619999873</v>
      </c>
      <c r="M117" s="204">
        <v>153255.06000000081</v>
      </c>
      <c r="N117" s="204">
        <v>153255.06000000081</v>
      </c>
      <c r="O117" s="204">
        <v>193090.7836200007</v>
      </c>
      <c r="P117" s="209">
        <v>1.2259873082370698E-2</v>
      </c>
    </row>
    <row r="118" spans="1:16" x14ac:dyDescent="0.25">
      <c r="A118" s="156" t="s">
        <v>61</v>
      </c>
      <c r="B118" s="157">
        <v>2</v>
      </c>
      <c r="C118" s="157">
        <v>25</v>
      </c>
      <c r="D118" s="157">
        <v>12</v>
      </c>
      <c r="E118" s="157">
        <v>158</v>
      </c>
      <c r="F118" s="202">
        <v>139.68</v>
      </c>
      <c r="G118" s="202">
        <v>539.01883099999986</v>
      </c>
      <c r="H118" s="202"/>
      <c r="I118" s="202">
        <v>159.06</v>
      </c>
      <c r="J118" s="202">
        <v>3444.6099999999992</v>
      </c>
      <c r="K118" s="202"/>
      <c r="L118" s="202">
        <v>678.69883099999993</v>
      </c>
      <c r="M118" s="202">
        <v>3603.6699999999992</v>
      </c>
      <c r="N118" s="202">
        <v>3603.6699999999992</v>
      </c>
      <c r="O118" s="202">
        <v>4282.3688309999989</v>
      </c>
      <c r="P118" s="208">
        <v>2.718995561345994E-4</v>
      </c>
    </row>
    <row r="119" spans="1:16" x14ac:dyDescent="0.25">
      <c r="A119" s="155" t="s">
        <v>265</v>
      </c>
      <c r="B119" s="158">
        <v>2</v>
      </c>
      <c r="C119" s="158">
        <v>25</v>
      </c>
      <c r="D119" s="158">
        <v>12</v>
      </c>
      <c r="E119" s="158">
        <v>158</v>
      </c>
      <c r="F119" s="204">
        <v>139.68</v>
      </c>
      <c r="G119" s="204">
        <v>539.01883099999986</v>
      </c>
      <c r="H119" s="204"/>
      <c r="I119" s="204">
        <v>159.06000000000003</v>
      </c>
      <c r="J119" s="204">
        <v>3444.6100000000006</v>
      </c>
      <c r="K119" s="204"/>
      <c r="L119" s="204">
        <v>678.69883099999993</v>
      </c>
      <c r="M119" s="204">
        <v>3603.6700000000005</v>
      </c>
      <c r="N119" s="204">
        <v>3603.6700000000005</v>
      </c>
      <c r="O119" s="204">
        <v>4282.3688310000007</v>
      </c>
      <c r="P119" s="209">
        <v>2.7189955613459951E-4</v>
      </c>
    </row>
    <row r="120" spans="1:16" x14ac:dyDescent="0.25">
      <c r="A120" s="156" t="s">
        <v>496</v>
      </c>
      <c r="B120" s="157">
        <v>18</v>
      </c>
      <c r="C120" s="157"/>
      <c r="D120" s="157">
        <v>202</v>
      </c>
      <c r="E120" s="157"/>
      <c r="F120" s="202">
        <v>1419.1197299999997</v>
      </c>
      <c r="G120" s="202"/>
      <c r="H120" s="202"/>
      <c r="I120" s="202">
        <v>4723.920000000001</v>
      </c>
      <c r="J120" s="202"/>
      <c r="K120" s="202">
        <v>40.5</v>
      </c>
      <c r="L120" s="202">
        <v>1419.1197299999997</v>
      </c>
      <c r="M120" s="202">
        <v>4764.420000000001</v>
      </c>
      <c r="N120" s="202">
        <v>4764.420000000001</v>
      </c>
      <c r="O120" s="202">
        <v>6183.5397300000004</v>
      </c>
      <c r="P120" s="208">
        <v>3.9261020577133492E-4</v>
      </c>
    </row>
    <row r="121" spans="1:16" x14ac:dyDescent="0.25">
      <c r="A121" s="155" t="s">
        <v>264</v>
      </c>
      <c r="B121" s="158">
        <v>18</v>
      </c>
      <c r="C121" s="158"/>
      <c r="D121" s="158">
        <v>202</v>
      </c>
      <c r="E121" s="158"/>
      <c r="F121" s="204">
        <v>1419.1197299999997</v>
      </c>
      <c r="G121" s="204"/>
      <c r="H121" s="204"/>
      <c r="I121" s="204">
        <v>4723.92</v>
      </c>
      <c r="J121" s="204"/>
      <c r="K121" s="204">
        <v>40.5</v>
      </c>
      <c r="L121" s="204">
        <v>1419.1197299999997</v>
      </c>
      <c r="M121" s="204">
        <v>4764.42</v>
      </c>
      <c r="N121" s="204">
        <v>4764.42</v>
      </c>
      <c r="O121" s="204">
        <v>6183.5397299999995</v>
      </c>
      <c r="P121" s="209">
        <v>3.9261020577133486E-4</v>
      </c>
    </row>
    <row r="122" spans="1:16" x14ac:dyDescent="0.25">
      <c r="A122" s="156" t="s">
        <v>359</v>
      </c>
      <c r="B122" s="157">
        <v>34</v>
      </c>
      <c r="C122" s="157">
        <v>4</v>
      </c>
      <c r="D122" s="157">
        <v>296</v>
      </c>
      <c r="E122" s="157">
        <v>16</v>
      </c>
      <c r="F122" s="202">
        <v>2112.660108</v>
      </c>
      <c r="G122" s="202">
        <v>36.503999999999998</v>
      </c>
      <c r="H122" s="202">
        <v>144</v>
      </c>
      <c r="I122" s="202">
        <v>5670.9599999999982</v>
      </c>
      <c r="J122" s="202">
        <v>258.57000000000005</v>
      </c>
      <c r="K122" s="202">
        <v>477.5</v>
      </c>
      <c r="L122" s="202">
        <v>2293.1641079999999</v>
      </c>
      <c r="M122" s="202">
        <v>6407.0299999999979</v>
      </c>
      <c r="N122" s="202">
        <v>6407.0299999999979</v>
      </c>
      <c r="O122" s="202">
        <v>8700.1941079999979</v>
      </c>
      <c r="P122" s="208">
        <v>5.5239962030492762E-4</v>
      </c>
    </row>
    <row r="123" spans="1:16" x14ac:dyDescent="0.25">
      <c r="A123" s="155" t="s">
        <v>263</v>
      </c>
      <c r="B123" s="158">
        <v>34</v>
      </c>
      <c r="C123" s="158">
        <v>4</v>
      </c>
      <c r="D123" s="158">
        <v>296</v>
      </c>
      <c r="E123" s="158">
        <v>16</v>
      </c>
      <c r="F123" s="204">
        <v>2112.660108</v>
      </c>
      <c r="G123" s="204">
        <v>36.503999999999998</v>
      </c>
      <c r="H123" s="204">
        <v>144</v>
      </c>
      <c r="I123" s="204">
        <v>5670.9600000000046</v>
      </c>
      <c r="J123" s="204">
        <v>258.57000000000005</v>
      </c>
      <c r="K123" s="204">
        <v>477.5</v>
      </c>
      <c r="L123" s="204">
        <v>2293.1641079999999</v>
      </c>
      <c r="M123" s="204">
        <v>6407.0300000000043</v>
      </c>
      <c r="N123" s="204">
        <v>6407.0300000000043</v>
      </c>
      <c r="O123" s="204">
        <v>8700.1941080000033</v>
      </c>
      <c r="P123" s="209">
        <v>5.5239962030492794E-4</v>
      </c>
    </row>
    <row r="124" spans="1:16" x14ac:dyDescent="0.25">
      <c r="A124" s="156" t="s">
        <v>64</v>
      </c>
      <c r="B124" s="157">
        <v>36</v>
      </c>
      <c r="C124" s="157">
        <v>47</v>
      </c>
      <c r="D124" s="157">
        <v>293</v>
      </c>
      <c r="E124" s="157">
        <v>158</v>
      </c>
      <c r="F124" s="202">
        <v>2995.919621999999</v>
      </c>
      <c r="G124" s="202">
        <v>702.70145200000047</v>
      </c>
      <c r="H124" s="202"/>
      <c r="I124" s="202">
        <v>6442.0599999999968</v>
      </c>
      <c r="J124" s="202">
        <v>3384.2250000000031</v>
      </c>
      <c r="K124" s="202"/>
      <c r="L124" s="202">
        <v>3698.6210739999997</v>
      </c>
      <c r="M124" s="202">
        <v>9826.2849999999999</v>
      </c>
      <c r="N124" s="202">
        <v>9826.2849999999999</v>
      </c>
      <c r="O124" s="202">
        <v>13524.906073999999</v>
      </c>
      <c r="P124" s="208">
        <v>8.5873405664220047E-4</v>
      </c>
    </row>
    <row r="125" spans="1:16" x14ac:dyDescent="0.25">
      <c r="A125" s="155" t="s">
        <v>262</v>
      </c>
      <c r="B125" s="158">
        <v>36</v>
      </c>
      <c r="C125" s="158">
        <v>47</v>
      </c>
      <c r="D125" s="158">
        <v>293</v>
      </c>
      <c r="E125" s="158">
        <v>158</v>
      </c>
      <c r="F125" s="204">
        <v>2995.919621999999</v>
      </c>
      <c r="G125" s="204">
        <v>702.70145200000047</v>
      </c>
      <c r="H125" s="204"/>
      <c r="I125" s="204">
        <v>6442.06</v>
      </c>
      <c r="J125" s="204">
        <v>3384.225000000004</v>
      </c>
      <c r="K125" s="204"/>
      <c r="L125" s="204">
        <v>3698.6210739999997</v>
      </c>
      <c r="M125" s="204">
        <v>9826.2850000000035</v>
      </c>
      <c r="N125" s="204">
        <v>9826.2850000000035</v>
      </c>
      <c r="O125" s="204">
        <v>13524.906074000002</v>
      </c>
      <c r="P125" s="209">
        <v>8.5873405664220069E-4</v>
      </c>
    </row>
    <row r="126" spans="1:16" x14ac:dyDescent="0.25">
      <c r="A126" s="156" t="s">
        <v>144</v>
      </c>
      <c r="B126" s="157"/>
      <c r="C126" s="157">
        <v>15</v>
      </c>
      <c r="D126" s="157"/>
      <c r="E126" s="157">
        <v>67</v>
      </c>
      <c r="F126" s="202"/>
      <c r="G126" s="202">
        <v>525.798</v>
      </c>
      <c r="H126" s="202"/>
      <c r="I126" s="202"/>
      <c r="J126" s="202">
        <v>1397.9550000000002</v>
      </c>
      <c r="K126" s="202"/>
      <c r="L126" s="202">
        <v>525.798</v>
      </c>
      <c r="M126" s="202">
        <v>1397.9550000000002</v>
      </c>
      <c r="N126" s="202">
        <v>1397.9550000000002</v>
      </c>
      <c r="O126" s="202">
        <v>1923.7530000000002</v>
      </c>
      <c r="P126" s="208">
        <v>1.2214445029258718E-4</v>
      </c>
    </row>
    <row r="127" spans="1:16" x14ac:dyDescent="0.25">
      <c r="A127" s="155" t="s">
        <v>260</v>
      </c>
      <c r="B127" s="158"/>
      <c r="C127" s="158">
        <v>15</v>
      </c>
      <c r="D127" s="158"/>
      <c r="E127" s="158">
        <v>67</v>
      </c>
      <c r="F127" s="204"/>
      <c r="G127" s="204">
        <v>525.798</v>
      </c>
      <c r="H127" s="204"/>
      <c r="I127" s="204"/>
      <c r="J127" s="204">
        <v>1397.9550000000002</v>
      </c>
      <c r="K127" s="204"/>
      <c r="L127" s="204">
        <v>525.798</v>
      </c>
      <c r="M127" s="204">
        <v>1397.9550000000002</v>
      </c>
      <c r="N127" s="204">
        <v>1397.9550000000002</v>
      </c>
      <c r="O127" s="204">
        <v>1923.7530000000002</v>
      </c>
      <c r="P127" s="209">
        <v>1.2214445029258718E-4</v>
      </c>
    </row>
    <row r="128" spans="1:16" x14ac:dyDescent="0.25">
      <c r="A128" s="156" t="s">
        <v>65</v>
      </c>
      <c r="B128" s="157"/>
      <c r="C128" s="157">
        <v>29</v>
      </c>
      <c r="D128" s="157"/>
      <c r="E128" s="157">
        <v>138</v>
      </c>
      <c r="F128" s="202"/>
      <c r="G128" s="202">
        <v>620.56783900000016</v>
      </c>
      <c r="H128" s="202"/>
      <c r="I128" s="202"/>
      <c r="J128" s="202">
        <v>1878.4350000000018</v>
      </c>
      <c r="K128" s="202"/>
      <c r="L128" s="202">
        <v>620.56783900000016</v>
      </c>
      <c r="M128" s="202">
        <v>1878.4350000000018</v>
      </c>
      <c r="N128" s="202">
        <v>1878.4350000000018</v>
      </c>
      <c r="O128" s="202">
        <v>2499.002839000002</v>
      </c>
      <c r="P128" s="208">
        <v>1.5866866902833677E-4</v>
      </c>
    </row>
    <row r="129" spans="1:16" x14ac:dyDescent="0.25">
      <c r="A129" s="155" t="s">
        <v>299</v>
      </c>
      <c r="B129" s="158"/>
      <c r="C129" s="158">
        <v>29</v>
      </c>
      <c r="D129" s="158"/>
      <c r="E129" s="158">
        <v>138</v>
      </c>
      <c r="F129" s="204"/>
      <c r="G129" s="204">
        <v>620.56783900000016</v>
      </c>
      <c r="H129" s="204"/>
      <c r="I129" s="204"/>
      <c r="J129" s="204">
        <v>1878.435000000002</v>
      </c>
      <c r="K129" s="204"/>
      <c r="L129" s="204">
        <v>620.56783900000016</v>
      </c>
      <c r="M129" s="204">
        <v>1878.435000000002</v>
      </c>
      <c r="N129" s="204">
        <v>1878.435000000002</v>
      </c>
      <c r="O129" s="204">
        <v>2499.002839000002</v>
      </c>
      <c r="P129" s="209">
        <v>1.5866866902833677E-4</v>
      </c>
    </row>
    <row r="130" spans="1:16" x14ac:dyDescent="0.25">
      <c r="A130" s="156" t="s">
        <v>66</v>
      </c>
      <c r="B130" s="157"/>
      <c r="C130" s="157">
        <v>14</v>
      </c>
      <c r="D130" s="157"/>
      <c r="E130" s="157">
        <v>95</v>
      </c>
      <c r="F130" s="202"/>
      <c r="G130" s="202">
        <v>292.03214600000001</v>
      </c>
      <c r="H130" s="202"/>
      <c r="I130" s="202"/>
      <c r="J130" s="202">
        <v>1424.6699999999998</v>
      </c>
      <c r="K130" s="202"/>
      <c r="L130" s="202">
        <v>292.03214600000001</v>
      </c>
      <c r="M130" s="202">
        <v>1424.6699999999998</v>
      </c>
      <c r="N130" s="202">
        <v>1424.6699999999998</v>
      </c>
      <c r="O130" s="202">
        <v>1716.7021459999999</v>
      </c>
      <c r="P130" s="208">
        <v>1.0899821335653521E-4</v>
      </c>
    </row>
    <row r="131" spans="1:16" x14ac:dyDescent="0.25">
      <c r="A131" s="155" t="s">
        <v>259</v>
      </c>
      <c r="B131" s="158"/>
      <c r="C131" s="158">
        <v>14</v>
      </c>
      <c r="D131" s="158"/>
      <c r="E131" s="158">
        <v>95</v>
      </c>
      <c r="F131" s="204"/>
      <c r="G131" s="204">
        <v>292.03214600000001</v>
      </c>
      <c r="H131" s="204"/>
      <c r="I131" s="204"/>
      <c r="J131" s="204">
        <v>1424.6699999999994</v>
      </c>
      <c r="K131" s="204"/>
      <c r="L131" s="204">
        <v>292.03214600000001</v>
      </c>
      <c r="M131" s="204">
        <v>1424.6699999999994</v>
      </c>
      <c r="N131" s="204">
        <v>1424.6699999999994</v>
      </c>
      <c r="O131" s="204">
        <v>1716.7021459999994</v>
      </c>
      <c r="P131" s="209">
        <v>1.0899821335653519E-4</v>
      </c>
    </row>
    <row r="132" spans="1:16" x14ac:dyDescent="0.25">
      <c r="A132" s="156" t="s">
        <v>67</v>
      </c>
      <c r="B132" s="157">
        <v>21</v>
      </c>
      <c r="C132" s="157"/>
      <c r="D132" s="157">
        <v>221</v>
      </c>
      <c r="E132" s="157"/>
      <c r="F132" s="202">
        <v>1576.80054</v>
      </c>
      <c r="G132" s="202"/>
      <c r="H132" s="202"/>
      <c r="I132" s="202">
        <v>5042.6600000000008</v>
      </c>
      <c r="J132" s="202"/>
      <c r="K132" s="202"/>
      <c r="L132" s="202">
        <v>1576.80054</v>
      </c>
      <c r="M132" s="202">
        <v>5042.6600000000008</v>
      </c>
      <c r="N132" s="202">
        <v>5042.6600000000008</v>
      </c>
      <c r="O132" s="202">
        <v>6619.4605400000009</v>
      </c>
      <c r="P132" s="208">
        <v>4.2028803536200971E-4</v>
      </c>
    </row>
    <row r="133" spans="1:16" x14ac:dyDescent="0.25">
      <c r="A133" s="155" t="s">
        <v>258</v>
      </c>
      <c r="B133" s="158">
        <v>21</v>
      </c>
      <c r="C133" s="158"/>
      <c r="D133" s="158">
        <v>221</v>
      </c>
      <c r="E133" s="158"/>
      <c r="F133" s="204">
        <v>1576.80054</v>
      </c>
      <c r="G133" s="204"/>
      <c r="H133" s="204"/>
      <c r="I133" s="204">
        <v>5042.66</v>
      </c>
      <c r="J133" s="204"/>
      <c r="K133" s="204"/>
      <c r="L133" s="204">
        <v>1576.80054</v>
      </c>
      <c r="M133" s="204">
        <v>5042.66</v>
      </c>
      <c r="N133" s="204">
        <v>5042.66</v>
      </c>
      <c r="O133" s="204">
        <v>6619.46054</v>
      </c>
      <c r="P133" s="209">
        <v>4.2028803536200965E-4</v>
      </c>
    </row>
    <row r="134" spans="1:16" x14ac:dyDescent="0.25">
      <c r="A134" s="156" t="s">
        <v>468</v>
      </c>
      <c r="B134" s="157">
        <v>120</v>
      </c>
      <c r="C134" s="157">
        <v>36</v>
      </c>
      <c r="D134" s="157">
        <v>1582</v>
      </c>
      <c r="E134" s="157">
        <v>140</v>
      </c>
      <c r="F134" s="202">
        <v>7847.6402159999925</v>
      </c>
      <c r="G134" s="202">
        <v>1259.3884320000002</v>
      </c>
      <c r="H134" s="202">
        <v>31973.040000000055</v>
      </c>
      <c r="I134" s="202">
        <v>28205.749999999935</v>
      </c>
      <c r="J134" s="202">
        <v>2246.010000000002</v>
      </c>
      <c r="K134" s="202">
        <v>105323.04</v>
      </c>
      <c r="L134" s="202">
        <v>41080.068648000044</v>
      </c>
      <c r="M134" s="202">
        <v>135774.79999999993</v>
      </c>
      <c r="N134" s="202">
        <v>135774.79999999993</v>
      </c>
      <c r="O134" s="202">
        <v>176854.86864799997</v>
      </c>
      <c r="P134" s="208">
        <v>1.122900949996058E-2</v>
      </c>
    </row>
    <row r="135" spans="1:16" x14ac:dyDescent="0.25">
      <c r="A135" s="155" t="s">
        <v>296</v>
      </c>
      <c r="B135" s="158">
        <v>120</v>
      </c>
      <c r="C135" s="158">
        <v>36</v>
      </c>
      <c r="D135" s="158">
        <v>1582</v>
      </c>
      <c r="E135" s="158">
        <v>140</v>
      </c>
      <c r="F135" s="204">
        <v>7847.6402159999925</v>
      </c>
      <c r="G135" s="204">
        <v>1259.3884320000002</v>
      </c>
      <c r="H135" s="204">
        <v>31973.040000000055</v>
      </c>
      <c r="I135" s="204">
        <v>28205.749999999938</v>
      </c>
      <c r="J135" s="204">
        <v>2246.010000000002</v>
      </c>
      <c r="K135" s="204">
        <v>105323.03999999927</v>
      </c>
      <c r="L135" s="204">
        <v>41080.068648000044</v>
      </c>
      <c r="M135" s="204">
        <v>135774.7999999992</v>
      </c>
      <c r="N135" s="204">
        <v>135774.7999999992</v>
      </c>
      <c r="O135" s="204">
        <v>176854.86864799925</v>
      </c>
      <c r="P135" s="209">
        <v>1.1229009499960533E-2</v>
      </c>
    </row>
    <row r="136" spans="1:16" x14ac:dyDescent="0.25">
      <c r="A136" s="156" t="s">
        <v>68</v>
      </c>
      <c r="B136" s="157">
        <v>293</v>
      </c>
      <c r="C136" s="157">
        <v>137</v>
      </c>
      <c r="D136" s="157">
        <v>3003</v>
      </c>
      <c r="E136" s="157">
        <v>718</v>
      </c>
      <c r="F136" s="202">
        <v>18674.640323999938</v>
      </c>
      <c r="G136" s="202">
        <v>2323.620363</v>
      </c>
      <c r="H136" s="202">
        <v>936</v>
      </c>
      <c r="I136" s="202">
        <v>58281.900000000183</v>
      </c>
      <c r="J136" s="202">
        <v>16120.909999999911</v>
      </c>
      <c r="K136" s="202">
        <v>3698</v>
      </c>
      <c r="L136" s="202">
        <v>21934.260686999936</v>
      </c>
      <c r="M136" s="202">
        <v>78100.8100000001</v>
      </c>
      <c r="N136" s="202">
        <v>78100.8100000001</v>
      </c>
      <c r="O136" s="202">
        <v>100035.07068700003</v>
      </c>
      <c r="P136" s="208">
        <v>6.3515059984539171E-3</v>
      </c>
    </row>
    <row r="137" spans="1:16" x14ac:dyDescent="0.25">
      <c r="A137" s="155" t="s">
        <v>257</v>
      </c>
      <c r="B137" s="158">
        <v>293</v>
      </c>
      <c r="C137" s="158">
        <v>137</v>
      </c>
      <c r="D137" s="158">
        <v>3003</v>
      </c>
      <c r="E137" s="158">
        <v>718</v>
      </c>
      <c r="F137" s="204">
        <v>18674.640323999938</v>
      </c>
      <c r="G137" s="204">
        <v>2323.620363</v>
      </c>
      <c r="H137" s="204">
        <v>936</v>
      </c>
      <c r="I137" s="204">
        <v>58281.900000000322</v>
      </c>
      <c r="J137" s="204">
        <v>16120.909999999869</v>
      </c>
      <c r="K137" s="204">
        <v>3698</v>
      </c>
      <c r="L137" s="204">
        <v>21934.260686999936</v>
      </c>
      <c r="M137" s="204">
        <v>78100.810000000187</v>
      </c>
      <c r="N137" s="204">
        <v>78100.810000000187</v>
      </c>
      <c r="O137" s="204">
        <v>100035.07068700012</v>
      </c>
      <c r="P137" s="209">
        <v>6.3515059984539223E-3</v>
      </c>
    </row>
    <row r="138" spans="1:16" x14ac:dyDescent="0.25">
      <c r="A138" s="156" t="s">
        <v>69</v>
      </c>
      <c r="B138" s="157">
        <v>431</v>
      </c>
      <c r="C138" s="157">
        <v>343</v>
      </c>
      <c r="D138" s="157">
        <v>4222</v>
      </c>
      <c r="E138" s="157">
        <v>1011</v>
      </c>
      <c r="F138" s="202">
        <v>25549.741188000007</v>
      </c>
      <c r="G138" s="202">
        <v>3568.2680850000215</v>
      </c>
      <c r="H138" s="202">
        <v>1872</v>
      </c>
      <c r="I138" s="202">
        <v>84365.760000000068</v>
      </c>
      <c r="J138" s="202">
        <v>27112.052500000122</v>
      </c>
      <c r="K138" s="202">
        <v>6267.25</v>
      </c>
      <c r="L138" s="202">
        <v>30990.009273000029</v>
      </c>
      <c r="M138" s="202">
        <v>117745.06250000019</v>
      </c>
      <c r="N138" s="202">
        <v>117745.06250000019</v>
      </c>
      <c r="O138" s="202">
        <v>148735.07177300021</v>
      </c>
      <c r="P138" s="208">
        <v>9.4436050682918278E-3</v>
      </c>
    </row>
    <row r="139" spans="1:16" x14ac:dyDescent="0.25">
      <c r="A139" s="155" t="s">
        <v>255</v>
      </c>
      <c r="B139" s="158">
        <v>431</v>
      </c>
      <c r="C139" s="158">
        <v>343</v>
      </c>
      <c r="D139" s="158">
        <v>4222</v>
      </c>
      <c r="E139" s="158">
        <v>1011</v>
      </c>
      <c r="F139" s="204">
        <v>25549.741188000007</v>
      </c>
      <c r="G139" s="204">
        <v>3568.2680850000215</v>
      </c>
      <c r="H139" s="204">
        <v>1872</v>
      </c>
      <c r="I139" s="204">
        <v>84365.760000000591</v>
      </c>
      <c r="J139" s="204">
        <v>27112.052500000038</v>
      </c>
      <c r="K139" s="204">
        <v>6267.25</v>
      </c>
      <c r="L139" s="204">
        <v>30990.009273000029</v>
      </c>
      <c r="M139" s="204">
        <v>117745.06250000063</v>
      </c>
      <c r="N139" s="204">
        <v>117745.06250000063</v>
      </c>
      <c r="O139" s="204">
        <v>148735.07177300064</v>
      </c>
      <c r="P139" s="209">
        <v>9.4436050682918556E-3</v>
      </c>
    </row>
    <row r="140" spans="1:16" x14ac:dyDescent="0.25">
      <c r="A140" s="156" t="s">
        <v>70</v>
      </c>
      <c r="B140" s="157">
        <v>633</v>
      </c>
      <c r="C140" s="157">
        <v>286</v>
      </c>
      <c r="D140" s="157">
        <v>6364</v>
      </c>
      <c r="E140" s="157">
        <v>1281</v>
      </c>
      <c r="F140" s="202">
        <v>39155.942700000378</v>
      </c>
      <c r="G140" s="202">
        <v>5922.8916370000024</v>
      </c>
      <c r="H140" s="202">
        <v>3096</v>
      </c>
      <c r="I140" s="202">
        <v>120229.74999999984</v>
      </c>
      <c r="J140" s="202">
        <v>23445.694999999934</v>
      </c>
      <c r="K140" s="202">
        <v>10022.25</v>
      </c>
      <c r="L140" s="202">
        <v>48174.834337000379</v>
      </c>
      <c r="M140" s="202">
        <v>153697.69499999977</v>
      </c>
      <c r="N140" s="202">
        <v>153697.69499999977</v>
      </c>
      <c r="O140" s="202">
        <v>201872.52933700016</v>
      </c>
      <c r="P140" s="208">
        <v>1.2817450642074143E-2</v>
      </c>
    </row>
    <row r="141" spans="1:16" x14ac:dyDescent="0.25">
      <c r="A141" s="155" t="s">
        <v>254</v>
      </c>
      <c r="B141" s="158">
        <v>633</v>
      </c>
      <c r="C141" s="158">
        <v>286</v>
      </c>
      <c r="D141" s="158">
        <v>6364</v>
      </c>
      <c r="E141" s="158">
        <v>1281</v>
      </c>
      <c r="F141" s="204">
        <v>39155.942700000378</v>
      </c>
      <c r="G141" s="204">
        <v>5922.8916370000024</v>
      </c>
      <c r="H141" s="204">
        <v>3096</v>
      </c>
      <c r="I141" s="204">
        <v>120229.75000000089</v>
      </c>
      <c r="J141" s="204">
        <v>23445.694999999861</v>
      </c>
      <c r="K141" s="204">
        <v>10022.25</v>
      </c>
      <c r="L141" s="204">
        <v>48174.834337000379</v>
      </c>
      <c r="M141" s="204">
        <v>153697.69500000076</v>
      </c>
      <c r="N141" s="204">
        <v>153697.69500000076</v>
      </c>
      <c r="O141" s="204">
        <v>201872.52933700115</v>
      </c>
      <c r="P141" s="209">
        <v>1.2817450642074206E-2</v>
      </c>
    </row>
    <row r="142" spans="1:16" x14ac:dyDescent="0.25">
      <c r="A142" s="156" t="s">
        <v>71</v>
      </c>
      <c r="B142" s="157">
        <v>1094</v>
      </c>
      <c r="C142" s="157">
        <v>776</v>
      </c>
      <c r="D142" s="157">
        <v>11629</v>
      </c>
      <c r="E142" s="157">
        <v>3018</v>
      </c>
      <c r="F142" s="202">
        <v>69580.634471999685</v>
      </c>
      <c r="G142" s="202">
        <v>10369.006243000089</v>
      </c>
      <c r="H142" s="202">
        <v>5760</v>
      </c>
      <c r="I142" s="202">
        <v>221124.15999999875</v>
      </c>
      <c r="J142" s="202">
        <v>69888.812500000189</v>
      </c>
      <c r="K142" s="202">
        <v>17157.5</v>
      </c>
      <c r="L142" s="202">
        <v>85709.640714999769</v>
      </c>
      <c r="M142" s="202">
        <v>308170.47249999893</v>
      </c>
      <c r="N142" s="202">
        <v>308170.47249999893</v>
      </c>
      <c r="O142" s="202">
        <v>393880.11321499868</v>
      </c>
      <c r="P142" s="208">
        <v>2.5008548347853394E-2</v>
      </c>
    </row>
    <row r="143" spans="1:16" x14ac:dyDescent="0.25">
      <c r="A143" s="155" t="s">
        <v>253</v>
      </c>
      <c r="B143" s="158">
        <v>1094</v>
      </c>
      <c r="C143" s="158">
        <v>776</v>
      </c>
      <c r="D143" s="158">
        <v>11629</v>
      </c>
      <c r="E143" s="158">
        <v>3018</v>
      </c>
      <c r="F143" s="204">
        <v>69580.634471999685</v>
      </c>
      <c r="G143" s="204">
        <v>10369.006243000089</v>
      </c>
      <c r="H143" s="204">
        <v>5760</v>
      </c>
      <c r="I143" s="204">
        <v>221124.15999999855</v>
      </c>
      <c r="J143" s="204">
        <v>69888.812500000146</v>
      </c>
      <c r="K143" s="204">
        <v>17157.5</v>
      </c>
      <c r="L143" s="204">
        <v>85709.640714999769</v>
      </c>
      <c r="M143" s="204">
        <v>308170.47249999869</v>
      </c>
      <c r="N143" s="204">
        <v>308170.47249999869</v>
      </c>
      <c r="O143" s="204">
        <v>393880.11321499845</v>
      </c>
      <c r="P143" s="209">
        <v>2.500854834785338E-2</v>
      </c>
    </row>
    <row r="144" spans="1:16" x14ac:dyDescent="0.25">
      <c r="A144" s="156" t="s">
        <v>497</v>
      </c>
      <c r="B144" s="157">
        <v>119</v>
      </c>
      <c r="C144" s="157">
        <v>17</v>
      </c>
      <c r="D144" s="157">
        <v>1011</v>
      </c>
      <c r="E144" s="157">
        <v>85</v>
      </c>
      <c r="F144" s="202">
        <v>7318.8005940000185</v>
      </c>
      <c r="G144" s="202">
        <v>269.10000000000008</v>
      </c>
      <c r="H144" s="202">
        <v>324</v>
      </c>
      <c r="I144" s="202">
        <v>21422.439999999995</v>
      </c>
      <c r="J144" s="202">
        <v>1597.7324999999996</v>
      </c>
      <c r="K144" s="202">
        <v>886.5</v>
      </c>
      <c r="L144" s="202">
        <v>7911.9005940000188</v>
      </c>
      <c r="M144" s="202">
        <v>23906.672499999993</v>
      </c>
      <c r="N144" s="202">
        <v>23906.672499999993</v>
      </c>
      <c r="O144" s="202">
        <v>31818.573094000014</v>
      </c>
      <c r="P144" s="208">
        <v>2.0202500631116031E-3</v>
      </c>
    </row>
    <row r="145" spans="1:16" x14ac:dyDescent="0.25">
      <c r="A145" s="155" t="s">
        <v>251</v>
      </c>
      <c r="B145" s="158">
        <v>119</v>
      </c>
      <c r="C145" s="158">
        <v>17</v>
      </c>
      <c r="D145" s="158">
        <v>1011</v>
      </c>
      <c r="E145" s="158">
        <v>85</v>
      </c>
      <c r="F145" s="204">
        <v>7318.8005940000185</v>
      </c>
      <c r="G145" s="204">
        <v>269.10000000000008</v>
      </c>
      <c r="H145" s="204">
        <v>324</v>
      </c>
      <c r="I145" s="204">
        <v>21422.439999999893</v>
      </c>
      <c r="J145" s="204">
        <v>1597.7325000000001</v>
      </c>
      <c r="K145" s="204">
        <v>886.5</v>
      </c>
      <c r="L145" s="204">
        <v>7911.9005940000188</v>
      </c>
      <c r="M145" s="204">
        <v>23906.672499999891</v>
      </c>
      <c r="N145" s="204">
        <v>23906.672499999891</v>
      </c>
      <c r="O145" s="204">
        <v>31818.573093999912</v>
      </c>
      <c r="P145" s="209">
        <v>2.0202500631115966E-3</v>
      </c>
    </row>
    <row r="146" spans="1:16" x14ac:dyDescent="0.25">
      <c r="A146" s="156" t="s">
        <v>73</v>
      </c>
      <c r="B146" s="157"/>
      <c r="C146" s="157">
        <v>112</v>
      </c>
      <c r="D146" s="157"/>
      <c r="E146" s="157">
        <v>330</v>
      </c>
      <c r="F146" s="202"/>
      <c r="G146" s="202">
        <v>1104.2465359999985</v>
      </c>
      <c r="H146" s="202"/>
      <c r="I146" s="202"/>
      <c r="J146" s="202">
        <v>9267.9600000000082</v>
      </c>
      <c r="K146" s="202"/>
      <c r="L146" s="202">
        <v>1104.2465359999985</v>
      </c>
      <c r="M146" s="202">
        <v>9267.9600000000082</v>
      </c>
      <c r="N146" s="202">
        <v>4988.8779922800059</v>
      </c>
      <c r="O146" s="202">
        <v>6093.1245282800046</v>
      </c>
      <c r="P146" s="208">
        <v>3.86869492118292E-4</v>
      </c>
    </row>
    <row r="147" spans="1:16" x14ac:dyDescent="0.25">
      <c r="A147" s="155" t="s">
        <v>247</v>
      </c>
      <c r="B147" s="158"/>
      <c r="C147" s="158">
        <v>112</v>
      </c>
      <c r="D147" s="158"/>
      <c r="E147" s="158">
        <v>330</v>
      </c>
      <c r="F147" s="204"/>
      <c r="G147" s="204">
        <v>1104.2465359999985</v>
      </c>
      <c r="H147" s="204"/>
      <c r="I147" s="204"/>
      <c r="J147" s="204">
        <v>9267.9600000000082</v>
      </c>
      <c r="K147" s="204"/>
      <c r="L147" s="204">
        <v>1104.2465359999985</v>
      </c>
      <c r="M147" s="204">
        <v>9267.9600000000082</v>
      </c>
      <c r="N147" s="204">
        <v>4988.8779922800059</v>
      </c>
      <c r="O147" s="204">
        <v>6093.1245282800046</v>
      </c>
      <c r="P147" s="209">
        <v>3.86869492118292E-4</v>
      </c>
    </row>
    <row r="148" spans="1:16" x14ac:dyDescent="0.25">
      <c r="A148" s="156" t="s">
        <v>74</v>
      </c>
      <c r="B148" s="157">
        <v>32</v>
      </c>
      <c r="C148" s="157">
        <v>32</v>
      </c>
      <c r="D148" s="157">
        <v>442</v>
      </c>
      <c r="E148" s="157">
        <v>150</v>
      </c>
      <c r="F148" s="202">
        <v>1920.599999999999</v>
      </c>
      <c r="G148" s="202">
        <v>374.16601599999979</v>
      </c>
      <c r="H148" s="202">
        <v>288</v>
      </c>
      <c r="I148" s="202">
        <v>8853.2300000000014</v>
      </c>
      <c r="J148" s="202">
        <v>2993.8350000000023</v>
      </c>
      <c r="K148" s="202">
        <v>1749.5</v>
      </c>
      <c r="L148" s="202">
        <v>2582.7660159999987</v>
      </c>
      <c r="M148" s="202">
        <v>13596.565000000004</v>
      </c>
      <c r="N148" s="202">
        <v>13596.565000000004</v>
      </c>
      <c r="O148" s="202">
        <v>16179.331016000004</v>
      </c>
      <c r="P148" s="208">
        <v>1.0272709090258085E-3</v>
      </c>
    </row>
    <row r="149" spans="1:16" x14ac:dyDescent="0.25">
      <c r="A149" s="155" t="s">
        <v>249</v>
      </c>
      <c r="B149" s="158">
        <v>32</v>
      </c>
      <c r="C149" s="158">
        <v>32</v>
      </c>
      <c r="D149" s="158">
        <v>442</v>
      </c>
      <c r="E149" s="158">
        <v>150</v>
      </c>
      <c r="F149" s="204">
        <v>1920.599999999999</v>
      </c>
      <c r="G149" s="204">
        <v>374.16601599999979</v>
      </c>
      <c r="H149" s="204">
        <v>288</v>
      </c>
      <c r="I149" s="204">
        <v>8853.2300000000014</v>
      </c>
      <c r="J149" s="204">
        <v>2993.8350000000046</v>
      </c>
      <c r="K149" s="204">
        <v>1749.5</v>
      </c>
      <c r="L149" s="204">
        <v>2582.7660159999987</v>
      </c>
      <c r="M149" s="204">
        <v>13596.565000000006</v>
      </c>
      <c r="N149" s="204">
        <v>13596.565000000006</v>
      </c>
      <c r="O149" s="204">
        <v>16179.331016000004</v>
      </c>
      <c r="P149" s="209">
        <v>1.0272709090258085E-3</v>
      </c>
    </row>
    <row r="150" spans="1:16" x14ac:dyDescent="0.25">
      <c r="A150" s="156" t="s">
        <v>441</v>
      </c>
      <c r="B150" s="157">
        <v>262</v>
      </c>
      <c r="C150" s="157">
        <v>166</v>
      </c>
      <c r="D150" s="157">
        <v>2618</v>
      </c>
      <c r="E150" s="157">
        <v>573</v>
      </c>
      <c r="F150" s="202">
        <v>12776.396273999999</v>
      </c>
      <c r="G150" s="202">
        <v>2144.6086780000037</v>
      </c>
      <c r="H150" s="202">
        <v>720</v>
      </c>
      <c r="I150" s="202">
        <v>36854.610000000008</v>
      </c>
      <c r="J150" s="202">
        <v>15235.349999999991</v>
      </c>
      <c r="K150" s="202">
        <v>2774.5</v>
      </c>
      <c r="L150" s="202">
        <v>15641.004952000003</v>
      </c>
      <c r="M150" s="202">
        <v>54864.46</v>
      </c>
      <c r="N150" s="202">
        <v>54864.46</v>
      </c>
      <c r="O150" s="202">
        <v>70505.464952000009</v>
      </c>
      <c r="P150" s="208">
        <v>4.4765888651949141E-3</v>
      </c>
    </row>
    <row r="151" spans="1:16" x14ac:dyDescent="0.25">
      <c r="A151" s="155" t="s">
        <v>280</v>
      </c>
      <c r="B151" s="158">
        <v>262</v>
      </c>
      <c r="C151" s="158">
        <v>166</v>
      </c>
      <c r="D151" s="158">
        <v>2618</v>
      </c>
      <c r="E151" s="158">
        <v>573</v>
      </c>
      <c r="F151" s="204">
        <v>12776.396273999999</v>
      </c>
      <c r="G151" s="204">
        <v>2144.6086780000037</v>
      </c>
      <c r="H151" s="204">
        <v>720</v>
      </c>
      <c r="I151" s="204">
        <v>36854.609999999993</v>
      </c>
      <c r="J151" s="204">
        <v>15235.349999999973</v>
      </c>
      <c r="K151" s="204">
        <v>2774.5</v>
      </c>
      <c r="L151" s="204">
        <v>15641.004952000003</v>
      </c>
      <c r="M151" s="204">
        <v>54864.459999999963</v>
      </c>
      <c r="N151" s="204">
        <v>54864.459999999963</v>
      </c>
      <c r="O151" s="204">
        <v>70505.464951999966</v>
      </c>
      <c r="P151" s="209">
        <v>4.4765888651949115E-3</v>
      </c>
    </row>
    <row r="152" spans="1:16" x14ac:dyDescent="0.25">
      <c r="A152" s="156" t="s">
        <v>75</v>
      </c>
      <c r="B152" s="157">
        <v>374</v>
      </c>
      <c r="C152" s="157">
        <v>112</v>
      </c>
      <c r="D152" s="157">
        <v>3422</v>
      </c>
      <c r="E152" s="157">
        <v>338</v>
      </c>
      <c r="F152" s="202">
        <v>25763.221619999975</v>
      </c>
      <c r="G152" s="202">
        <v>1564.0559329999978</v>
      </c>
      <c r="H152" s="202">
        <v>336.24</v>
      </c>
      <c r="I152" s="202">
        <v>68860.220000000249</v>
      </c>
      <c r="J152" s="202">
        <v>8366.9299999999803</v>
      </c>
      <c r="K152" s="202">
        <v>13588.599999999988</v>
      </c>
      <c r="L152" s="202">
        <v>27663.517552999972</v>
      </c>
      <c r="M152" s="202">
        <v>90815.750000000218</v>
      </c>
      <c r="N152" s="202">
        <v>90815.750000000218</v>
      </c>
      <c r="O152" s="202">
        <v>118479.26755300019</v>
      </c>
      <c r="P152" s="208">
        <v>7.5225795652194257E-3</v>
      </c>
    </row>
    <row r="153" spans="1:16" x14ac:dyDescent="0.25">
      <c r="A153" s="155" t="s">
        <v>246</v>
      </c>
      <c r="B153" s="158">
        <v>374</v>
      </c>
      <c r="C153" s="158">
        <v>112</v>
      </c>
      <c r="D153" s="158">
        <v>3422</v>
      </c>
      <c r="E153" s="158">
        <v>338</v>
      </c>
      <c r="F153" s="204">
        <v>25763.221619999975</v>
      </c>
      <c r="G153" s="204">
        <v>1564.0559329999978</v>
      </c>
      <c r="H153" s="204">
        <v>336.24</v>
      </c>
      <c r="I153" s="204">
        <v>68860.220000000394</v>
      </c>
      <c r="J153" s="204">
        <v>8366.9299999999785</v>
      </c>
      <c r="K153" s="204">
        <v>13588.599999999995</v>
      </c>
      <c r="L153" s="204">
        <v>27663.517552999972</v>
      </c>
      <c r="M153" s="204">
        <v>90815.750000000364</v>
      </c>
      <c r="N153" s="204">
        <v>90815.750000000364</v>
      </c>
      <c r="O153" s="204">
        <v>118479.26755300033</v>
      </c>
      <c r="P153" s="209">
        <v>7.5225795652194352E-3</v>
      </c>
    </row>
    <row r="154" spans="1:16" x14ac:dyDescent="0.25">
      <c r="A154" s="156" t="s">
        <v>76</v>
      </c>
      <c r="B154" s="157">
        <v>13</v>
      </c>
      <c r="C154" s="157"/>
      <c r="D154" s="157">
        <v>142</v>
      </c>
      <c r="E154" s="157"/>
      <c r="F154" s="202">
        <v>1287.7199460000002</v>
      </c>
      <c r="G154" s="202"/>
      <c r="H154" s="202"/>
      <c r="I154" s="202">
        <v>3593.04</v>
      </c>
      <c r="J154" s="202"/>
      <c r="K154" s="202">
        <v>15</v>
      </c>
      <c r="L154" s="202">
        <v>1287.7199460000002</v>
      </c>
      <c r="M154" s="202">
        <v>3608.04</v>
      </c>
      <c r="N154" s="202">
        <v>3608.04</v>
      </c>
      <c r="O154" s="202">
        <v>4895.7599460000001</v>
      </c>
      <c r="P154" s="208">
        <v>3.1084547099790682E-4</v>
      </c>
    </row>
    <row r="155" spans="1:16" x14ac:dyDescent="0.25">
      <c r="A155" s="155" t="s">
        <v>245</v>
      </c>
      <c r="B155" s="158">
        <v>13</v>
      </c>
      <c r="C155" s="158"/>
      <c r="D155" s="158">
        <v>142</v>
      </c>
      <c r="E155" s="158"/>
      <c r="F155" s="204">
        <v>1287.7199460000002</v>
      </c>
      <c r="G155" s="204"/>
      <c r="H155" s="204"/>
      <c r="I155" s="204">
        <v>3593.04</v>
      </c>
      <c r="J155" s="204"/>
      <c r="K155" s="204">
        <v>15</v>
      </c>
      <c r="L155" s="204">
        <v>1287.7199460000002</v>
      </c>
      <c r="M155" s="204">
        <v>3608.04</v>
      </c>
      <c r="N155" s="204">
        <v>3608.04</v>
      </c>
      <c r="O155" s="204">
        <v>4895.7599460000001</v>
      </c>
      <c r="P155" s="209">
        <v>3.1084547099790682E-4</v>
      </c>
    </row>
    <row r="156" spans="1:16" x14ac:dyDescent="0.25">
      <c r="A156" s="156" t="s">
        <v>77</v>
      </c>
      <c r="B156" s="157">
        <v>13</v>
      </c>
      <c r="C156" s="157"/>
      <c r="D156" s="157">
        <v>173</v>
      </c>
      <c r="E156" s="157"/>
      <c r="F156" s="202">
        <v>943.73989200000005</v>
      </c>
      <c r="G156" s="202"/>
      <c r="H156" s="202"/>
      <c r="I156" s="202">
        <v>2715.1800000000003</v>
      </c>
      <c r="J156" s="202"/>
      <c r="K156" s="202">
        <v>62.5</v>
      </c>
      <c r="L156" s="202">
        <v>943.73989200000005</v>
      </c>
      <c r="M156" s="202">
        <v>2777.6800000000003</v>
      </c>
      <c r="N156" s="202">
        <v>2777.6800000000003</v>
      </c>
      <c r="O156" s="202">
        <v>3721.4198920000003</v>
      </c>
      <c r="P156" s="208">
        <v>2.3628334147691473E-4</v>
      </c>
    </row>
    <row r="157" spans="1:16" x14ac:dyDescent="0.25">
      <c r="A157" s="155" t="s">
        <v>241</v>
      </c>
      <c r="B157" s="158">
        <v>13</v>
      </c>
      <c r="C157" s="158"/>
      <c r="D157" s="158">
        <v>173</v>
      </c>
      <c r="E157" s="158"/>
      <c r="F157" s="204">
        <v>943.73989200000005</v>
      </c>
      <c r="G157" s="204"/>
      <c r="H157" s="204"/>
      <c r="I157" s="204">
        <v>2715.18</v>
      </c>
      <c r="J157" s="204"/>
      <c r="K157" s="204">
        <v>62.5</v>
      </c>
      <c r="L157" s="204">
        <v>943.73989200000005</v>
      </c>
      <c r="M157" s="204">
        <v>2777.68</v>
      </c>
      <c r="N157" s="204">
        <v>2777.68</v>
      </c>
      <c r="O157" s="204">
        <v>3721.4198919999999</v>
      </c>
      <c r="P157" s="209">
        <v>2.362833414769147E-4</v>
      </c>
    </row>
    <row r="158" spans="1:16" x14ac:dyDescent="0.25">
      <c r="A158" s="156" t="s">
        <v>79</v>
      </c>
      <c r="B158" s="157"/>
      <c r="C158" s="157">
        <v>59</v>
      </c>
      <c r="D158" s="157"/>
      <c r="E158" s="157">
        <v>208</v>
      </c>
      <c r="F158" s="202"/>
      <c r="G158" s="202">
        <v>1126.0083610000008</v>
      </c>
      <c r="H158" s="202"/>
      <c r="I158" s="202"/>
      <c r="J158" s="202">
        <v>5845.58</v>
      </c>
      <c r="K158" s="202"/>
      <c r="L158" s="202">
        <v>1126.0083610000008</v>
      </c>
      <c r="M158" s="202">
        <v>5845.58</v>
      </c>
      <c r="N158" s="202">
        <v>3656.3050695600045</v>
      </c>
      <c r="O158" s="202">
        <v>4782.3134305600051</v>
      </c>
      <c r="P158" s="208">
        <v>3.0364243491893633E-4</v>
      </c>
    </row>
    <row r="159" spans="1:16" x14ac:dyDescent="0.25">
      <c r="A159" s="155" t="s">
        <v>239</v>
      </c>
      <c r="B159" s="158"/>
      <c r="C159" s="158">
        <v>59</v>
      </c>
      <c r="D159" s="158"/>
      <c r="E159" s="158">
        <v>208</v>
      </c>
      <c r="F159" s="204"/>
      <c r="G159" s="204">
        <v>1126.0083610000008</v>
      </c>
      <c r="H159" s="204"/>
      <c r="I159" s="204"/>
      <c r="J159" s="204">
        <v>5845.58</v>
      </c>
      <c r="K159" s="204"/>
      <c r="L159" s="204">
        <v>1126.0083610000008</v>
      </c>
      <c r="M159" s="204">
        <v>5845.58</v>
      </c>
      <c r="N159" s="204">
        <v>3656.3050695600045</v>
      </c>
      <c r="O159" s="204">
        <v>4782.3134305600051</v>
      </c>
      <c r="P159" s="209">
        <v>3.0364243491893633E-4</v>
      </c>
    </row>
    <row r="160" spans="1:16" x14ac:dyDescent="0.25">
      <c r="A160" s="156" t="s">
        <v>80</v>
      </c>
      <c r="B160" s="157">
        <v>200</v>
      </c>
      <c r="C160" s="157">
        <v>128</v>
      </c>
      <c r="D160" s="157">
        <v>2377</v>
      </c>
      <c r="E160" s="157">
        <v>575</v>
      </c>
      <c r="F160" s="202">
        <v>10959.299459999967</v>
      </c>
      <c r="G160" s="202">
        <v>1991.808707000004</v>
      </c>
      <c r="H160" s="202">
        <v>720</v>
      </c>
      <c r="I160" s="202">
        <v>51861.919999999918</v>
      </c>
      <c r="J160" s="202">
        <v>13058.337500000041</v>
      </c>
      <c r="K160" s="202">
        <v>3108.5</v>
      </c>
      <c r="L160" s="202">
        <v>13671.108166999971</v>
      </c>
      <c r="M160" s="202">
        <v>68028.757499999963</v>
      </c>
      <c r="N160" s="202">
        <v>68028.757499999963</v>
      </c>
      <c r="O160" s="202">
        <v>81699.865666999933</v>
      </c>
      <c r="P160" s="208">
        <v>5.1873526283644118E-3</v>
      </c>
    </row>
    <row r="161" spans="1:16" x14ac:dyDescent="0.25">
      <c r="A161" s="155" t="s">
        <v>238</v>
      </c>
      <c r="B161" s="158">
        <v>200</v>
      </c>
      <c r="C161" s="158">
        <v>128</v>
      </c>
      <c r="D161" s="158">
        <v>2377</v>
      </c>
      <c r="E161" s="158">
        <v>575</v>
      </c>
      <c r="F161" s="204">
        <v>10959.299459999967</v>
      </c>
      <c r="G161" s="204">
        <v>1991.808707000004</v>
      </c>
      <c r="H161" s="204">
        <v>720</v>
      </c>
      <c r="I161" s="204">
        <v>51861.919999999904</v>
      </c>
      <c r="J161" s="204">
        <v>13058.33750000004</v>
      </c>
      <c r="K161" s="204">
        <v>3108.5</v>
      </c>
      <c r="L161" s="204">
        <v>13671.108166999971</v>
      </c>
      <c r="M161" s="204">
        <v>68028.757499999949</v>
      </c>
      <c r="N161" s="204">
        <v>68028.757499999949</v>
      </c>
      <c r="O161" s="204">
        <v>81699.865666999918</v>
      </c>
      <c r="P161" s="209">
        <v>5.187352628364411E-3</v>
      </c>
    </row>
    <row r="162" spans="1:16" x14ac:dyDescent="0.25">
      <c r="A162" s="156" t="s">
        <v>81</v>
      </c>
      <c r="B162" s="157">
        <v>432</v>
      </c>
      <c r="C162" s="157">
        <v>160</v>
      </c>
      <c r="D162" s="157">
        <v>4122</v>
      </c>
      <c r="E162" s="157">
        <v>520</v>
      </c>
      <c r="F162" s="202">
        <v>23151.606533999904</v>
      </c>
      <c r="G162" s="202">
        <v>2308.8780789999969</v>
      </c>
      <c r="H162" s="202">
        <v>1188</v>
      </c>
      <c r="I162" s="202">
        <v>67400.079999999813</v>
      </c>
      <c r="J162" s="202">
        <v>11828.310000000005</v>
      </c>
      <c r="K162" s="202">
        <v>4987</v>
      </c>
      <c r="L162" s="202">
        <v>26648.484612999902</v>
      </c>
      <c r="M162" s="202">
        <v>84215.38999999981</v>
      </c>
      <c r="N162" s="202">
        <v>84215.38999999981</v>
      </c>
      <c r="O162" s="202">
        <v>110863.87461299972</v>
      </c>
      <c r="P162" s="208">
        <v>7.0390570005147025E-3</v>
      </c>
    </row>
    <row r="163" spans="1:16" x14ac:dyDescent="0.25">
      <c r="A163" s="155" t="s">
        <v>237</v>
      </c>
      <c r="B163" s="158">
        <v>432</v>
      </c>
      <c r="C163" s="158">
        <v>160</v>
      </c>
      <c r="D163" s="158">
        <v>4122</v>
      </c>
      <c r="E163" s="158">
        <v>520</v>
      </c>
      <c r="F163" s="204">
        <v>23151.606533999904</v>
      </c>
      <c r="G163" s="204">
        <v>2308.8780789999969</v>
      </c>
      <c r="H163" s="204">
        <v>1188</v>
      </c>
      <c r="I163" s="204">
        <v>67400.079999999725</v>
      </c>
      <c r="J163" s="204">
        <v>11828.309999999987</v>
      </c>
      <c r="K163" s="204">
        <v>4987</v>
      </c>
      <c r="L163" s="204">
        <v>26648.484612999902</v>
      </c>
      <c r="M163" s="204">
        <v>84215.389999999708</v>
      </c>
      <c r="N163" s="204">
        <v>84215.389999999708</v>
      </c>
      <c r="O163" s="204">
        <v>110863.87461299961</v>
      </c>
      <c r="P163" s="209">
        <v>7.0390570005146955E-3</v>
      </c>
    </row>
    <row r="164" spans="1:16" x14ac:dyDescent="0.25">
      <c r="A164" s="156" t="s">
        <v>498</v>
      </c>
      <c r="B164" s="157">
        <v>22</v>
      </c>
      <c r="C164" s="157">
        <v>12</v>
      </c>
      <c r="D164" s="157">
        <v>201</v>
      </c>
      <c r="E164" s="157">
        <v>44</v>
      </c>
      <c r="F164" s="202">
        <v>855.5397839999996</v>
      </c>
      <c r="G164" s="202">
        <v>273.78000000000003</v>
      </c>
      <c r="H164" s="202"/>
      <c r="I164" s="202">
        <v>3649.2900000000004</v>
      </c>
      <c r="J164" s="202">
        <v>593.18999999999994</v>
      </c>
      <c r="K164" s="202">
        <v>98</v>
      </c>
      <c r="L164" s="202">
        <v>1129.3197839999996</v>
      </c>
      <c r="M164" s="202">
        <v>4340.4800000000005</v>
      </c>
      <c r="N164" s="202">
        <v>4340.4800000000005</v>
      </c>
      <c r="O164" s="202">
        <v>5469.7997839999998</v>
      </c>
      <c r="P164" s="208">
        <v>3.4729286339108608E-4</v>
      </c>
    </row>
    <row r="165" spans="1:16" x14ac:dyDescent="0.25">
      <c r="A165" s="155" t="s">
        <v>236</v>
      </c>
      <c r="B165" s="158">
        <v>22</v>
      </c>
      <c r="C165" s="158">
        <v>12</v>
      </c>
      <c r="D165" s="158">
        <v>201</v>
      </c>
      <c r="E165" s="158">
        <v>44</v>
      </c>
      <c r="F165" s="204">
        <v>855.5397839999996</v>
      </c>
      <c r="G165" s="204">
        <v>273.78000000000003</v>
      </c>
      <c r="H165" s="204"/>
      <c r="I165" s="204">
        <v>3649.2899999999981</v>
      </c>
      <c r="J165" s="204">
        <v>593.18999999999994</v>
      </c>
      <c r="K165" s="204">
        <v>98</v>
      </c>
      <c r="L165" s="204">
        <v>1129.3197839999996</v>
      </c>
      <c r="M165" s="204">
        <v>4340.4799999999977</v>
      </c>
      <c r="N165" s="204">
        <v>4340.4799999999977</v>
      </c>
      <c r="O165" s="204">
        <v>5469.7997839999971</v>
      </c>
      <c r="P165" s="209">
        <v>3.4729286339108586E-4</v>
      </c>
    </row>
    <row r="166" spans="1:16" x14ac:dyDescent="0.25">
      <c r="A166" s="156" t="s">
        <v>83</v>
      </c>
      <c r="B166" s="157">
        <v>1447</v>
      </c>
      <c r="C166" s="157">
        <v>434</v>
      </c>
      <c r="D166" s="157">
        <v>14097</v>
      </c>
      <c r="E166" s="157">
        <v>1820</v>
      </c>
      <c r="F166" s="202">
        <v>90021.236220000486</v>
      </c>
      <c r="G166" s="202">
        <v>6780.6162979999908</v>
      </c>
      <c r="H166" s="202">
        <v>4428</v>
      </c>
      <c r="I166" s="202">
        <v>285894.35999999946</v>
      </c>
      <c r="J166" s="202">
        <v>41598.862499999974</v>
      </c>
      <c r="K166" s="202">
        <v>20107</v>
      </c>
      <c r="L166" s="202">
        <v>101229.85251800048</v>
      </c>
      <c r="M166" s="202">
        <v>347600.22249999945</v>
      </c>
      <c r="N166" s="202">
        <v>347600.22249999945</v>
      </c>
      <c r="O166" s="202">
        <v>448830.07501799992</v>
      </c>
      <c r="P166" s="208">
        <v>2.8497474877416308E-2</v>
      </c>
    </row>
    <row r="167" spans="1:16" x14ac:dyDescent="0.25">
      <c r="A167" s="155" t="s">
        <v>243</v>
      </c>
      <c r="B167" s="158">
        <v>1447</v>
      </c>
      <c r="C167" s="158">
        <v>434</v>
      </c>
      <c r="D167" s="158">
        <v>14097</v>
      </c>
      <c r="E167" s="158">
        <v>1820</v>
      </c>
      <c r="F167" s="204">
        <v>90021.236220000486</v>
      </c>
      <c r="G167" s="204">
        <v>6780.6162979999908</v>
      </c>
      <c r="H167" s="204">
        <v>4428</v>
      </c>
      <c r="I167" s="204">
        <v>285894.35999999475</v>
      </c>
      <c r="J167" s="204">
        <v>41598.862499999574</v>
      </c>
      <c r="K167" s="204">
        <v>20107</v>
      </c>
      <c r="L167" s="204">
        <v>101229.85251800048</v>
      </c>
      <c r="M167" s="204">
        <v>347600.22249999433</v>
      </c>
      <c r="N167" s="204">
        <v>347600.22249999433</v>
      </c>
      <c r="O167" s="204">
        <v>448830.07501799479</v>
      </c>
      <c r="P167" s="209">
        <v>2.8497474877415985E-2</v>
      </c>
    </row>
    <row r="168" spans="1:16" ht="24" x14ac:dyDescent="0.25">
      <c r="A168" s="156" t="s">
        <v>492</v>
      </c>
      <c r="B168" s="157">
        <v>51</v>
      </c>
      <c r="C168" s="157">
        <v>18</v>
      </c>
      <c r="D168" s="157">
        <v>437</v>
      </c>
      <c r="E168" s="157">
        <v>100</v>
      </c>
      <c r="F168" s="202">
        <v>1472.0408100000004</v>
      </c>
      <c r="G168" s="202">
        <v>191.64578399999994</v>
      </c>
      <c r="H168" s="202"/>
      <c r="I168" s="202">
        <v>8758.33</v>
      </c>
      <c r="J168" s="202">
        <v>1715.3500000000006</v>
      </c>
      <c r="K168" s="202">
        <v>10</v>
      </c>
      <c r="L168" s="202">
        <v>1663.6865940000002</v>
      </c>
      <c r="M168" s="202">
        <v>10483.68</v>
      </c>
      <c r="N168" s="202">
        <v>10483.68</v>
      </c>
      <c r="O168" s="202">
        <v>12147.366594000001</v>
      </c>
      <c r="P168" s="208">
        <v>7.7127022810447444E-4</v>
      </c>
    </row>
    <row r="169" spans="1:16" x14ac:dyDescent="0.25">
      <c r="A169" s="155" t="s">
        <v>233</v>
      </c>
      <c r="B169" s="158">
        <v>51</v>
      </c>
      <c r="C169" s="158">
        <v>18</v>
      </c>
      <c r="D169" s="158">
        <v>437</v>
      </c>
      <c r="E169" s="158">
        <v>100</v>
      </c>
      <c r="F169" s="204">
        <v>1472.0408100000004</v>
      </c>
      <c r="G169" s="204">
        <v>191.64578399999994</v>
      </c>
      <c r="H169" s="204"/>
      <c r="I169" s="204">
        <v>8758.3300000000199</v>
      </c>
      <c r="J169" s="204">
        <v>1715.35</v>
      </c>
      <c r="K169" s="204">
        <v>10</v>
      </c>
      <c r="L169" s="204">
        <v>1663.6865940000002</v>
      </c>
      <c r="M169" s="204">
        <v>10483.68000000002</v>
      </c>
      <c r="N169" s="204">
        <v>10483.68000000002</v>
      </c>
      <c r="O169" s="204">
        <v>12147.366594000021</v>
      </c>
      <c r="P169" s="209">
        <v>7.7127022810447564E-4</v>
      </c>
    </row>
    <row r="170" spans="1:16" x14ac:dyDescent="0.25">
      <c r="A170" s="156" t="s">
        <v>85</v>
      </c>
      <c r="B170" s="157">
        <v>14</v>
      </c>
      <c r="C170" s="157"/>
      <c r="D170" s="157">
        <v>144</v>
      </c>
      <c r="E170" s="157"/>
      <c r="F170" s="202">
        <v>453.96010800000005</v>
      </c>
      <c r="G170" s="202"/>
      <c r="H170" s="202"/>
      <c r="I170" s="202">
        <v>3007.7500000000014</v>
      </c>
      <c r="J170" s="202"/>
      <c r="K170" s="202">
        <v>255</v>
      </c>
      <c r="L170" s="202">
        <v>453.96010800000005</v>
      </c>
      <c r="M170" s="202">
        <v>3262.7500000000014</v>
      </c>
      <c r="N170" s="202">
        <v>3262.7500000000014</v>
      </c>
      <c r="O170" s="202">
        <v>3716.7101080000016</v>
      </c>
      <c r="P170" s="208">
        <v>2.359843041380897E-4</v>
      </c>
    </row>
    <row r="171" spans="1:16" x14ac:dyDescent="0.25">
      <c r="A171" s="155" t="s">
        <v>232</v>
      </c>
      <c r="B171" s="158">
        <v>14</v>
      </c>
      <c r="C171" s="158"/>
      <c r="D171" s="158">
        <v>144</v>
      </c>
      <c r="E171" s="158"/>
      <c r="F171" s="204">
        <v>453.96010800000005</v>
      </c>
      <c r="G171" s="204"/>
      <c r="H171" s="204"/>
      <c r="I171" s="204">
        <v>3007.7499999999982</v>
      </c>
      <c r="J171" s="204"/>
      <c r="K171" s="204">
        <v>255</v>
      </c>
      <c r="L171" s="204">
        <v>453.96010800000005</v>
      </c>
      <c r="M171" s="204">
        <v>3262.7499999999982</v>
      </c>
      <c r="N171" s="204">
        <v>3262.7499999999982</v>
      </c>
      <c r="O171" s="204">
        <v>3716.7101079999984</v>
      </c>
      <c r="P171" s="209">
        <v>2.3598430413808948E-4</v>
      </c>
    </row>
    <row r="172" spans="1:16" x14ac:dyDescent="0.25">
      <c r="A172" s="156" t="s">
        <v>86</v>
      </c>
      <c r="B172" s="157">
        <v>62</v>
      </c>
      <c r="C172" s="157">
        <v>107</v>
      </c>
      <c r="D172" s="157">
        <v>650</v>
      </c>
      <c r="E172" s="157">
        <v>352</v>
      </c>
      <c r="F172" s="202">
        <v>2024.8206480000015</v>
      </c>
      <c r="G172" s="202">
        <v>1783.7806660000024</v>
      </c>
      <c r="H172" s="202"/>
      <c r="I172" s="202">
        <v>13038.470000000021</v>
      </c>
      <c r="J172" s="202">
        <v>8945.8200000000052</v>
      </c>
      <c r="K172" s="202"/>
      <c r="L172" s="202">
        <v>3808.6013140000041</v>
      </c>
      <c r="M172" s="202">
        <v>21984.290000000026</v>
      </c>
      <c r="N172" s="202">
        <v>20341.909646970002</v>
      </c>
      <c r="O172" s="202">
        <v>24150.510960970005</v>
      </c>
      <c r="P172" s="208">
        <v>1.5333833842560776E-3</v>
      </c>
    </row>
    <row r="173" spans="1:16" x14ac:dyDescent="0.25">
      <c r="A173" s="155" t="s">
        <v>231</v>
      </c>
      <c r="B173" s="158">
        <v>62</v>
      </c>
      <c r="C173" s="158">
        <v>107</v>
      </c>
      <c r="D173" s="158">
        <v>650</v>
      </c>
      <c r="E173" s="158">
        <v>352</v>
      </c>
      <c r="F173" s="204">
        <v>2024.8206480000015</v>
      </c>
      <c r="G173" s="204">
        <v>1783.7806660000024</v>
      </c>
      <c r="H173" s="204"/>
      <c r="I173" s="204">
        <v>13038.470000000021</v>
      </c>
      <c r="J173" s="204">
        <v>8945.8200000000052</v>
      </c>
      <c r="K173" s="204"/>
      <c r="L173" s="204">
        <v>3808.6013140000041</v>
      </c>
      <c r="M173" s="204">
        <v>21984.290000000026</v>
      </c>
      <c r="N173" s="204">
        <v>20341.909646970002</v>
      </c>
      <c r="O173" s="204">
        <v>24150.510960970005</v>
      </c>
      <c r="P173" s="209">
        <v>1.5333833842560776E-3</v>
      </c>
    </row>
    <row r="174" spans="1:16" x14ac:dyDescent="0.25">
      <c r="A174" s="156" t="s">
        <v>87</v>
      </c>
      <c r="B174" s="157">
        <v>46</v>
      </c>
      <c r="C174" s="157">
        <v>17</v>
      </c>
      <c r="D174" s="157">
        <v>593</v>
      </c>
      <c r="E174" s="157">
        <v>86</v>
      </c>
      <c r="F174" s="202">
        <v>4204.800108000004</v>
      </c>
      <c r="G174" s="202">
        <v>533.40286300000014</v>
      </c>
      <c r="H174" s="202">
        <v>36</v>
      </c>
      <c r="I174" s="202">
        <v>12976.420000000026</v>
      </c>
      <c r="J174" s="202">
        <v>1563.6399999999994</v>
      </c>
      <c r="K174" s="202">
        <v>68.5</v>
      </c>
      <c r="L174" s="202">
        <v>4774.2029710000043</v>
      </c>
      <c r="M174" s="202">
        <v>14608.560000000025</v>
      </c>
      <c r="N174" s="202">
        <v>14608.560000000025</v>
      </c>
      <c r="O174" s="202">
        <v>19382.762971000029</v>
      </c>
      <c r="P174" s="208">
        <v>1.23066574983603E-3</v>
      </c>
    </row>
    <row r="175" spans="1:16" x14ac:dyDescent="0.25">
      <c r="A175" s="155" t="s">
        <v>235</v>
      </c>
      <c r="B175" s="158">
        <v>46</v>
      </c>
      <c r="C175" s="158">
        <v>17</v>
      </c>
      <c r="D175" s="158">
        <v>593</v>
      </c>
      <c r="E175" s="158">
        <v>86</v>
      </c>
      <c r="F175" s="204">
        <v>4204.800108000004</v>
      </c>
      <c r="G175" s="204">
        <v>533.40286300000014</v>
      </c>
      <c r="H175" s="204">
        <v>36</v>
      </c>
      <c r="I175" s="204">
        <v>12976.420000000031</v>
      </c>
      <c r="J175" s="204">
        <v>1563.6399999999994</v>
      </c>
      <c r="K175" s="204">
        <v>68.5</v>
      </c>
      <c r="L175" s="204">
        <v>4774.2029710000043</v>
      </c>
      <c r="M175" s="204">
        <v>14608.56000000003</v>
      </c>
      <c r="N175" s="204">
        <v>14608.56000000003</v>
      </c>
      <c r="O175" s="204">
        <v>19382.762971000033</v>
      </c>
      <c r="P175" s="209">
        <v>1.2306657498360302E-3</v>
      </c>
    </row>
    <row r="176" spans="1:16" x14ac:dyDescent="0.25">
      <c r="A176" s="156" t="s">
        <v>88</v>
      </c>
      <c r="B176" s="157">
        <v>16</v>
      </c>
      <c r="C176" s="157">
        <v>4</v>
      </c>
      <c r="D176" s="157">
        <v>220</v>
      </c>
      <c r="E176" s="157">
        <v>16</v>
      </c>
      <c r="F176" s="202">
        <v>907.92</v>
      </c>
      <c r="G176" s="202">
        <v>36.503999999999998</v>
      </c>
      <c r="H176" s="202"/>
      <c r="I176" s="202">
        <v>4178.91</v>
      </c>
      <c r="J176" s="202">
        <v>243.35999999999999</v>
      </c>
      <c r="K176" s="202"/>
      <c r="L176" s="202">
        <v>944.42399999999998</v>
      </c>
      <c r="M176" s="202">
        <v>4422.2699999999995</v>
      </c>
      <c r="N176" s="202">
        <v>4422.2699999999995</v>
      </c>
      <c r="O176" s="202">
        <v>5366.6939999999995</v>
      </c>
      <c r="P176" s="208">
        <v>3.40746389229036E-4</v>
      </c>
    </row>
    <row r="177" spans="1:16" x14ac:dyDescent="0.25">
      <c r="A177" s="155" t="s">
        <v>234</v>
      </c>
      <c r="B177" s="158">
        <v>16</v>
      </c>
      <c r="C177" s="158">
        <v>4</v>
      </c>
      <c r="D177" s="158">
        <v>220</v>
      </c>
      <c r="E177" s="158">
        <v>16</v>
      </c>
      <c r="F177" s="204">
        <v>907.92</v>
      </c>
      <c r="G177" s="204">
        <v>36.503999999999998</v>
      </c>
      <c r="H177" s="204"/>
      <c r="I177" s="204">
        <v>4178.9100000000026</v>
      </c>
      <c r="J177" s="204">
        <v>243.35999999999999</v>
      </c>
      <c r="K177" s="204"/>
      <c r="L177" s="204">
        <v>944.42399999999998</v>
      </c>
      <c r="M177" s="204">
        <v>4422.2700000000023</v>
      </c>
      <c r="N177" s="204">
        <v>4422.2700000000023</v>
      </c>
      <c r="O177" s="204">
        <v>5366.6940000000022</v>
      </c>
      <c r="P177" s="209">
        <v>3.4074638922903616E-4</v>
      </c>
    </row>
    <row r="178" spans="1:16" x14ac:dyDescent="0.25">
      <c r="A178" s="156" t="s">
        <v>89</v>
      </c>
      <c r="B178" s="157">
        <v>48</v>
      </c>
      <c r="C178" s="157">
        <v>78</v>
      </c>
      <c r="D178" s="157">
        <v>484</v>
      </c>
      <c r="E178" s="157">
        <v>230</v>
      </c>
      <c r="F178" s="202">
        <v>2428.3801620000013</v>
      </c>
      <c r="G178" s="202">
        <v>1149.8759999999986</v>
      </c>
      <c r="H178" s="202">
        <v>360</v>
      </c>
      <c r="I178" s="202">
        <v>7658.8700000000017</v>
      </c>
      <c r="J178" s="202">
        <v>6170.1900000000005</v>
      </c>
      <c r="K178" s="202">
        <v>919.25</v>
      </c>
      <c r="L178" s="202">
        <v>3938.2561619999997</v>
      </c>
      <c r="M178" s="202">
        <v>14748.310000000001</v>
      </c>
      <c r="N178" s="202">
        <v>14748.310000000001</v>
      </c>
      <c r="O178" s="202">
        <v>18686.566162000003</v>
      </c>
      <c r="P178" s="208">
        <v>1.1864622702153294E-3</v>
      </c>
    </row>
    <row r="179" spans="1:16" x14ac:dyDescent="0.25">
      <c r="A179" s="155" t="s">
        <v>229</v>
      </c>
      <c r="B179" s="158">
        <v>48</v>
      </c>
      <c r="C179" s="158">
        <v>78</v>
      </c>
      <c r="D179" s="158">
        <v>484</v>
      </c>
      <c r="E179" s="158">
        <v>230</v>
      </c>
      <c r="F179" s="204">
        <v>2428.3801620000013</v>
      </c>
      <c r="G179" s="204">
        <v>1149.8759999999986</v>
      </c>
      <c r="H179" s="204">
        <v>360</v>
      </c>
      <c r="I179" s="204">
        <v>7658.8700000000026</v>
      </c>
      <c r="J179" s="204">
        <v>6170.1900000000096</v>
      </c>
      <c r="K179" s="204">
        <v>919.25</v>
      </c>
      <c r="L179" s="204">
        <v>3938.2561619999997</v>
      </c>
      <c r="M179" s="204">
        <v>14748.310000000012</v>
      </c>
      <c r="N179" s="204">
        <v>14748.310000000012</v>
      </c>
      <c r="O179" s="204">
        <v>18686.56616200001</v>
      </c>
      <c r="P179" s="209">
        <v>1.1864622702153298E-3</v>
      </c>
    </row>
    <row r="180" spans="1:16" x14ac:dyDescent="0.25">
      <c r="A180" s="156" t="s">
        <v>90</v>
      </c>
      <c r="B180" s="157">
        <v>498</v>
      </c>
      <c r="C180" s="157">
        <v>285</v>
      </c>
      <c r="D180" s="157">
        <v>4558</v>
      </c>
      <c r="E180" s="157">
        <v>1048</v>
      </c>
      <c r="F180" s="202">
        <v>27293.040972000177</v>
      </c>
      <c r="G180" s="202">
        <v>3690.9988340000082</v>
      </c>
      <c r="H180" s="202">
        <v>1584</v>
      </c>
      <c r="I180" s="202">
        <v>85605.13000000015</v>
      </c>
      <c r="J180" s="202">
        <v>23148.579999999969</v>
      </c>
      <c r="K180" s="202">
        <v>6046.5</v>
      </c>
      <c r="L180" s="202">
        <v>32568.039806000186</v>
      </c>
      <c r="M180" s="202">
        <v>114800.21000000012</v>
      </c>
      <c r="N180" s="202">
        <v>114800.21000000012</v>
      </c>
      <c r="O180" s="202">
        <v>147368.2498060003</v>
      </c>
      <c r="P180" s="208">
        <v>9.3568217245844822E-3</v>
      </c>
    </row>
    <row r="181" spans="1:16" x14ac:dyDescent="0.25">
      <c r="A181" s="155" t="s">
        <v>228</v>
      </c>
      <c r="B181" s="158">
        <v>498</v>
      </c>
      <c r="C181" s="158">
        <v>285</v>
      </c>
      <c r="D181" s="158">
        <v>4558</v>
      </c>
      <c r="E181" s="158">
        <v>1048</v>
      </c>
      <c r="F181" s="204">
        <v>27293.040972000177</v>
      </c>
      <c r="G181" s="204">
        <v>3690.9988340000082</v>
      </c>
      <c r="H181" s="204">
        <v>1584</v>
      </c>
      <c r="I181" s="204">
        <v>85605.130000000558</v>
      </c>
      <c r="J181" s="204">
        <v>23148.579999999904</v>
      </c>
      <c r="K181" s="204">
        <v>6046.5</v>
      </c>
      <c r="L181" s="204">
        <v>32568.039806000186</v>
      </c>
      <c r="M181" s="204">
        <v>114800.21000000046</v>
      </c>
      <c r="N181" s="204">
        <v>114800.21000000046</v>
      </c>
      <c r="O181" s="204">
        <v>147368.24980600065</v>
      </c>
      <c r="P181" s="209">
        <v>9.3568217245845048E-3</v>
      </c>
    </row>
    <row r="182" spans="1:16" x14ac:dyDescent="0.25">
      <c r="A182" s="156" t="s">
        <v>91</v>
      </c>
      <c r="B182" s="157"/>
      <c r="C182" s="157">
        <v>42</v>
      </c>
      <c r="D182" s="157"/>
      <c r="E182" s="157">
        <v>260</v>
      </c>
      <c r="F182" s="202"/>
      <c r="G182" s="202">
        <v>547.56042599999955</v>
      </c>
      <c r="H182" s="202"/>
      <c r="I182" s="202"/>
      <c r="J182" s="202">
        <v>5072.5350000000035</v>
      </c>
      <c r="K182" s="202"/>
      <c r="L182" s="202">
        <v>547.56042599999955</v>
      </c>
      <c r="M182" s="202">
        <v>5072.5350000000035</v>
      </c>
      <c r="N182" s="202">
        <v>5072.5350000000035</v>
      </c>
      <c r="O182" s="202">
        <v>5620.0954260000035</v>
      </c>
      <c r="P182" s="208">
        <v>3.5683555342117928E-4</v>
      </c>
    </row>
    <row r="183" spans="1:16" x14ac:dyDescent="0.25">
      <c r="A183" s="155" t="s">
        <v>227</v>
      </c>
      <c r="B183" s="158"/>
      <c r="C183" s="158">
        <v>42</v>
      </c>
      <c r="D183" s="158"/>
      <c r="E183" s="158">
        <v>260</v>
      </c>
      <c r="F183" s="204"/>
      <c r="G183" s="204">
        <v>547.56042599999955</v>
      </c>
      <c r="H183" s="204"/>
      <c r="I183" s="204"/>
      <c r="J183" s="204">
        <v>5072.5350000000071</v>
      </c>
      <c r="K183" s="204"/>
      <c r="L183" s="204">
        <v>547.56042599999955</v>
      </c>
      <c r="M183" s="204">
        <v>5072.5350000000071</v>
      </c>
      <c r="N183" s="204">
        <v>5072.5350000000071</v>
      </c>
      <c r="O183" s="204">
        <v>5620.0954260000071</v>
      </c>
      <c r="P183" s="209">
        <v>3.568355534211795E-4</v>
      </c>
    </row>
    <row r="184" spans="1:16" x14ac:dyDescent="0.25">
      <c r="A184" s="156" t="s">
        <v>436</v>
      </c>
      <c r="B184" s="157">
        <v>219</v>
      </c>
      <c r="C184" s="157">
        <v>895</v>
      </c>
      <c r="D184" s="157">
        <v>1955</v>
      </c>
      <c r="E184" s="157">
        <v>2830</v>
      </c>
      <c r="F184" s="202">
        <v>6107.3958960000136</v>
      </c>
      <c r="G184" s="202">
        <v>10713.915819999775</v>
      </c>
      <c r="H184" s="202"/>
      <c r="I184" s="202">
        <v>28634.579999999951</v>
      </c>
      <c r="J184" s="202">
        <v>76082.955000000336</v>
      </c>
      <c r="K184" s="202">
        <v>30</v>
      </c>
      <c r="L184" s="202">
        <v>16821.311715999789</v>
      </c>
      <c r="M184" s="202">
        <v>104747.53500000029</v>
      </c>
      <c r="N184" s="202">
        <v>98591.941358189171</v>
      </c>
      <c r="O184" s="202">
        <v>115413.25307418896</v>
      </c>
      <c r="P184" s="208">
        <v>7.3279097437280441E-3</v>
      </c>
    </row>
    <row r="185" spans="1:16" x14ac:dyDescent="0.25">
      <c r="A185" s="155" t="s">
        <v>250</v>
      </c>
      <c r="B185" s="158">
        <v>219</v>
      </c>
      <c r="C185" s="158">
        <v>895</v>
      </c>
      <c r="D185" s="158">
        <v>1955</v>
      </c>
      <c r="E185" s="158">
        <v>2830</v>
      </c>
      <c r="F185" s="204">
        <v>6107.3958960000136</v>
      </c>
      <c r="G185" s="204">
        <v>10713.915819999775</v>
      </c>
      <c r="H185" s="204"/>
      <c r="I185" s="204">
        <v>28634.579999999951</v>
      </c>
      <c r="J185" s="204">
        <v>76082.955000000336</v>
      </c>
      <c r="K185" s="204">
        <v>30</v>
      </c>
      <c r="L185" s="204">
        <v>16821.311715999789</v>
      </c>
      <c r="M185" s="204">
        <v>104747.53500000029</v>
      </c>
      <c r="N185" s="204">
        <v>98591.941358189171</v>
      </c>
      <c r="O185" s="204">
        <v>115413.25307418896</v>
      </c>
      <c r="P185" s="209">
        <v>7.3279097437280441E-3</v>
      </c>
    </row>
    <row r="186" spans="1:16" x14ac:dyDescent="0.25">
      <c r="A186" s="156" t="s">
        <v>529</v>
      </c>
      <c r="B186" s="157"/>
      <c r="C186" s="157">
        <v>22</v>
      </c>
      <c r="D186" s="157"/>
      <c r="E186" s="157">
        <v>113</v>
      </c>
      <c r="F186" s="202"/>
      <c r="G186" s="202">
        <v>310.28386400000005</v>
      </c>
      <c r="H186" s="202"/>
      <c r="I186" s="202"/>
      <c r="J186" s="202">
        <v>1997.5800000000004</v>
      </c>
      <c r="K186" s="202"/>
      <c r="L186" s="202">
        <v>310.28386400000005</v>
      </c>
      <c r="M186" s="202">
        <v>1997.5800000000004</v>
      </c>
      <c r="N186" s="202">
        <v>1997.5800000000004</v>
      </c>
      <c r="O186" s="202">
        <v>2307.8638640000004</v>
      </c>
      <c r="P186" s="208">
        <v>1.4653272172592124E-4</v>
      </c>
    </row>
    <row r="187" spans="1:16" x14ac:dyDescent="0.25">
      <c r="A187" s="155" t="s">
        <v>226</v>
      </c>
      <c r="B187" s="158"/>
      <c r="C187" s="158">
        <v>22</v>
      </c>
      <c r="D187" s="158"/>
      <c r="E187" s="158">
        <v>113</v>
      </c>
      <c r="F187" s="204"/>
      <c r="G187" s="204">
        <v>310.28386400000005</v>
      </c>
      <c r="H187" s="204"/>
      <c r="I187" s="204"/>
      <c r="J187" s="204">
        <v>1997.5800000000004</v>
      </c>
      <c r="K187" s="204"/>
      <c r="L187" s="204">
        <v>310.28386400000005</v>
      </c>
      <c r="M187" s="204">
        <v>1997.5800000000004</v>
      </c>
      <c r="N187" s="204">
        <v>1997.5800000000004</v>
      </c>
      <c r="O187" s="204">
        <v>2307.8638640000004</v>
      </c>
      <c r="P187" s="209">
        <v>1.4653272172592124E-4</v>
      </c>
    </row>
    <row r="188" spans="1:16" x14ac:dyDescent="0.25">
      <c r="A188" s="156" t="s">
        <v>93</v>
      </c>
      <c r="B188" s="157">
        <v>30</v>
      </c>
      <c r="C188" s="157">
        <v>7</v>
      </c>
      <c r="D188" s="157">
        <v>252</v>
      </c>
      <c r="E188" s="157">
        <v>51</v>
      </c>
      <c r="F188" s="202">
        <v>1152.3600000000004</v>
      </c>
      <c r="G188" s="202">
        <v>173.39392700000002</v>
      </c>
      <c r="H188" s="202">
        <v>36</v>
      </c>
      <c r="I188" s="202">
        <v>4660.9600000000009</v>
      </c>
      <c r="J188" s="202">
        <v>699.65999999999985</v>
      </c>
      <c r="K188" s="202">
        <v>92.5</v>
      </c>
      <c r="L188" s="202">
        <v>1361.7539270000004</v>
      </c>
      <c r="M188" s="202">
        <v>5453.1200000000008</v>
      </c>
      <c r="N188" s="202">
        <v>5453.1200000000008</v>
      </c>
      <c r="O188" s="202">
        <v>6814.8739270000015</v>
      </c>
      <c r="P188" s="208">
        <v>4.3269537701913914E-4</v>
      </c>
    </row>
    <row r="189" spans="1:16" x14ac:dyDescent="0.25">
      <c r="A189" s="155" t="s">
        <v>225</v>
      </c>
      <c r="B189" s="158">
        <v>30</v>
      </c>
      <c r="C189" s="158">
        <v>7</v>
      </c>
      <c r="D189" s="158">
        <v>252</v>
      </c>
      <c r="E189" s="158">
        <v>51</v>
      </c>
      <c r="F189" s="204">
        <v>1152.3600000000004</v>
      </c>
      <c r="G189" s="204">
        <v>173.39392700000002</v>
      </c>
      <c r="H189" s="204">
        <v>36</v>
      </c>
      <c r="I189" s="204">
        <v>4660.9600000000046</v>
      </c>
      <c r="J189" s="204">
        <v>699.65999999999974</v>
      </c>
      <c r="K189" s="204">
        <v>92.5</v>
      </c>
      <c r="L189" s="204">
        <v>1361.7539270000004</v>
      </c>
      <c r="M189" s="204">
        <v>5453.1200000000044</v>
      </c>
      <c r="N189" s="204">
        <v>5453.1200000000044</v>
      </c>
      <c r="O189" s="204">
        <v>6814.8739270000051</v>
      </c>
      <c r="P189" s="209">
        <v>4.3269537701913935E-4</v>
      </c>
    </row>
    <row r="190" spans="1:16" x14ac:dyDescent="0.25">
      <c r="A190" s="156" t="s">
        <v>94</v>
      </c>
      <c r="B190" s="157">
        <v>861</v>
      </c>
      <c r="C190" s="157">
        <v>285</v>
      </c>
      <c r="D190" s="157">
        <v>8944</v>
      </c>
      <c r="E190" s="157">
        <v>1073</v>
      </c>
      <c r="F190" s="202">
        <v>56404.614870000223</v>
      </c>
      <c r="G190" s="202">
        <v>3840.9930000000154</v>
      </c>
      <c r="H190" s="202">
        <v>3204</v>
      </c>
      <c r="I190" s="202">
        <v>186002.41999999859</v>
      </c>
      <c r="J190" s="202">
        <v>25450.879999999921</v>
      </c>
      <c r="K190" s="202">
        <v>9468</v>
      </c>
      <c r="L190" s="202">
        <v>63449.60787000024</v>
      </c>
      <c r="M190" s="202">
        <v>220921.2999999985</v>
      </c>
      <c r="N190" s="202">
        <v>220921.2999999985</v>
      </c>
      <c r="O190" s="202">
        <v>284370.90786999871</v>
      </c>
      <c r="P190" s="208">
        <v>1.8055503082248573E-2</v>
      </c>
    </row>
    <row r="191" spans="1:16" x14ac:dyDescent="0.25">
      <c r="A191" s="155" t="s">
        <v>224</v>
      </c>
      <c r="B191" s="158">
        <v>861</v>
      </c>
      <c r="C191" s="158">
        <v>285</v>
      </c>
      <c r="D191" s="158">
        <v>8944</v>
      </c>
      <c r="E191" s="158">
        <v>1073</v>
      </c>
      <c r="F191" s="204">
        <v>56404.614870000223</v>
      </c>
      <c r="G191" s="204">
        <v>3840.9930000000154</v>
      </c>
      <c r="H191" s="204">
        <v>3204</v>
      </c>
      <c r="I191" s="204">
        <v>186002.41999999897</v>
      </c>
      <c r="J191" s="204">
        <v>25450.879999999797</v>
      </c>
      <c r="K191" s="204">
        <v>9468</v>
      </c>
      <c r="L191" s="204">
        <v>63449.60787000024</v>
      </c>
      <c r="M191" s="204">
        <v>220921.29999999877</v>
      </c>
      <c r="N191" s="204">
        <v>220921.29999999877</v>
      </c>
      <c r="O191" s="204">
        <v>284370.90786999901</v>
      </c>
      <c r="P191" s="209">
        <v>1.8055503082248594E-2</v>
      </c>
    </row>
    <row r="192" spans="1:16" x14ac:dyDescent="0.25">
      <c r="A192" s="156" t="s">
        <v>95</v>
      </c>
      <c r="B192" s="157">
        <v>536</v>
      </c>
      <c r="C192" s="157">
        <v>263</v>
      </c>
      <c r="D192" s="157">
        <v>5786</v>
      </c>
      <c r="E192" s="157">
        <v>1090</v>
      </c>
      <c r="F192" s="202">
        <v>30772.074113999839</v>
      </c>
      <c r="G192" s="202">
        <v>3457.3483599999845</v>
      </c>
      <c r="H192" s="202">
        <v>3060</v>
      </c>
      <c r="I192" s="202">
        <v>110181.19999999917</v>
      </c>
      <c r="J192" s="202">
        <v>24914.402499999986</v>
      </c>
      <c r="K192" s="202">
        <v>8302.25</v>
      </c>
      <c r="L192" s="202">
        <v>37289.422473999824</v>
      </c>
      <c r="M192" s="202">
        <v>143397.85249999916</v>
      </c>
      <c r="N192" s="202">
        <v>143397.85249999916</v>
      </c>
      <c r="O192" s="202">
        <v>180687.27497399898</v>
      </c>
      <c r="P192" s="208">
        <v>1.1472339680075688E-2</v>
      </c>
    </row>
    <row r="193" spans="1:16" x14ac:dyDescent="0.25">
      <c r="A193" s="155" t="s">
        <v>222</v>
      </c>
      <c r="B193" s="158">
        <v>536</v>
      </c>
      <c r="C193" s="158">
        <v>263</v>
      </c>
      <c r="D193" s="158">
        <v>5786</v>
      </c>
      <c r="E193" s="158">
        <v>1090</v>
      </c>
      <c r="F193" s="204">
        <v>30772.074113999839</v>
      </c>
      <c r="G193" s="204">
        <v>3457.3483599999845</v>
      </c>
      <c r="H193" s="204">
        <v>3060</v>
      </c>
      <c r="I193" s="204">
        <v>110181.19999999958</v>
      </c>
      <c r="J193" s="204">
        <v>24914.402499999909</v>
      </c>
      <c r="K193" s="204">
        <v>8302.25</v>
      </c>
      <c r="L193" s="204">
        <v>37289.422473999824</v>
      </c>
      <c r="M193" s="204">
        <v>143397.85249999948</v>
      </c>
      <c r="N193" s="204">
        <v>143397.85249999948</v>
      </c>
      <c r="O193" s="204">
        <v>180687.2749739993</v>
      </c>
      <c r="P193" s="209">
        <v>1.1472339680075709E-2</v>
      </c>
    </row>
    <row r="194" spans="1:16" x14ac:dyDescent="0.25">
      <c r="A194" s="156" t="s">
        <v>96</v>
      </c>
      <c r="B194" s="157">
        <v>907</v>
      </c>
      <c r="C194" s="157">
        <v>757</v>
      </c>
      <c r="D194" s="157">
        <v>10089</v>
      </c>
      <c r="E194" s="157">
        <v>2566</v>
      </c>
      <c r="F194" s="202">
        <v>47142.55112399983</v>
      </c>
      <c r="G194" s="202">
        <v>9716.2548270000025</v>
      </c>
      <c r="H194" s="202">
        <v>1908</v>
      </c>
      <c r="I194" s="202">
        <v>185786.19999999911</v>
      </c>
      <c r="J194" s="202">
        <v>65541.612499999741</v>
      </c>
      <c r="K194" s="202">
        <v>8491.5</v>
      </c>
      <c r="L194" s="202">
        <v>58766.805950999835</v>
      </c>
      <c r="M194" s="202">
        <v>259819.31249999884</v>
      </c>
      <c r="N194" s="202">
        <v>259819.31249999884</v>
      </c>
      <c r="O194" s="202">
        <v>318586.11845099868</v>
      </c>
      <c r="P194" s="208">
        <v>2.0227922352321889E-2</v>
      </c>
    </row>
    <row r="195" spans="1:16" x14ac:dyDescent="0.25">
      <c r="A195" s="155" t="s">
        <v>221</v>
      </c>
      <c r="B195" s="158">
        <v>907</v>
      </c>
      <c r="C195" s="158">
        <v>757</v>
      </c>
      <c r="D195" s="158">
        <v>10089</v>
      </c>
      <c r="E195" s="158">
        <v>2566</v>
      </c>
      <c r="F195" s="204">
        <v>47142.55112399983</v>
      </c>
      <c r="G195" s="204">
        <v>9716.2548270000025</v>
      </c>
      <c r="H195" s="204">
        <v>1908</v>
      </c>
      <c r="I195" s="204">
        <v>185786.19999999937</v>
      </c>
      <c r="J195" s="204">
        <v>65541.612500000178</v>
      </c>
      <c r="K195" s="204">
        <v>8491.5</v>
      </c>
      <c r="L195" s="204">
        <v>58766.805950999835</v>
      </c>
      <c r="M195" s="204">
        <v>259819.31249999953</v>
      </c>
      <c r="N195" s="204">
        <v>259819.31249999953</v>
      </c>
      <c r="O195" s="204">
        <v>318586.11845099938</v>
      </c>
      <c r="P195" s="209">
        <v>2.0227922352321934E-2</v>
      </c>
    </row>
    <row r="196" spans="1:16" x14ac:dyDescent="0.25">
      <c r="A196" s="156" t="s">
        <v>97</v>
      </c>
      <c r="B196" s="157">
        <v>851</v>
      </c>
      <c r="C196" s="157">
        <v>214</v>
      </c>
      <c r="D196" s="157">
        <v>8402</v>
      </c>
      <c r="E196" s="157">
        <v>861</v>
      </c>
      <c r="F196" s="202">
        <v>52815.590982000227</v>
      </c>
      <c r="G196" s="202">
        <v>2970.27804499999</v>
      </c>
      <c r="H196" s="202">
        <v>1620</v>
      </c>
      <c r="I196" s="202">
        <v>166991.6599999968</v>
      </c>
      <c r="J196" s="202">
        <v>18538.779999999984</v>
      </c>
      <c r="K196" s="202">
        <v>5943</v>
      </c>
      <c r="L196" s="202">
        <v>57405.869027000219</v>
      </c>
      <c r="M196" s="202">
        <v>191473.4399999968</v>
      </c>
      <c r="N196" s="202">
        <v>191473.4399999968</v>
      </c>
      <c r="O196" s="202">
        <v>248879.30902699701</v>
      </c>
      <c r="P196" s="208">
        <v>1.580204235694576E-2</v>
      </c>
    </row>
    <row r="197" spans="1:16" x14ac:dyDescent="0.25">
      <c r="A197" s="155" t="s">
        <v>220</v>
      </c>
      <c r="B197" s="158">
        <v>851</v>
      </c>
      <c r="C197" s="158">
        <v>214</v>
      </c>
      <c r="D197" s="158">
        <v>8402</v>
      </c>
      <c r="E197" s="158">
        <v>861</v>
      </c>
      <c r="F197" s="204">
        <v>52815.590982000227</v>
      </c>
      <c r="G197" s="204">
        <v>2970.27804499999</v>
      </c>
      <c r="H197" s="204">
        <v>1620</v>
      </c>
      <c r="I197" s="204">
        <v>166991.65999999642</v>
      </c>
      <c r="J197" s="204">
        <v>18538.779999999959</v>
      </c>
      <c r="K197" s="204">
        <v>5943</v>
      </c>
      <c r="L197" s="204">
        <v>57405.869027000219</v>
      </c>
      <c r="M197" s="204">
        <v>191473.43999999639</v>
      </c>
      <c r="N197" s="204">
        <v>191473.43999999639</v>
      </c>
      <c r="O197" s="204">
        <v>248879.30902699661</v>
      </c>
      <c r="P197" s="209">
        <v>1.5802042356945732E-2</v>
      </c>
    </row>
    <row r="198" spans="1:16" x14ac:dyDescent="0.25">
      <c r="A198" s="156" t="s">
        <v>98</v>
      </c>
      <c r="B198" s="157">
        <v>1440</v>
      </c>
      <c r="C198" s="157">
        <v>925</v>
      </c>
      <c r="D198" s="157">
        <v>14543</v>
      </c>
      <c r="E198" s="157">
        <v>3915</v>
      </c>
      <c r="F198" s="202">
        <v>80924.557320000677</v>
      </c>
      <c r="G198" s="202">
        <v>11636.00026199985</v>
      </c>
      <c r="H198" s="202">
        <v>7452</v>
      </c>
      <c r="I198" s="202">
        <v>283053.60999999871</v>
      </c>
      <c r="J198" s="202">
        <v>90084.60499999985</v>
      </c>
      <c r="K198" s="202">
        <v>21274.5</v>
      </c>
      <c r="L198" s="202">
        <v>100012.55758200053</v>
      </c>
      <c r="M198" s="202">
        <v>394412.71499999857</v>
      </c>
      <c r="N198" s="202">
        <v>394412.71499999857</v>
      </c>
      <c r="O198" s="202">
        <v>494425.27258199907</v>
      </c>
      <c r="P198" s="208">
        <v>3.1392441301087426E-2</v>
      </c>
    </row>
    <row r="199" spans="1:16" x14ac:dyDescent="0.25">
      <c r="A199" s="155" t="s">
        <v>219</v>
      </c>
      <c r="B199" s="158">
        <v>1440</v>
      </c>
      <c r="C199" s="158">
        <v>925</v>
      </c>
      <c r="D199" s="158">
        <v>14543</v>
      </c>
      <c r="E199" s="158">
        <v>3915</v>
      </c>
      <c r="F199" s="204">
        <v>80924.557320000677</v>
      </c>
      <c r="G199" s="204">
        <v>11636.00026199985</v>
      </c>
      <c r="H199" s="204">
        <v>7452</v>
      </c>
      <c r="I199" s="204">
        <v>283053.60999999155</v>
      </c>
      <c r="J199" s="204">
        <v>90084.604999999181</v>
      </c>
      <c r="K199" s="204">
        <v>21274.5</v>
      </c>
      <c r="L199" s="204">
        <v>100012.55758200053</v>
      </c>
      <c r="M199" s="204">
        <v>394412.71499999071</v>
      </c>
      <c r="N199" s="204">
        <v>394412.71499999071</v>
      </c>
      <c r="O199" s="204">
        <v>494425.27258199127</v>
      </c>
      <c r="P199" s="209">
        <v>3.1392441301086933E-2</v>
      </c>
    </row>
    <row r="200" spans="1:16" x14ac:dyDescent="0.25">
      <c r="A200" s="156" t="s">
        <v>99</v>
      </c>
      <c r="B200" s="157">
        <v>1190</v>
      </c>
      <c r="C200" s="157">
        <v>599</v>
      </c>
      <c r="D200" s="157">
        <v>11694</v>
      </c>
      <c r="E200" s="157">
        <v>2316</v>
      </c>
      <c r="F200" s="202">
        <v>78529.683185999762</v>
      </c>
      <c r="G200" s="202">
        <v>8642.2063120000148</v>
      </c>
      <c r="H200" s="202">
        <v>5364</v>
      </c>
      <c r="I200" s="202">
        <v>241149.24999999895</v>
      </c>
      <c r="J200" s="202">
        <v>53043.314999999857</v>
      </c>
      <c r="K200" s="202">
        <v>15339</v>
      </c>
      <c r="L200" s="202">
        <v>92535.889497999771</v>
      </c>
      <c r="M200" s="202">
        <v>309531.56499999878</v>
      </c>
      <c r="N200" s="202">
        <v>309531.56499999878</v>
      </c>
      <c r="O200" s="202">
        <v>402067.45449799858</v>
      </c>
      <c r="P200" s="208">
        <v>2.5528385510092948E-2</v>
      </c>
    </row>
    <row r="201" spans="1:16" x14ac:dyDescent="0.25">
      <c r="A201" s="155" t="s">
        <v>218</v>
      </c>
      <c r="B201" s="158">
        <v>1190</v>
      </c>
      <c r="C201" s="158">
        <v>599</v>
      </c>
      <c r="D201" s="158">
        <v>11694</v>
      </c>
      <c r="E201" s="158">
        <v>2316</v>
      </c>
      <c r="F201" s="204">
        <v>78529.683185999762</v>
      </c>
      <c r="G201" s="204">
        <v>8642.2063120000148</v>
      </c>
      <c r="H201" s="204">
        <v>5364</v>
      </c>
      <c r="I201" s="204">
        <v>241149.24999999852</v>
      </c>
      <c r="J201" s="204">
        <v>53043.314999999668</v>
      </c>
      <c r="K201" s="204">
        <v>15339</v>
      </c>
      <c r="L201" s="204">
        <v>92535.889497999771</v>
      </c>
      <c r="M201" s="204">
        <v>309531.5649999982</v>
      </c>
      <c r="N201" s="204">
        <v>309531.5649999982</v>
      </c>
      <c r="O201" s="204">
        <v>402067.454497998</v>
      </c>
      <c r="P201" s="209">
        <v>2.552838551009291E-2</v>
      </c>
    </row>
    <row r="202" spans="1:16" x14ac:dyDescent="0.25">
      <c r="A202" s="156" t="s">
        <v>100</v>
      </c>
      <c r="B202" s="157">
        <v>695</v>
      </c>
      <c r="C202" s="157">
        <v>220</v>
      </c>
      <c r="D202" s="157">
        <v>6324</v>
      </c>
      <c r="E202" s="157">
        <v>967</v>
      </c>
      <c r="F202" s="202">
        <v>34815.242429999416</v>
      </c>
      <c r="G202" s="202">
        <v>3212.3519999999935</v>
      </c>
      <c r="H202" s="202">
        <v>2113.92</v>
      </c>
      <c r="I202" s="202">
        <v>124513.66000000093</v>
      </c>
      <c r="J202" s="202">
        <v>21456.239999999958</v>
      </c>
      <c r="K202" s="202">
        <v>10304.140000000007</v>
      </c>
      <c r="L202" s="202">
        <v>40141.514429999406</v>
      </c>
      <c r="M202" s="202">
        <v>156274.04000000091</v>
      </c>
      <c r="N202" s="202">
        <v>156274.04000000091</v>
      </c>
      <c r="O202" s="202">
        <v>196415.55443000031</v>
      </c>
      <c r="P202" s="208">
        <v>1.2470972065938881E-2</v>
      </c>
    </row>
    <row r="203" spans="1:16" x14ac:dyDescent="0.25">
      <c r="A203" s="155" t="s">
        <v>217</v>
      </c>
      <c r="B203" s="158">
        <v>695</v>
      </c>
      <c r="C203" s="158">
        <v>220</v>
      </c>
      <c r="D203" s="158">
        <v>6324</v>
      </c>
      <c r="E203" s="158">
        <v>967</v>
      </c>
      <c r="F203" s="204">
        <v>34815.242429999416</v>
      </c>
      <c r="G203" s="204">
        <v>3212.3519999999935</v>
      </c>
      <c r="H203" s="204">
        <v>2113.92</v>
      </c>
      <c r="I203" s="204">
        <v>124513.66000000143</v>
      </c>
      <c r="J203" s="204">
        <v>21456.239999999834</v>
      </c>
      <c r="K203" s="204">
        <v>10304.140000000007</v>
      </c>
      <c r="L203" s="204">
        <v>40141.514429999406</v>
      </c>
      <c r="M203" s="204">
        <v>156274.04000000129</v>
      </c>
      <c r="N203" s="204">
        <v>156274.04000000129</v>
      </c>
      <c r="O203" s="204">
        <v>196415.55443000069</v>
      </c>
      <c r="P203" s="209">
        <v>1.2470972065938906E-2</v>
      </c>
    </row>
    <row r="204" spans="1:16" x14ac:dyDescent="0.25">
      <c r="A204" s="156" t="s">
        <v>101</v>
      </c>
      <c r="B204" s="157">
        <v>11</v>
      </c>
      <c r="C204" s="157"/>
      <c r="D204" s="157">
        <v>93</v>
      </c>
      <c r="E204" s="157"/>
      <c r="F204" s="202">
        <v>847.44</v>
      </c>
      <c r="G204" s="202"/>
      <c r="H204" s="202"/>
      <c r="I204" s="202">
        <v>2187.1999999999998</v>
      </c>
      <c r="J204" s="202"/>
      <c r="K204" s="202"/>
      <c r="L204" s="202">
        <v>847.44</v>
      </c>
      <c r="M204" s="202">
        <v>2187.1999999999998</v>
      </c>
      <c r="N204" s="202">
        <v>2187.1999999999998</v>
      </c>
      <c r="O204" s="202">
        <v>3034.64</v>
      </c>
      <c r="P204" s="208">
        <v>1.9267776821447279E-4</v>
      </c>
    </row>
    <row r="205" spans="1:16" x14ac:dyDescent="0.25">
      <c r="A205" s="155" t="s">
        <v>214</v>
      </c>
      <c r="B205" s="158">
        <v>11</v>
      </c>
      <c r="C205" s="158"/>
      <c r="D205" s="158">
        <v>93</v>
      </c>
      <c r="E205" s="158"/>
      <c r="F205" s="204">
        <v>847.44</v>
      </c>
      <c r="G205" s="204"/>
      <c r="H205" s="204"/>
      <c r="I205" s="204">
        <v>2187.1999999999998</v>
      </c>
      <c r="J205" s="204"/>
      <c r="K205" s="204"/>
      <c r="L205" s="204">
        <v>847.44</v>
      </c>
      <c r="M205" s="204">
        <v>2187.1999999999998</v>
      </c>
      <c r="N205" s="204">
        <v>2187.1999999999998</v>
      </c>
      <c r="O205" s="204">
        <v>3034.64</v>
      </c>
      <c r="P205" s="209">
        <v>1.9267776821447279E-4</v>
      </c>
    </row>
    <row r="206" spans="1:16" x14ac:dyDescent="0.25">
      <c r="A206" s="156" t="s">
        <v>130</v>
      </c>
      <c r="B206" s="157"/>
      <c r="C206" s="157">
        <v>27</v>
      </c>
      <c r="D206" s="157"/>
      <c r="E206" s="157">
        <v>131</v>
      </c>
      <c r="F206" s="202"/>
      <c r="G206" s="202">
        <v>338.01300000000009</v>
      </c>
      <c r="H206" s="202"/>
      <c r="I206" s="202"/>
      <c r="J206" s="202">
        <v>2795.9099999999994</v>
      </c>
      <c r="K206" s="202"/>
      <c r="L206" s="202">
        <v>338.01300000000009</v>
      </c>
      <c r="M206" s="202">
        <v>2795.9099999999994</v>
      </c>
      <c r="N206" s="202">
        <v>1836.1188315600027</v>
      </c>
      <c r="O206" s="202">
        <v>2174.1318315600029</v>
      </c>
      <c r="P206" s="208">
        <v>1.3804170152275903E-4</v>
      </c>
    </row>
    <row r="207" spans="1:16" x14ac:dyDescent="0.25">
      <c r="A207" s="155" t="s">
        <v>213</v>
      </c>
      <c r="B207" s="158"/>
      <c r="C207" s="158">
        <v>27</v>
      </c>
      <c r="D207" s="158"/>
      <c r="E207" s="158">
        <v>131</v>
      </c>
      <c r="F207" s="204"/>
      <c r="G207" s="204">
        <v>338.01300000000009</v>
      </c>
      <c r="H207" s="204"/>
      <c r="I207" s="204"/>
      <c r="J207" s="204">
        <v>2795.9099999999994</v>
      </c>
      <c r="K207" s="204"/>
      <c r="L207" s="204">
        <v>338.01300000000009</v>
      </c>
      <c r="M207" s="204">
        <v>2795.9099999999994</v>
      </c>
      <c r="N207" s="204">
        <v>1836.1188315600027</v>
      </c>
      <c r="O207" s="204">
        <v>2174.1318315600029</v>
      </c>
      <c r="P207" s="209">
        <v>1.3804170152275903E-4</v>
      </c>
    </row>
    <row r="208" spans="1:16" x14ac:dyDescent="0.25">
      <c r="A208" s="156" t="s">
        <v>467</v>
      </c>
      <c r="B208" s="157">
        <v>34</v>
      </c>
      <c r="C208" s="157"/>
      <c r="D208" s="157">
        <v>345</v>
      </c>
      <c r="E208" s="157"/>
      <c r="F208" s="202">
        <v>1745.999892</v>
      </c>
      <c r="G208" s="202"/>
      <c r="H208" s="202">
        <v>396</v>
      </c>
      <c r="I208" s="202">
        <v>7126.6399999999994</v>
      </c>
      <c r="J208" s="202"/>
      <c r="K208" s="202">
        <v>1134.5</v>
      </c>
      <c r="L208" s="202">
        <v>2141.9998919999998</v>
      </c>
      <c r="M208" s="202">
        <v>8261.14</v>
      </c>
      <c r="N208" s="202">
        <v>8261.14</v>
      </c>
      <c r="O208" s="202">
        <v>10403.139891999999</v>
      </c>
      <c r="P208" s="208">
        <v>6.6052440382170915E-4</v>
      </c>
    </row>
    <row r="209" spans="1:16" x14ac:dyDescent="0.25">
      <c r="A209" s="155" t="s">
        <v>212</v>
      </c>
      <c r="B209" s="158">
        <v>34</v>
      </c>
      <c r="C209" s="158"/>
      <c r="D209" s="158">
        <v>345</v>
      </c>
      <c r="E209" s="158"/>
      <c r="F209" s="204">
        <v>1745.999892</v>
      </c>
      <c r="G209" s="204"/>
      <c r="H209" s="204">
        <v>396</v>
      </c>
      <c r="I209" s="204">
        <v>7126.6400000000012</v>
      </c>
      <c r="J209" s="204"/>
      <c r="K209" s="204">
        <v>1134.5</v>
      </c>
      <c r="L209" s="204">
        <v>2141.9998919999998</v>
      </c>
      <c r="M209" s="204">
        <v>8261.1400000000012</v>
      </c>
      <c r="N209" s="204">
        <v>8261.1400000000012</v>
      </c>
      <c r="O209" s="204">
        <v>10403.139892000001</v>
      </c>
      <c r="P209" s="209">
        <v>6.6052440382170926E-4</v>
      </c>
    </row>
    <row r="210" spans="1:16" x14ac:dyDescent="0.25">
      <c r="A210" s="156" t="s">
        <v>103</v>
      </c>
      <c r="B210" s="157">
        <v>39</v>
      </c>
      <c r="C210" s="157">
        <v>124</v>
      </c>
      <c r="D210" s="157">
        <v>570</v>
      </c>
      <c r="E210" s="157">
        <v>511</v>
      </c>
      <c r="F210" s="202">
        <v>3547.8002160000024</v>
      </c>
      <c r="G210" s="202">
        <v>1679.1823220000044</v>
      </c>
      <c r="H210" s="202">
        <v>36</v>
      </c>
      <c r="I210" s="202">
        <v>14650.64</v>
      </c>
      <c r="J210" s="202">
        <v>10479.689999999991</v>
      </c>
      <c r="K210" s="202">
        <v>172.5</v>
      </c>
      <c r="L210" s="202">
        <v>5262.9825380000066</v>
      </c>
      <c r="M210" s="202">
        <v>25302.829999999991</v>
      </c>
      <c r="N210" s="202">
        <v>25302.829999999991</v>
      </c>
      <c r="O210" s="202">
        <v>30565.812537999998</v>
      </c>
      <c r="P210" s="208">
        <v>1.9407087969194998E-3</v>
      </c>
    </row>
    <row r="211" spans="1:16" x14ac:dyDescent="0.25">
      <c r="A211" s="155" t="s">
        <v>211</v>
      </c>
      <c r="B211" s="158">
        <v>39</v>
      </c>
      <c r="C211" s="158">
        <v>124</v>
      </c>
      <c r="D211" s="158">
        <v>570</v>
      </c>
      <c r="E211" s="158">
        <v>511</v>
      </c>
      <c r="F211" s="204">
        <v>3547.8002160000024</v>
      </c>
      <c r="G211" s="204">
        <v>1679.1823220000044</v>
      </c>
      <c r="H211" s="204">
        <v>36</v>
      </c>
      <c r="I211" s="204">
        <v>14650.639999999989</v>
      </c>
      <c r="J211" s="204">
        <v>10479.689999999984</v>
      </c>
      <c r="K211" s="204">
        <v>172.5</v>
      </c>
      <c r="L211" s="204">
        <v>5262.9825380000066</v>
      </c>
      <c r="M211" s="204">
        <v>25302.829999999973</v>
      </c>
      <c r="N211" s="204">
        <v>25302.829999999973</v>
      </c>
      <c r="O211" s="204">
        <v>30565.81253799998</v>
      </c>
      <c r="P211" s="209">
        <v>1.9407087969194985E-3</v>
      </c>
    </row>
    <row r="212" spans="1:16" x14ac:dyDescent="0.25">
      <c r="A212" s="156" t="s">
        <v>104</v>
      </c>
      <c r="B212" s="157"/>
      <c r="C212" s="157">
        <v>222</v>
      </c>
      <c r="D212" s="157"/>
      <c r="E212" s="157">
        <v>946</v>
      </c>
      <c r="F212" s="202"/>
      <c r="G212" s="202">
        <v>2518.7740420000018</v>
      </c>
      <c r="H212" s="202">
        <v>36</v>
      </c>
      <c r="I212" s="202"/>
      <c r="J212" s="202">
        <v>20979.659999999985</v>
      </c>
      <c r="K212" s="202">
        <v>90</v>
      </c>
      <c r="L212" s="202">
        <v>2554.7740420000018</v>
      </c>
      <c r="M212" s="202">
        <v>21069.659999999985</v>
      </c>
      <c r="N212" s="202">
        <v>16375.065846420006</v>
      </c>
      <c r="O212" s="202">
        <v>18929.839888420007</v>
      </c>
      <c r="P212" s="208">
        <v>1.2019083984782617E-3</v>
      </c>
    </row>
    <row r="213" spans="1:16" x14ac:dyDescent="0.25">
      <c r="A213" s="155" t="s">
        <v>210</v>
      </c>
      <c r="B213" s="158"/>
      <c r="C213" s="158">
        <v>222</v>
      </c>
      <c r="D213" s="158"/>
      <c r="E213" s="158">
        <v>946</v>
      </c>
      <c r="F213" s="204"/>
      <c r="G213" s="204">
        <v>2518.7740420000018</v>
      </c>
      <c r="H213" s="204">
        <v>36</v>
      </c>
      <c r="I213" s="204"/>
      <c r="J213" s="204">
        <v>20979.659999999985</v>
      </c>
      <c r="K213" s="204">
        <v>90</v>
      </c>
      <c r="L213" s="204">
        <v>2554.7740420000018</v>
      </c>
      <c r="M213" s="204">
        <v>21069.659999999985</v>
      </c>
      <c r="N213" s="204">
        <v>16375.065846420006</v>
      </c>
      <c r="O213" s="204">
        <v>18929.839888420007</v>
      </c>
      <c r="P213" s="209">
        <v>1.2019083984782617E-3</v>
      </c>
    </row>
    <row r="214" spans="1:16" x14ac:dyDescent="0.25">
      <c r="A214" s="156" t="s">
        <v>433</v>
      </c>
      <c r="B214" s="157">
        <v>166</v>
      </c>
      <c r="C214" s="157">
        <v>481</v>
      </c>
      <c r="D214" s="157">
        <v>1860</v>
      </c>
      <c r="E214" s="157">
        <v>1636</v>
      </c>
      <c r="F214" s="202">
        <v>4449.2375159999956</v>
      </c>
      <c r="G214" s="202">
        <v>5807.1715350000331</v>
      </c>
      <c r="H214" s="202"/>
      <c r="I214" s="202">
        <v>30682.650000000034</v>
      </c>
      <c r="J214" s="202">
        <v>43285.060000000129</v>
      </c>
      <c r="K214" s="202"/>
      <c r="L214" s="202">
        <v>10256.409051000028</v>
      </c>
      <c r="M214" s="202">
        <v>73967.710000000166</v>
      </c>
      <c r="N214" s="202">
        <v>54371.000783440148</v>
      </c>
      <c r="O214" s="202">
        <v>64627.409834440172</v>
      </c>
      <c r="P214" s="208">
        <v>4.1033747305716673E-3</v>
      </c>
    </row>
    <row r="215" spans="1:16" x14ac:dyDescent="0.25">
      <c r="A215" s="155" t="s">
        <v>209</v>
      </c>
      <c r="B215" s="158">
        <v>166</v>
      </c>
      <c r="C215" s="158">
        <v>481</v>
      </c>
      <c r="D215" s="158">
        <v>1860</v>
      </c>
      <c r="E215" s="158">
        <v>1636</v>
      </c>
      <c r="F215" s="204">
        <v>4449.2375159999956</v>
      </c>
      <c r="G215" s="204">
        <v>5807.1715350000331</v>
      </c>
      <c r="H215" s="204"/>
      <c r="I215" s="204">
        <v>30682.650000000034</v>
      </c>
      <c r="J215" s="204">
        <v>43285.060000000129</v>
      </c>
      <c r="K215" s="204"/>
      <c r="L215" s="204">
        <v>10256.409051000028</v>
      </c>
      <c r="M215" s="204">
        <v>73967.710000000166</v>
      </c>
      <c r="N215" s="204">
        <v>54371.000783440148</v>
      </c>
      <c r="O215" s="204">
        <v>64627.409834440172</v>
      </c>
      <c r="P215" s="209">
        <v>4.1033747305716673E-3</v>
      </c>
    </row>
    <row r="216" spans="1:16" x14ac:dyDescent="0.25">
      <c r="A216" s="156" t="s">
        <v>105</v>
      </c>
      <c r="B216" s="157">
        <v>176</v>
      </c>
      <c r="C216" s="157">
        <v>1</v>
      </c>
      <c r="D216" s="157">
        <v>1747</v>
      </c>
      <c r="E216" s="157">
        <v>32</v>
      </c>
      <c r="F216" s="202">
        <v>11906.279514000013</v>
      </c>
      <c r="G216" s="202">
        <v>9.1259999999999994</v>
      </c>
      <c r="H216" s="202">
        <v>612</v>
      </c>
      <c r="I216" s="202">
        <v>35152.06</v>
      </c>
      <c r="J216" s="202">
        <v>853.05999999999972</v>
      </c>
      <c r="K216" s="202">
        <v>1929</v>
      </c>
      <c r="L216" s="202">
        <v>12527.405514000013</v>
      </c>
      <c r="M216" s="202">
        <v>37934.119999999995</v>
      </c>
      <c r="N216" s="202">
        <v>37934.119999999995</v>
      </c>
      <c r="O216" s="202">
        <v>50461.525514000008</v>
      </c>
      <c r="P216" s="208">
        <v>3.2039431750504836E-3</v>
      </c>
    </row>
    <row r="217" spans="1:16" x14ac:dyDescent="0.25">
      <c r="A217" s="155" t="s">
        <v>208</v>
      </c>
      <c r="B217" s="158">
        <v>176</v>
      </c>
      <c r="C217" s="158">
        <v>1</v>
      </c>
      <c r="D217" s="158">
        <v>1747</v>
      </c>
      <c r="E217" s="158">
        <v>32</v>
      </c>
      <c r="F217" s="204">
        <v>11906.279514000013</v>
      </c>
      <c r="G217" s="204">
        <v>9.1259999999999994</v>
      </c>
      <c r="H217" s="204">
        <v>612</v>
      </c>
      <c r="I217" s="204">
        <v>35152.05999999999</v>
      </c>
      <c r="J217" s="204">
        <v>853.05999999999972</v>
      </c>
      <c r="K217" s="204">
        <v>1929</v>
      </c>
      <c r="L217" s="204">
        <v>12527.405514000013</v>
      </c>
      <c r="M217" s="204">
        <v>37934.119999999988</v>
      </c>
      <c r="N217" s="204">
        <v>37934.119999999988</v>
      </c>
      <c r="O217" s="204">
        <v>50461.525514000001</v>
      </c>
      <c r="P217" s="209">
        <v>3.2039431750504831E-3</v>
      </c>
    </row>
    <row r="218" spans="1:16" x14ac:dyDescent="0.25">
      <c r="A218" s="156" t="s">
        <v>106</v>
      </c>
      <c r="B218" s="157">
        <v>305</v>
      </c>
      <c r="C218" s="157">
        <v>25</v>
      </c>
      <c r="D218" s="157">
        <v>3171</v>
      </c>
      <c r="E218" s="157">
        <v>153</v>
      </c>
      <c r="F218" s="202">
        <v>19469.520000000026</v>
      </c>
      <c r="G218" s="202">
        <v>474.55199999999996</v>
      </c>
      <c r="H218" s="202">
        <v>648</v>
      </c>
      <c r="I218" s="202">
        <v>60932.219999999965</v>
      </c>
      <c r="J218" s="202">
        <v>2448.81</v>
      </c>
      <c r="K218" s="202">
        <v>2735.5</v>
      </c>
      <c r="L218" s="202">
        <v>20592.072000000026</v>
      </c>
      <c r="M218" s="202">
        <v>66116.52999999997</v>
      </c>
      <c r="N218" s="202">
        <v>66116.52999999997</v>
      </c>
      <c r="O218" s="202">
        <v>86708.601999999999</v>
      </c>
      <c r="P218" s="208">
        <v>5.5053712856737453E-3</v>
      </c>
    </row>
    <row r="219" spans="1:16" x14ac:dyDescent="0.25">
      <c r="A219" s="155" t="s">
        <v>207</v>
      </c>
      <c r="B219" s="158">
        <v>305</v>
      </c>
      <c r="C219" s="158">
        <v>25</v>
      </c>
      <c r="D219" s="158">
        <v>3171</v>
      </c>
      <c r="E219" s="158">
        <v>153</v>
      </c>
      <c r="F219" s="204">
        <v>19469.520000000026</v>
      </c>
      <c r="G219" s="204">
        <v>474.55199999999996</v>
      </c>
      <c r="H219" s="204">
        <v>648</v>
      </c>
      <c r="I219" s="204">
        <v>60932.220000000234</v>
      </c>
      <c r="J219" s="204">
        <v>2448.8100000000013</v>
      </c>
      <c r="K219" s="204">
        <v>2735.5</v>
      </c>
      <c r="L219" s="204">
        <v>20592.072000000026</v>
      </c>
      <c r="M219" s="204">
        <v>66116.530000000232</v>
      </c>
      <c r="N219" s="204">
        <v>66116.530000000232</v>
      </c>
      <c r="O219" s="204">
        <v>86708.602000000261</v>
      </c>
      <c r="P219" s="209">
        <v>5.5053712856737618E-3</v>
      </c>
    </row>
    <row r="220" spans="1:16" ht="24" x14ac:dyDescent="0.25">
      <c r="A220" s="156" t="s">
        <v>107</v>
      </c>
      <c r="B220" s="157">
        <v>368</v>
      </c>
      <c r="C220" s="157">
        <v>164</v>
      </c>
      <c r="D220" s="157">
        <v>3820</v>
      </c>
      <c r="E220" s="157">
        <v>645</v>
      </c>
      <c r="F220" s="202">
        <v>23916.959729999973</v>
      </c>
      <c r="G220" s="202">
        <v>2442.9577499999973</v>
      </c>
      <c r="H220" s="202">
        <v>504</v>
      </c>
      <c r="I220" s="202">
        <v>81122.215000000317</v>
      </c>
      <c r="J220" s="202">
        <v>14706.867500000008</v>
      </c>
      <c r="K220" s="202">
        <v>1617</v>
      </c>
      <c r="L220" s="202">
        <v>26863.917479999971</v>
      </c>
      <c r="M220" s="202">
        <v>97446.082500000324</v>
      </c>
      <c r="N220" s="202">
        <v>97446.082500000324</v>
      </c>
      <c r="O220" s="202">
        <v>124309.9999800003</v>
      </c>
      <c r="P220" s="208">
        <v>7.892789050064462E-3</v>
      </c>
    </row>
    <row r="221" spans="1:16" x14ac:dyDescent="0.25">
      <c r="A221" s="155" t="s">
        <v>206</v>
      </c>
      <c r="B221" s="158">
        <v>368</v>
      </c>
      <c r="C221" s="158">
        <v>164</v>
      </c>
      <c r="D221" s="158">
        <v>3820</v>
      </c>
      <c r="E221" s="158">
        <v>645</v>
      </c>
      <c r="F221" s="204">
        <v>23916.959729999973</v>
      </c>
      <c r="G221" s="204">
        <v>2442.9577499999973</v>
      </c>
      <c r="H221" s="204">
        <v>504</v>
      </c>
      <c r="I221" s="204">
        <v>81122.215000000375</v>
      </c>
      <c r="J221" s="204">
        <v>14706.867500000008</v>
      </c>
      <c r="K221" s="204">
        <v>1617</v>
      </c>
      <c r="L221" s="204">
        <v>26863.917479999971</v>
      </c>
      <c r="M221" s="204">
        <v>97446.082500000382</v>
      </c>
      <c r="N221" s="204">
        <v>97446.082500000382</v>
      </c>
      <c r="O221" s="204">
        <v>124309.99998000036</v>
      </c>
      <c r="P221" s="209">
        <v>7.8927890500644655E-3</v>
      </c>
    </row>
    <row r="222" spans="1:16" x14ac:dyDescent="0.25">
      <c r="A222" s="156" t="s">
        <v>108</v>
      </c>
      <c r="B222" s="157">
        <v>514</v>
      </c>
      <c r="C222" s="157">
        <v>752</v>
      </c>
      <c r="D222" s="157">
        <v>5857</v>
      </c>
      <c r="E222" s="157">
        <v>3208</v>
      </c>
      <c r="F222" s="202">
        <v>19833.125183999862</v>
      </c>
      <c r="G222" s="202">
        <v>10821.560273999859</v>
      </c>
      <c r="H222" s="202">
        <v>792</v>
      </c>
      <c r="I222" s="202">
        <v>118443.39999999957</v>
      </c>
      <c r="J222" s="202">
        <v>69497.447499999747</v>
      </c>
      <c r="K222" s="202">
        <v>2367.5</v>
      </c>
      <c r="L222" s="202">
        <v>31446.685457999723</v>
      </c>
      <c r="M222" s="202">
        <v>190308.34749999933</v>
      </c>
      <c r="N222" s="202">
        <v>190308.34749999933</v>
      </c>
      <c r="O222" s="202">
        <v>221755.03295799906</v>
      </c>
      <c r="P222" s="208">
        <v>1.407984632136732E-2</v>
      </c>
    </row>
    <row r="223" spans="1:16" x14ac:dyDescent="0.25">
      <c r="A223" s="155" t="s">
        <v>205</v>
      </c>
      <c r="B223" s="158">
        <v>514</v>
      </c>
      <c r="C223" s="158">
        <v>752</v>
      </c>
      <c r="D223" s="158">
        <v>5857</v>
      </c>
      <c r="E223" s="158">
        <v>3208</v>
      </c>
      <c r="F223" s="204">
        <v>19833.125183999862</v>
      </c>
      <c r="G223" s="204">
        <v>10821.560273999859</v>
      </c>
      <c r="H223" s="204">
        <v>792</v>
      </c>
      <c r="I223" s="204">
        <v>118443.39999999975</v>
      </c>
      <c r="J223" s="204">
        <v>69497.447499999966</v>
      </c>
      <c r="K223" s="204">
        <v>2367.5</v>
      </c>
      <c r="L223" s="204">
        <v>31446.685457999723</v>
      </c>
      <c r="M223" s="204">
        <v>190308.34749999971</v>
      </c>
      <c r="N223" s="204">
        <v>190308.34749999971</v>
      </c>
      <c r="O223" s="204">
        <v>221755.03295799944</v>
      </c>
      <c r="P223" s="209">
        <v>1.4079846321367344E-2</v>
      </c>
    </row>
    <row r="224" spans="1:16" x14ac:dyDescent="0.25">
      <c r="A224" s="156" t="s">
        <v>109</v>
      </c>
      <c r="B224" s="157">
        <v>2541</v>
      </c>
      <c r="C224" s="157">
        <v>603</v>
      </c>
      <c r="D224" s="157">
        <v>26181</v>
      </c>
      <c r="E224" s="157">
        <v>2615</v>
      </c>
      <c r="F224" s="202">
        <v>157391.27406000384</v>
      </c>
      <c r="G224" s="202">
        <v>7730.544509000073</v>
      </c>
      <c r="H224" s="202">
        <v>16560</v>
      </c>
      <c r="I224" s="202">
        <v>487450.10999999451</v>
      </c>
      <c r="J224" s="202">
        <v>58882.784999999829</v>
      </c>
      <c r="K224" s="202">
        <v>39967.5</v>
      </c>
      <c r="L224" s="202">
        <v>181681.81856900392</v>
      </c>
      <c r="M224" s="202">
        <v>586300.39499999431</v>
      </c>
      <c r="N224" s="202">
        <v>586300.39499999431</v>
      </c>
      <c r="O224" s="202">
        <v>767982.21356899827</v>
      </c>
      <c r="P224" s="208">
        <v>4.8761335426569609E-2</v>
      </c>
    </row>
    <row r="225" spans="1:16" x14ac:dyDescent="0.25">
      <c r="A225" s="155" t="s">
        <v>204</v>
      </c>
      <c r="B225" s="158">
        <v>2541</v>
      </c>
      <c r="C225" s="158">
        <v>603</v>
      </c>
      <c r="D225" s="158">
        <v>26181</v>
      </c>
      <c r="E225" s="158">
        <v>2615</v>
      </c>
      <c r="F225" s="204">
        <v>157391.27406000384</v>
      </c>
      <c r="G225" s="204">
        <v>7730.544509000073</v>
      </c>
      <c r="H225" s="204">
        <v>16560</v>
      </c>
      <c r="I225" s="204">
        <v>487450.10999997653</v>
      </c>
      <c r="J225" s="204">
        <v>58882.784999999247</v>
      </c>
      <c r="K225" s="204">
        <v>39967.5</v>
      </c>
      <c r="L225" s="204">
        <v>181681.81856900392</v>
      </c>
      <c r="M225" s="204">
        <v>586300.3949999758</v>
      </c>
      <c r="N225" s="204">
        <v>586300.3949999758</v>
      </c>
      <c r="O225" s="204">
        <v>767982.21356897976</v>
      </c>
      <c r="P225" s="209">
        <v>4.8761335426568436E-2</v>
      </c>
    </row>
    <row r="226" spans="1:16" x14ac:dyDescent="0.25">
      <c r="A226" s="156" t="s">
        <v>110</v>
      </c>
      <c r="B226" s="157">
        <v>20</v>
      </c>
      <c r="C226" s="157"/>
      <c r="D226" s="157">
        <v>226</v>
      </c>
      <c r="E226" s="157"/>
      <c r="F226" s="202">
        <v>1460.8802160000002</v>
      </c>
      <c r="G226" s="202"/>
      <c r="H226" s="202">
        <v>36</v>
      </c>
      <c r="I226" s="202">
        <v>4571.8099999999995</v>
      </c>
      <c r="J226" s="202"/>
      <c r="K226" s="202">
        <v>87.25</v>
      </c>
      <c r="L226" s="202">
        <v>1496.8802160000002</v>
      </c>
      <c r="M226" s="202">
        <v>4659.0599999999995</v>
      </c>
      <c r="N226" s="202">
        <v>4659.0599999999995</v>
      </c>
      <c r="O226" s="202">
        <v>6155.940216</v>
      </c>
      <c r="P226" s="208">
        <v>3.9085783555235537E-4</v>
      </c>
    </row>
    <row r="227" spans="1:16" x14ac:dyDescent="0.25">
      <c r="A227" s="155" t="s">
        <v>203</v>
      </c>
      <c r="B227" s="158">
        <v>20</v>
      </c>
      <c r="C227" s="158"/>
      <c r="D227" s="158">
        <v>226</v>
      </c>
      <c r="E227" s="158"/>
      <c r="F227" s="204">
        <v>1460.8802160000002</v>
      </c>
      <c r="G227" s="204"/>
      <c r="H227" s="204">
        <v>36</v>
      </c>
      <c r="I227" s="204">
        <v>4571.8099999999995</v>
      </c>
      <c r="J227" s="204"/>
      <c r="K227" s="204">
        <v>87.25</v>
      </c>
      <c r="L227" s="204">
        <v>1496.8802160000002</v>
      </c>
      <c r="M227" s="204">
        <v>4659.0599999999995</v>
      </c>
      <c r="N227" s="204">
        <v>4659.0599999999995</v>
      </c>
      <c r="O227" s="204">
        <v>6155.940216</v>
      </c>
      <c r="P227" s="209">
        <v>3.9085783555235537E-4</v>
      </c>
    </row>
    <row r="228" spans="1:16" x14ac:dyDescent="0.25">
      <c r="A228" s="156" t="s">
        <v>111</v>
      </c>
      <c r="B228" s="157">
        <v>20</v>
      </c>
      <c r="C228" s="157">
        <v>14</v>
      </c>
      <c r="D228" s="157">
        <v>214</v>
      </c>
      <c r="E228" s="157">
        <v>55</v>
      </c>
      <c r="F228" s="202">
        <v>1944.72</v>
      </c>
      <c r="G228" s="202">
        <v>155.14185399999997</v>
      </c>
      <c r="H228" s="202">
        <v>72</v>
      </c>
      <c r="I228" s="202">
        <v>5525.32</v>
      </c>
      <c r="J228" s="202">
        <v>1049.4900000000002</v>
      </c>
      <c r="K228" s="202">
        <v>263.5</v>
      </c>
      <c r="L228" s="202">
        <v>2171.8618539999998</v>
      </c>
      <c r="M228" s="202">
        <v>6838.3099999999995</v>
      </c>
      <c r="N228" s="202">
        <v>6838.3099999999995</v>
      </c>
      <c r="O228" s="202">
        <v>9010.1718540000002</v>
      </c>
      <c r="P228" s="208">
        <v>5.7208097305037127E-4</v>
      </c>
    </row>
    <row r="229" spans="1:16" x14ac:dyDescent="0.25">
      <c r="A229" s="155" t="s">
        <v>202</v>
      </c>
      <c r="B229" s="158">
        <v>20</v>
      </c>
      <c r="C229" s="158">
        <v>14</v>
      </c>
      <c r="D229" s="158">
        <v>214</v>
      </c>
      <c r="E229" s="158">
        <v>55</v>
      </c>
      <c r="F229" s="204">
        <v>1944.72</v>
      </c>
      <c r="G229" s="204">
        <v>155.14185399999997</v>
      </c>
      <c r="H229" s="204">
        <v>72</v>
      </c>
      <c r="I229" s="204">
        <v>5525.32</v>
      </c>
      <c r="J229" s="204">
        <v>1049.4900000000007</v>
      </c>
      <c r="K229" s="204">
        <v>263.5</v>
      </c>
      <c r="L229" s="204">
        <v>2171.8618539999998</v>
      </c>
      <c r="M229" s="204">
        <v>6838.31</v>
      </c>
      <c r="N229" s="204">
        <v>6838.31</v>
      </c>
      <c r="O229" s="204">
        <v>9010.1718540000002</v>
      </c>
      <c r="P229" s="209">
        <v>5.7208097305037127E-4</v>
      </c>
    </row>
    <row r="230" spans="1:16" x14ac:dyDescent="0.25">
      <c r="A230" s="156" t="s">
        <v>112</v>
      </c>
      <c r="B230" s="157">
        <v>75</v>
      </c>
      <c r="C230" s="157"/>
      <c r="D230" s="157">
        <v>694</v>
      </c>
      <c r="E230" s="157"/>
      <c r="F230" s="202">
        <v>4506.8388120000054</v>
      </c>
      <c r="G230" s="202"/>
      <c r="H230" s="202">
        <v>1368</v>
      </c>
      <c r="I230" s="202">
        <v>11988.895000000004</v>
      </c>
      <c r="J230" s="202"/>
      <c r="K230" s="202">
        <v>2917</v>
      </c>
      <c r="L230" s="202">
        <v>5874.8388120000054</v>
      </c>
      <c r="M230" s="202">
        <v>14905.895000000004</v>
      </c>
      <c r="N230" s="202">
        <v>14905.895000000004</v>
      </c>
      <c r="O230" s="202">
        <v>20780.733812000009</v>
      </c>
      <c r="P230" s="208">
        <v>1.3194268225407942E-3</v>
      </c>
    </row>
    <row r="231" spans="1:16" x14ac:dyDescent="0.25">
      <c r="A231" s="155" t="s">
        <v>198</v>
      </c>
      <c r="B231" s="158">
        <v>75</v>
      </c>
      <c r="C231" s="158"/>
      <c r="D231" s="158">
        <v>694</v>
      </c>
      <c r="E231" s="158"/>
      <c r="F231" s="204">
        <v>4506.8388120000054</v>
      </c>
      <c r="G231" s="204"/>
      <c r="H231" s="204">
        <v>1368</v>
      </c>
      <c r="I231" s="204">
        <v>11988.894999999935</v>
      </c>
      <c r="J231" s="204"/>
      <c r="K231" s="204">
        <v>2917</v>
      </c>
      <c r="L231" s="204">
        <v>5874.8388120000054</v>
      </c>
      <c r="M231" s="204">
        <v>14905.894999999935</v>
      </c>
      <c r="N231" s="204">
        <v>14905.894999999935</v>
      </c>
      <c r="O231" s="204">
        <v>20780.73381199994</v>
      </c>
      <c r="P231" s="209">
        <v>1.3194268225407899E-3</v>
      </c>
    </row>
    <row r="232" spans="1:16" x14ac:dyDescent="0.25">
      <c r="A232" s="156" t="s">
        <v>113</v>
      </c>
      <c r="B232" s="157"/>
      <c r="C232" s="157"/>
      <c r="D232" s="157">
        <v>179</v>
      </c>
      <c r="E232" s="157"/>
      <c r="F232" s="202"/>
      <c r="G232" s="202"/>
      <c r="H232" s="202"/>
      <c r="I232" s="202">
        <v>4129.0499999999984</v>
      </c>
      <c r="J232" s="202"/>
      <c r="K232" s="202"/>
      <c r="L232" s="202"/>
      <c r="M232" s="202">
        <v>4129.0499999999984</v>
      </c>
      <c r="N232" s="202">
        <v>4129.0499999999984</v>
      </c>
      <c r="O232" s="202">
        <v>4129.0499999999984</v>
      </c>
      <c r="P232" s="208">
        <v>2.6216491539226026E-4</v>
      </c>
    </row>
    <row r="233" spans="1:16" x14ac:dyDescent="0.25">
      <c r="A233" s="155" t="s">
        <v>199</v>
      </c>
      <c r="B233" s="158"/>
      <c r="C233" s="158"/>
      <c r="D233" s="158">
        <v>179</v>
      </c>
      <c r="E233" s="158"/>
      <c r="F233" s="204"/>
      <c r="G233" s="204"/>
      <c r="H233" s="204"/>
      <c r="I233" s="204">
        <v>4129.0499999999984</v>
      </c>
      <c r="J233" s="204"/>
      <c r="K233" s="204"/>
      <c r="L233" s="204"/>
      <c r="M233" s="204">
        <v>4129.0499999999984</v>
      </c>
      <c r="N233" s="204">
        <v>4129.0499999999984</v>
      </c>
      <c r="O233" s="204">
        <v>4129.0499999999984</v>
      </c>
      <c r="P233" s="209">
        <v>2.6216491539226026E-4</v>
      </c>
    </row>
    <row r="234" spans="1:16" x14ac:dyDescent="0.25">
      <c r="A234" s="156" t="s">
        <v>114</v>
      </c>
      <c r="B234" s="157">
        <v>273</v>
      </c>
      <c r="C234" s="157">
        <v>217</v>
      </c>
      <c r="D234" s="157">
        <v>2961</v>
      </c>
      <c r="E234" s="157">
        <v>1365</v>
      </c>
      <c r="F234" s="202">
        <v>12747.240647999972</v>
      </c>
      <c r="G234" s="202">
        <v>4097.3387930000199</v>
      </c>
      <c r="H234" s="202">
        <v>72</v>
      </c>
      <c r="I234" s="202">
        <v>62693.820000000065</v>
      </c>
      <c r="J234" s="202">
        <v>25291.369999999875</v>
      </c>
      <c r="K234" s="202">
        <v>127.5</v>
      </c>
      <c r="L234" s="202">
        <v>16916.579440999991</v>
      </c>
      <c r="M234" s="202">
        <v>88112.689999999944</v>
      </c>
      <c r="N234" s="202">
        <v>88112.689999999944</v>
      </c>
      <c r="O234" s="202">
        <v>105029.26944099994</v>
      </c>
      <c r="P234" s="208">
        <v>6.6686016242745094E-3</v>
      </c>
    </row>
    <row r="235" spans="1:16" x14ac:dyDescent="0.25">
      <c r="A235" s="155" t="s">
        <v>196</v>
      </c>
      <c r="B235" s="158">
        <v>273</v>
      </c>
      <c r="C235" s="158">
        <v>217</v>
      </c>
      <c r="D235" s="158">
        <v>2961</v>
      </c>
      <c r="E235" s="158">
        <v>1365</v>
      </c>
      <c r="F235" s="204">
        <v>12747.240647999972</v>
      </c>
      <c r="G235" s="204">
        <v>4097.3387930000199</v>
      </c>
      <c r="H235" s="204">
        <v>72</v>
      </c>
      <c r="I235" s="204">
        <v>62693.820000000356</v>
      </c>
      <c r="J235" s="204">
        <v>25291.369999999675</v>
      </c>
      <c r="K235" s="204">
        <v>127.5</v>
      </c>
      <c r="L235" s="204">
        <v>16916.579440999991</v>
      </c>
      <c r="M235" s="204">
        <v>88112.690000000031</v>
      </c>
      <c r="N235" s="204">
        <v>88112.690000000031</v>
      </c>
      <c r="O235" s="204">
        <v>105029.26944100003</v>
      </c>
      <c r="P235" s="209">
        <v>6.6686016242745155E-3</v>
      </c>
    </row>
    <row r="236" spans="1:16" x14ac:dyDescent="0.25">
      <c r="A236" s="156" t="s">
        <v>115</v>
      </c>
      <c r="B236" s="157">
        <v>66</v>
      </c>
      <c r="C236" s="157">
        <v>13</v>
      </c>
      <c r="D236" s="157">
        <v>607</v>
      </c>
      <c r="E236" s="157">
        <v>40</v>
      </c>
      <c r="F236" s="202">
        <v>2982.9585960000004</v>
      </c>
      <c r="G236" s="202">
        <v>205.21789799999999</v>
      </c>
      <c r="H236" s="202">
        <v>324</v>
      </c>
      <c r="I236" s="202">
        <v>12481.180000000009</v>
      </c>
      <c r="J236" s="202">
        <v>953.06250000000011</v>
      </c>
      <c r="K236" s="202">
        <v>1106</v>
      </c>
      <c r="L236" s="202">
        <v>3512.1764940000003</v>
      </c>
      <c r="M236" s="202">
        <v>14540.242500000009</v>
      </c>
      <c r="N236" s="202">
        <v>14540.242500000009</v>
      </c>
      <c r="O236" s="202">
        <v>18052.418994000011</v>
      </c>
      <c r="P236" s="208">
        <v>1.14619849558316E-3</v>
      </c>
    </row>
    <row r="237" spans="1:16" x14ac:dyDescent="0.25">
      <c r="A237" s="155" t="s">
        <v>195</v>
      </c>
      <c r="B237" s="158">
        <v>66</v>
      </c>
      <c r="C237" s="158">
        <v>13</v>
      </c>
      <c r="D237" s="158">
        <v>607</v>
      </c>
      <c r="E237" s="158">
        <v>40</v>
      </c>
      <c r="F237" s="204">
        <v>2982.9585960000004</v>
      </c>
      <c r="G237" s="204">
        <v>205.21789799999999</v>
      </c>
      <c r="H237" s="204">
        <v>324</v>
      </c>
      <c r="I237" s="204">
        <v>12481.180000000002</v>
      </c>
      <c r="J237" s="204">
        <v>953.06249999999977</v>
      </c>
      <c r="K237" s="204">
        <v>1106</v>
      </c>
      <c r="L237" s="204">
        <v>3512.1764940000003</v>
      </c>
      <c r="M237" s="204">
        <v>14540.242500000002</v>
      </c>
      <c r="N237" s="204">
        <v>14540.242500000002</v>
      </c>
      <c r="O237" s="204">
        <v>18052.418994000003</v>
      </c>
      <c r="P237" s="209">
        <v>1.1461984955831595E-3</v>
      </c>
    </row>
    <row r="238" spans="1:16" x14ac:dyDescent="0.25">
      <c r="A238" s="156" t="s">
        <v>116</v>
      </c>
      <c r="B238" s="157">
        <v>1362</v>
      </c>
      <c r="C238" s="157">
        <v>427</v>
      </c>
      <c r="D238" s="157">
        <v>13909</v>
      </c>
      <c r="E238" s="157">
        <v>1471</v>
      </c>
      <c r="F238" s="202">
        <v>86594.049180000846</v>
      </c>
      <c r="G238" s="202">
        <v>5342.798148000009</v>
      </c>
      <c r="H238" s="202">
        <v>3564</v>
      </c>
      <c r="I238" s="202">
        <v>264587.41499999788</v>
      </c>
      <c r="J238" s="202">
        <v>34905.747499999925</v>
      </c>
      <c r="K238" s="202">
        <v>13374.75</v>
      </c>
      <c r="L238" s="202">
        <v>95500.847328000847</v>
      </c>
      <c r="M238" s="202">
        <v>312867.91249999782</v>
      </c>
      <c r="N238" s="202">
        <v>312867.91249999782</v>
      </c>
      <c r="O238" s="202">
        <v>408368.7598279987</v>
      </c>
      <c r="P238" s="208">
        <v>2.5928472982683564E-2</v>
      </c>
    </row>
    <row r="239" spans="1:16" x14ac:dyDescent="0.25">
      <c r="A239" s="155" t="s">
        <v>194</v>
      </c>
      <c r="B239" s="158">
        <v>1362</v>
      </c>
      <c r="C239" s="158">
        <v>427</v>
      </c>
      <c r="D239" s="158">
        <v>13909</v>
      </c>
      <c r="E239" s="158">
        <v>1471</v>
      </c>
      <c r="F239" s="204">
        <v>86594.049180000846</v>
      </c>
      <c r="G239" s="204">
        <v>5342.798148000009</v>
      </c>
      <c r="H239" s="204">
        <v>3564</v>
      </c>
      <c r="I239" s="204">
        <v>264587.41499999224</v>
      </c>
      <c r="J239" s="204">
        <v>34905.747499999787</v>
      </c>
      <c r="K239" s="204">
        <v>13374.75</v>
      </c>
      <c r="L239" s="204">
        <v>95500.847328000847</v>
      </c>
      <c r="M239" s="204">
        <v>312867.912499992</v>
      </c>
      <c r="N239" s="204">
        <v>312867.912499992</v>
      </c>
      <c r="O239" s="204">
        <v>408368.75982799288</v>
      </c>
      <c r="P239" s="209">
        <v>2.5928472982683193E-2</v>
      </c>
    </row>
    <row r="240" spans="1:16" x14ac:dyDescent="0.25">
      <c r="A240" s="156" t="s">
        <v>538</v>
      </c>
      <c r="B240" s="157">
        <v>46</v>
      </c>
      <c r="C240" s="157">
        <v>5</v>
      </c>
      <c r="D240" s="157">
        <v>532</v>
      </c>
      <c r="E240" s="157">
        <v>36</v>
      </c>
      <c r="F240" s="202">
        <v>3652.9198919999994</v>
      </c>
      <c r="G240" s="202">
        <v>124.839</v>
      </c>
      <c r="H240" s="202">
        <v>72</v>
      </c>
      <c r="I240" s="202">
        <v>12045.260000000006</v>
      </c>
      <c r="J240" s="202">
        <v>734.53250000000037</v>
      </c>
      <c r="K240" s="202">
        <v>82.5</v>
      </c>
      <c r="L240" s="202">
        <v>3849.7588919999994</v>
      </c>
      <c r="M240" s="202">
        <v>12862.292500000007</v>
      </c>
      <c r="N240" s="202">
        <v>12862.292500000007</v>
      </c>
      <c r="O240" s="202">
        <v>16712.051392000005</v>
      </c>
      <c r="P240" s="208">
        <v>1.0610948133868052E-3</v>
      </c>
    </row>
    <row r="241" spans="1:16" x14ac:dyDescent="0.25">
      <c r="A241" s="155" t="s">
        <v>381</v>
      </c>
      <c r="B241" s="158">
        <v>46</v>
      </c>
      <c r="C241" s="158">
        <v>5</v>
      </c>
      <c r="D241" s="158">
        <v>532</v>
      </c>
      <c r="E241" s="158">
        <v>36</v>
      </c>
      <c r="F241" s="204">
        <v>3652.9198919999994</v>
      </c>
      <c r="G241" s="204">
        <v>124.839</v>
      </c>
      <c r="H241" s="204">
        <v>72</v>
      </c>
      <c r="I241" s="204">
        <v>12045.260000000009</v>
      </c>
      <c r="J241" s="204">
        <v>734.53250000000037</v>
      </c>
      <c r="K241" s="204">
        <v>82.5</v>
      </c>
      <c r="L241" s="204">
        <v>3849.7588919999994</v>
      </c>
      <c r="M241" s="204">
        <v>12862.29250000001</v>
      </c>
      <c r="N241" s="204">
        <v>12862.29250000001</v>
      </c>
      <c r="O241" s="204">
        <v>16712.051392000008</v>
      </c>
      <c r="P241" s="209">
        <v>1.0610948133868054E-3</v>
      </c>
    </row>
    <row r="242" spans="1:16" x14ac:dyDescent="0.25">
      <c r="A242" s="156" t="s">
        <v>117</v>
      </c>
      <c r="B242" s="157">
        <v>57</v>
      </c>
      <c r="C242" s="157">
        <v>26</v>
      </c>
      <c r="D242" s="157">
        <v>566</v>
      </c>
      <c r="E242" s="157">
        <v>143</v>
      </c>
      <c r="F242" s="202">
        <v>2514.2406479999991</v>
      </c>
      <c r="G242" s="202">
        <v>565.8119999999999</v>
      </c>
      <c r="H242" s="202"/>
      <c r="I242" s="202">
        <v>10480.770000000002</v>
      </c>
      <c r="J242" s="202">
        <v>2248.5450000000001</v>
      </c>
      <c r="K242" s="202"/>
      <c r="L242" s="202">
        <v>3080.052647999999</v>
      </c>
      <c r="M242" s="202">
        <v>12729.315000000002</v>
      </c>
      <c r="N242" s="202">
        <v>12729.315000000002</v>
      </c>
      <c r="O242" s="202">
        <v>15809.367648000001</v>
      </c>
      <c r="P242" s="208">
        <v>1.003780901622179E-3</v>
      </c>
    </row>
    <row r="243" spans="1:16" x14ac:dyDescent="0.25">
      <c r="A243" s="155" t="s">
        <v>193</v>
      </c>
      <c r="B243" s="158">
        <v>57</v>
      </c>
      <c r="C243" s="158">
        <v>26</v>
      </c>
      <c r="D243" s="158">
        <v>566</v>
      </c>
      <c r="E243" s="158">
        <v>143</v>
      </c>
      <c r="F243" s="204">
        <v>2514.2406479999991</v>
      </c>
      <c r="G243" s="204">
        <v>565.8119999999999</v>
      </c>
      <c r="H243" s="204"/>
      <c r="I243" s="204">
        <v>10480.770000000008</v>
      </c>
      <c r="J243" s="204">
        <v>2248.5449999999996</v>
      </c>
      <c r="K243" s="204"/>
      <c r="L243" s="204">
        <v>3080.052647999999</v>
      </c>
      <c r="M243" s="204">
        <v>12729.315000000008</v>
      </c>
      <c r="N243" s="204">
        <v>12729.315000000008</v>
      </c>
      <c r="O243" s="204">
        <v>15809.367648000007</v>
      </c>
      <c r="P243" s="209">
        <v>1.0037809016221794E-3</v>
      </c>
    </row>
    <row r="244" spans="1:16" x14ac:dyDescent="0.25">
      <c r="A244" s="156" t="s">
        <v>131</v>
      </c>
      <c r="B244" s="157"/>
      <c r="C244" s="157">
        <v>17</v>
      </c>
      <c r="D244" s="157"/>
      <c r="E244" s="157">
        <v>50</v>
      </c>
      <c r="F244" s="202"/>
      <c r="G244" s="202">
        <v>292.03213699999998</v>
      </c>
      <c r="H244" s="202"/>
      <c r="I244" s="202"/>
      <c r="J244" s="202">
        <v>922.73999999999978</v>
      </c>
      <c r="K244" s="202"/>
      <c r="L244" s="202">
        <v>292.03213699999998</v>
      </c>
      <c r="M244" s="202">
        <v>922.73999999999978</v>
      </c>
      <c r="N244" s="202">
        <v>922.73999999999978</v>
      </c>
      <c r="O244" s="202">
        <v>1214.7721369999997</v>
      </c>
      <c r="P244" s="208">
        <v>7.712927538234708E-5</v>
      </c>
    </row>
    <row r="245" spans="1:16" x14ac:dyDescent="0.25">
      <c r="A245" s="155" t="s">
        <v>252</v>
      </c>
      <c r="B245" s="158"/>
      <c r="C245" s="158">
        <v>17</v>
      </c>
      <c r="D245" s="158"/>
      <c r="E245" s="158">
        <v>50</v>
      </c>
      <c r="F245" s="204"/>
      <c r="G245" s="204">
        <v>292.03213699999998</v>
      </c>
      <c r="H245" s="204"/>
      <c r="I245" s="204"/>
      <c r="J245" s="204">
        <v>922.7399999999999</v>
      </c>
      <c r="K245" s="204"/>
      <c r="L245" s="204">
        <v>292.03213699999998</v>
      </c>
      <c r="M245" s="204">
        <v>922.7399999999999</v>
      </c>
      <c r="N245" s="204">
        <v>922.7399999999999</v>
      </c>
      <c r="O245" s="204">
        <v>1214.7721369999999</v>
      </c>
      <c r="P245" s="209">
        <v>7.7129275382347093E-5</v>
      </c>
    </row>
    <row r="246" spans="1:16" ht="24" x14ac:dyDescent="0.25">
      <c r="A246" s="156" t="s">
        <v>439</v>
      </c>
      <c r="B246" s="157">
        <v>164</v>
      </c>
      <c r="C246" s="157">
        <v>370</v>
      </c>
      <c r="D246" s="157">
        <v>3198</v>
      </c>
      <c r="E246" s="157">
        <v>1535</v>
      </c>
      <c r="F246" s="202">
        <v>8264.1592439999968</v>
      </c>
      <c r="G246" s="202">
        <v>8177.9464749999916</v>
      </c>
      <c r="H246" s="202">
        <v>36</v>
      </c>
      <c r="I246" s="202">
        <v>77122.46999999971</v>
      </c>
      <c r="J246" s="202">
        <v>39948.64249999998</v>
      </c>
      <c r="K246" s="202">
        <v>345</v>
      </c>
      <c r="L246" s="202">
        <v>16478.105718999988</v>
      </c>
      <c r="M246" s="202">
        <v>117416.1124999997</v>
      </c>
      <c r="N246" s="202">
        <v>117416.1124999997</v>
      </c>
      <c r="O246" s="202">
        <v>133894.21821899968</v>
      </c>
      <c r="P246" s="208">
        <v>8.5013178311952858E-3</v>
      </c>
    </row>
    <row r="247" spans="1:16" x14ac:dyDescent="0.25">
      <c r="A247" s="155" t="s">
        <v>192</v>
      </c>
      <c r="B247" s="158">
        <v>164</v>
      </c>
      <c r="C247" s="158">
        <v>370</v>
      </c>
      <c r="D247" s="158">
        <v>3198</v>
      </c>
      <c r="E247" s="158">
        <v>1535</v>
      </c>
      <c r="F247" s="204">
        <v>8264.1592439999968</v>
      </c>
      <c r="G247" s="204">
        <v>8177.9464749999916</v>
      </c>
      <c r="H247" s="204">
        <v>36</v>
      </c>
      <c r="I247" s="204">
        <v>77122.469999999812</v>
      </c>
      <c r="J247" s="204">
        <v>39948.642500000118</v>
      </c>
      <c r="K247" s="204">
        <v>345</v>
      </c>
      <c r="L247" s="204">
        <v>16478.105718999988</v>
      </c>
      <c r="M247" s="204">
        <v>117416.11249999993</v>
      </c>
      <c r="N247" s="204">
        <v>117416.11249999993</v>
      </c>
      <c r="O247" s="204">
        <v>133894.21821899991</v>
      </c>
      <c r="P247" s="209">
        <v>8.5013178311953014E-3</v>
      </c>
    </row>
    <row r="248" spans="1:16" x14ac:dyDescent="0.25">
      <c r="A248" s="156" t="s">
        <v>119</v>
      </c>
      <c r="B248" s="157">
        <v>709</v>
      </c>
      <c r="C248" s="157">
        <v>238</v>
      </c>
      <c r="D248" s="157">
        <v>7101</v>
      </c>
      <c r="E248" s="157">
        <v>1115</v>
      </c>
      <c r="F248" s="202">
        <v>41604.108930000199</v>
      </c>
      <c r="G248" s="202">
        <v>4557.2660759999917</v>
      </c>
      <c r="H248" s="202">
        <v>3384</v>
      </c>
      <c r="I248" s="202">
        <v>135807.76999999979</v>
      </c>
      <c r="J248" s="202">
        <v>23512.579999999947</v>
      </c>
      <c r="K248" s="202">
        <v>10596.5</v>
      </c>
      <c r="L248" s="202">
        <v>49545.375006000191</v>
      </c>
      <c r="M248" s="202">
        <v>169916.84999999974</v>
      </c>
      <c r="N248" s="202">
        <v>169916.84999999974</v>
      </c>
      <c r="O248" s="202">
        <v>219462.22500599994</v>
      </c>
      <c r="P248" s="208">
        <v>1.3934269541539864E-2</v>
      </c>
    </row>
    <row r="249" spans="1:16" x14ac:dyDescent="0.25">
      <c r="A249" s="155" t="s">
        <v>191</v>
      </c>
      <c r="B249" s="158">
        <v>709</v>
      </c>
      <c r="C249" s="158">
        <v>238</v>
      </c>
      <c r="D249" s="158">
        <v>7101</v>
      </c>
      <c r="E249" s="158">
        <v>1115</v>
      </c>
      <c r="F249" s="204">
        <v>41604.108930000199</v>
      </c>
      <c r="G249" s="204">
        <v>4557.2660759999917</v>
      </c>
      <c r="H249" s="204">
        <v>3384</v>
      </c>
      <c r="I249" s="204">
        <v>135807.77000000139</v>
      </c>
      <c r="J249" s="204">
        <v>23512.579999999882</v>
      </c>
      <c r="K249" s="204">
        <v>10596.5</v>
      </c>
      <c r="L249" s="204">
        <v>49545.375006000191</v>
      </c>
      <c r="M249" s="204">
        <v>169916.85000000126</v>
      </c>
      <c r="N249" s="204">
        <v>169916.85000000126</v>
      </c>
      <c r="O249" s="204">
        <v>219462.22500600145</v>
      </c>
      <c r="P249" s="209">
        <v>1.393426954153996E-2</v>
      </c>
    </row>
    <row r="250" spans="1:16" x14ac:dyDescent="0.25">
      <c r="A250" s="156" t="s">
        <v>120</v>
      </c>
      <c r="B250" s="157">
        <v>306</v>
      </c>
      <c r="C250" s="157">
        <v>65</v>
      </c>
      <c r="D250" s="157">
        <v>3049</v>
      </c>
      <c r="E250" s="157">
        <v>229</v>
      </c>
      <c r="F250" s="202">
        <v>16530.481890000014</v>
      </c>
      <c r="G250" s="202">
        <v>921.02380500000129</v>
      </c>
      <c r="H250" s="202">
        <v>1656</v>
      </c>
      <c r="I250" s="202">
        <v>56617.680000000204</v>
      </c>
      <c r="J250" s="202">
        <v>5167.5975000000044</v>
      </c>
      <c r="K250" s="202">
        <v>4834</v>
      </c>
      <c r="L250" s="202">
        <v>19107.505695000014</v>
      </c>
      <c r="M250" s="202">
        <v>66619.2775000002</v>
      </c>
      <c r="N250" s="202">
        <v>66619.2775000002</v>
      </c>
      <c r="O250" s="202">
        <v>85726.783195000215</v>
      </c>
      <c r="P250" s="208">
        <v>5.4430328678916158E-3</v>
      </c>
    </row>
    <row r="251" spans="1:16" x14ac:dyDescent="0.25">
      <c r="A251" s="155" t="s">
        <v>190</v>
      </c>
      <c r="B251" s="158">
        <v>306</v>
      </c>
      <c r="C251" s="158">
        <v>65</v>
      </c>
      <c r="D251" s="158">
        <v>3049</v>
      </c>
      <c r="E251" s="158">
        <v>229</v>
      </c>
      <c r="F251" s="204">
        <v>16530.481890000014</v>
      </c>
      <c r="G251" s="204">
        <v>921.02380500000129</v>
      </c>
      <c r="H251" s="204">
        <v>1656</v>
      </c>
      <c r="I251" s="204">
        <v>56617.680000000364</v>
      </c>
      <c r="J251" s="204">
        <v>5167.5975000000117</v>
      </c>
      <c r="K251" s="204">
        <v>4834</v>
      </c>
      <c r="L251" s="204">
        <v>19107.505695000014</v>
      </c>
      <c r="M251" s="204">
        <v>66619.277500000375</v>
      </c>
      <c r="N251" s="204">
        <v>66619.277500000375</v>
      </c>
      <c r="O251" s="204">
        <v>85726.783195000389</v>
      </c>
      <c r="P251" s="209">
        <v>5.443032867891627E-3</v>
      </c>
    </row>
    <row r="252" spans="1:16" ht="24" x14ac:dyDescent="0.25">
      <c r="A252" s="156" t="s">
        <v>499</v>
      </c>
      <c r="B252" s="157"/>
      <c r="C252" s="157">
        <v>13</v>
      </c>
      <c r="D252" s="157"/>
      <c r="E252" s="157">
        <v>60</v>
      </c>
      <c r="F252" s="202"/>
      <c r="G252" s="202">
        <v>200.77199999999996</v>
      </c>
      <c r="H252" s="202"/>
      <c r="I252" s="202"/>
      <c r="J252" s="202">
        <v>877.10999999999979</v>
      </c>
      <c r="K252" s="202"/>
      <c r="L252" s="202">
        <v>200.77199999999996</v>
      </c>
      <c r="M252" s="202">
        <v>877.10999999999979</v>
      </c>
      <c r="N252" s="202">
        <v>877.10999999999979</v>
      </c>
      <c r="O252" s="202">
        <v>1077.8819999999998</v>
      </c>
      <c r="P252" s="208">
        <v>6.8437738301265497E-5</v>
      </c>
    </row>
    <row r="253" spans="1:16" x14ac:dyDescent="0.25">
      <c r="A253" s="155" t="s">
        <v>189</v>
      </c>
      <c r="B253" s="158"/>
      <c r="C253" s="158">
        <v>13</v>
      </c>
      <c r="D253" s="158"/>
      <c r="E253" s="158">
        <v>60</v>
      </c>
      <c r="F253" s="204"/>
      <c r="G253" s="204">
        <v>200.77199999999996</v>
      </c>
      <c r="H253" s="204"/>
      <c r="I253" s="204"/>
      <c r="J253" s="204">
        <v>877.10999999999979</v>
      </c>
      <c r="K253" s="204"/>
      <c r="L253" s="204">
        <v>200.77199999999996</v>
      </c>
      <c r="M253" s="204">
        <v>877.10999999999979</v>
      </c>
      <c r="N253" s="204">
        <v>877.10999999999979</v>
      </c>
      <c r="O253" s="204">
        <v>1077.8819999999998</v>
      </c>
      <c r="P253" s="209">
        <v>6.8437738301265497E-5</v>
      </c>
    </row>
    <row r="254" spans="1:16" x14ac:dyDescent="0.25">
      <c r="A254" s="156" t="s">
        <v>122</v>
      </c>
      <c r="B254" s="157">
        <v>867</v>
      </c>
      <c r="C254" s="157">
        <v>505</v>
      </c>
      <c r="D254" s="157">
        <v>9289</v>
      </c>
      <c r="E254" s="157">
        <v>1683</v>
      </c>
      <c r="F254" s="202">
        <v>58279.334040000089</v>
      </c>
      <c r="G254" s="202">
        <v>9824.4904980000083</v>
      </c>
      <c r="H254" s="202">
        <v>3384</v>
      </c>
      <c r="I254" s="202">
        <v>190899.70999999912</v>
      </c>
      <c r="J254" s="202">
        <v>45684.502499999951</v>
      </c>
      <c r="K254" s="202">
        <v>10681.8</v>
      </c>
      <c r="L254" s="202">
        <v>71487.824538000103</v>
      </c>
      <c r="M254" s="202">
        <v>247266.01249999905</v>
      </c>
      <c r="N254" s="202">
        <v>247266.01249999905</v>
      </c>
      <c r="O254" s="202">
        <v>318753.83703799918</v>
      </c>
      <c r="P254" s="208">
        <v>2.0238571273785835E-2</v>
      </c>
    </row>
    <row r="255" spans="1:16" x14ac:dyDescent="0.25">
      <c r="A255" s="155" t="s">
        <v>185</v>
      </c>
      <c r="B255" s="158">
        <v>867</v>
      </c>
      <c r="C255" s="158">
        <v>505</v>
      </c>
      <c r="D255" s="158">
        <v>9289</v>
      </c>
      <c r="E255" s="158">
        <v>1683</v>
      </c>
      <c r="F255" s="204">
        <v>58279.334040000089</v>
      </c>
      <c r="G255" s="204">
        <v>9824.4904980000083</v>
      </c>
      <c r="H255" s="204">
        <v>3384</v>
      </c>
      <c r="I255" s="204">
        <v>190899.7099999983</v>
      </c>
      <c r="J255" s="204">
        <v>45684.502499999951</v>
      </c>
      <c r="K255" s="204">
        <v>10681.8</v>
      </c>
      <c r="L255" s="204">
        <v>71487.824538000103</v>
      </c>
      <c r="M255" s="204">
        <v>247266.01249999824</v>
      </c>
      <c r="N255" s="204">
        <v>247266.01249999824</v>
      </c>
      <c r="O255" s="204">
        <v>318753.83703799837</v>
      </c>
      <c r="P255" s="209">
        <v>2.0238571273785783E-2</v>
      </c>
    </row>
    <row r="256" spans="1:16" x14ac:dyDescent="0.25">
      <c r="A256" s="156" t="s">
        <v>123</v>
      </c>
      <c r="B256" s="157">
        <v>52</v>
      </c>
      <c r="C256" s="157">
        <v>45</v>
      </c>
      <c r="D256" s="157">
        <v>693</v>
      </c>
      <c r="E256" s="157">
        <v>137</v>
      </c>
      <c r="F256" s="202">
        <v>4520.1601620000029</v>
      </c>
      <c r="G256" s="202">
        <v>410.66999999999967</v>
      </c>
      <c r="H256" s="202"/>
      <c r="I256" s="202">
        <v>16973.780000000013</v>
      </c>
      <c r="J256" s="202">
        <v>3270.1500000000019</v>
      </c>
      <c r="K256" s="202">
        <v>104</v>
      </c>
      <c r="L256" s="202">
        <v>4930.8301620000029</v>
      </c>
      <c r="M256" s="202">
        <v>20347.930000000015</v>
      </c>
      <c r="N256" s="202">
        <v>20347.930000000015</v>
      </c>
      <c r="O256" s="202">
        <v>25278.760162000017</v>
      </c>
      <c r="P256" s="208">
        <v>1.6050190768074923E-3</v>
      </c>
    </row>
    <row r="257" spans="1:16" x14ac:dyDescent="0.25">
      <c r="A257" s="155" t="s">
        <v>184</v>
      </c>
      <c r="B257" s="158">
        <v>52</v>
      </c>
      <c r="C257" s="158">
        <v>45</v>
      </c>
      <c r="D257" s="158">
        <v>693</v>
      </c>
      <c r="E257" s="158">
        <v>137</v>
      </c>
      <c r="F257" s="204">
        <v>4520.1601620000029</v>
      </c>
      <c r="G257" s="204">
        <v>410.66999999999967</v>
      </c>
      <c r="H257" s="204"/>
      <c r="I257" s="204">
        <v>16973.779999999992</v>
      </c>
      <c r="J257" s="204">
        <v>3270.1500000000046</v>
      </c>
      <c r="K257" s="204">
        <v>104</v>
      </c>
      <c r="L257" s="204">
        <v>4930.8301620000029</v>
      </c>
      <c r="M257" s="204">
        <v>20347.929999999997</v>
      </c>
      <c r="N257" s="204">
        <v>20347.929999999997</v>
      </c>
      <c r="O257" s="204">
        <v>25278.760161999999</v>
      </c>
      <c r="P257" s="209">
        <v>1.6050190768074912E-3</v>
      </c>
    </row>
    <row r="258" spans="1:16" x14ac:dyDescent="0.25">
      <c r="A258" s="156" t="s">
        <v>124</v>
      </c>
      <c r="B258" s="157">
        <v>330</v>
      </c>
      <c r="C258" s="157">
        <v>270</v>
      </c>
      <c r="D258" s="157">
        <v>3661</v>
      </c>
      <c r="E258" s="157">
        <v>1104</v>
      </c>
      <c r="F258" s="202">
        <v>23807.341601999986</v>
      </c>
      <c r="G258" s="202">
        <v>3959.5140430000079</v>
      </c>
      <c r="H258" s="202">
        <v>1872</v>
      </c>
      <c r="I258" s="202">
        <v>80280.310000000231</v>
      </c>
      <c r="J258" s="202">
        <v>29450.03750000002</v>
      </c>
      <c r="K258" s="202">
        <v>6518.5</v>
      </c>
      <c r="L258" s="202">
        <v>29638.855644999992</v>
      </c>
      <c r="M258" s="202">
        <v>116248.84750000025</v>
      </c>
      <c r="N258" s="202">
        <v>116248.84750000025</v>
      </c>
      <c r="O258" s="202">
        <v>145887.70314500024</v>
      </c>
      <c r="P258" s="208">
        <v>9.2628176824645341E-3</v>
      </c>
    </row>
    <row r="259" spans="1:16" x14ac:dyDescent="0.25">
      <c r="A259" s="155" t="s">
        <v>179</v>
      </c>
      <c r="B259" s="158">
        <v>330</v>
      </c>
      <c r="C259" s="158">
        <v>270</v>
      </c>
      <c r="D259" s="158">
        <v>3661</v>
      </c>
      <c r="E259" s="158">
        <v>1104</v>
      </c>
      <c r="F259" s="204">
        <v>23807.341601999986</v>
      </c>
      <c r="G259" s="204">
        <v>3959.5140430000079</v>
      </c>
      <c r="H259" s="204">
        <v>1872</v>
      </c>
      <c r="I259" s="204">
        <v>80280.310000000594</v>
      </c>
      <c r="J259" s="204">
        <v>29450.037499999944</v>
      </c>
      <c r="K259" s="204">
        <v>6518.5</v>
      </c>
      <c r="L259" s="204">
        <v>29638.855644999992</v>
      </c>
      <c r="M259" s="204">
        <v>116248.84750000054</v>
      </c>
      <c r="N259" s="204">
        <v>116248.84750000054</v>
      </c>
      <c r="O259" s="204">
        <v>145887.70314500053</v>
      </c>
      <c r="P259" s="209">
        <v>9.2628176824645515E-3</v>
      </c>
    </row>
    <row r="260" spans="1:16" x14ac:dyDescent="0.25">
      <c r="A260" s="156" t="s">
        <v>125</v>
      </c>
      <c r="B260" s="157">
        <v>430</v>
      </c>
      <c r="C260" s="157">
        <v>157</v>
      </c>
      <c r="D260" s="157">
        <v>4549</v>
      </c>
      <c r="E260" s="157">
        <v>611</v>
      </c>
      <c r="F260" s="202">
        <v>27257.224734000003</v>
      </c>
      <c r="G260" s="202">
        <v>1956.1218940000044</v>
      </c>
      <c r="H260" s="202">
        <v>1080</v>
      </c>
      <c r="I260" s="202">
        <v>94190.049999999843</v>
      </c>
      <c r="J260" s="202">
        <v>14886.234999999981</v>
      </c>
      <c r="K260" s="202">
        <v>3213</v>
      </c>
      <c r="L260" s="202">
        <v>30293.346628000007</v>
      </c>
      <c r="M260" s="202">
        <v>112289.28499999983</v>
      </c>
      <c r="N260" s="202">
        <v>112289.28499999983</v>
      </c>
      <c r="O260" s="202">
        <v>142582.63162799983</v>
      </c>
      <c r="P260" s="208">
        <v>9.0529694620216268E-3</v>
      </c>
    </row>
    <row r="261" spans="1:16" x14ac:dyDescent="0.25">
      <c r="A261" s="155" t="s">
        <v>177</v>
      </c>
      <c r="B261" s="158">
        <v>430</v>
      </c>
      <c r="C261" s="158">
        <v>157</v>
      </c>
      <c r="D261" s="158">
        <v>4549</v>
      </c>
      <c r="E261" s="158">
        <v>611</v>
      </c>
      <c r="F261" s="204">
        <v>27257.224734000003</v>
      </c>
      <c r="G261" s="204">
        <v>1956.1218940000044</v>
      </c>
      <c r="H261" s="204">
        <v>1080</v>
      </c>
      <c r="I261" s="204">
        <v>94190.050000000687</v>
      </c>
      <c r="J261" s="204">
        <v>14886.23499999997</v>
      </c>
      <c r="K261" s="204">
        <v>3213</v>
      </c>
      <c r="L261" s="204">
        <v>30293.346628000007</v>
      </c>
      <c r="M261" s="204">
        <v>112289.28500000066</v>
      </c>
      <c r="N261" s="204">
        <v>112289.28500000066</v>
      </c>
      <c r="O261" s="204">
        <v>142582.63162800067</v>
      </c>
      <c r="P261" s="209">
        <v>9.0529694620216806E-3</v>
      </c>
    </row>
    <row r="262" spans="1:16" x14ac:dyDescent="0.25">
      <c r="A262" s="37" t="s">
        <v>13</v>
      </c>
      <c r="B262" s="159">
        <v>44950</v>
      </c>
      <c r="C262" s="159">
        <v>23852</v>
      </c>
      <c r="D262" s="159">
        <v>463783</v>
      </c>
      <c r="E262" s="159">
        <v>95872</v>
      </c>
      <c r="F262" s="206">
        <v>2687921.3008620013</v>
      </c>
      <c r="G262" s="206">
        <v>349294.94866599998</v>
      </c>
      <c r="H262" s="206">
        <v>360360.72000000032</v>
      </c>
      <c r="I262" s="206">
        <v>9081290.5550000053</v>
      </c>
      <c r="J262" s="206">
        <v>2178895.0624999963</v>
      </c>
      <c r="K262" s="206">
        <v>1147878.4699999995</v>
      </c>
      <c r="L262" s="206">
        <v>3397576.9695280013</v>
      </c>
      <c r="M262" s="206">
        <v>12408064.0875</v>
      </c>
      <c r="N262" s="206">
        <v>12352242.161769452</v>
      </c>
      <c r="O262" s="206">
        <v>15749819.131297452</v>
      </c>
      <c r="P262" s="210">
        <v>1</v>
      </c>
    </row>
    <row r="265" spans="1:16" x14ac:dyDescent="0.25">
      <c r="A265" s="144" t="s">
        <v>475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ul16">
    <tabColor theme="9" tint="0.59999389629810485"/>
  </sheetPr>
  <dimension ref="A1:O265"/>
  <sheetViews>
    <sheetView zoomScale="90" zoomScaleNormal="90" workbookViewId="0">
      <pane xSplit="1" ySplit="1" topLeftCell="E24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34.140625" customWidth="1"/>
    <col min="2" max="13" width="17.42578125" customWidth="1"/>
  </cols>
  <sheetData>
    <row r="1" spans="1:15" ht="54" customHeight="1" x14ac:dyDescent="0.25">
      <c r="A1" s="36" t="s">
        <v>12</v>
      </c>
      <c r="B1" s="36" t="s">
        <v>476</v>
      </c>
      <c r="C1" s="36" t="s">
        <v>127</v>
      </c>
      <c r="D1" s="36" t="s">
        <v>477</v>
      </c>
      <c r="E1" s="36" t="s">
        <v>478</v>
      </c>
      <c r="F1" s="36" t="s">
        <v>479</v>
      </c>
      <c r="G1" s="36" t="s">
        <v>480</v>
      </c>
      <c r="H1" s="36" t="s">
        <v>481</v>
      </c>
      <c r="I1" s="36" t="s">
        <v>482</v>
      </c>
      <c r="J1" s="36" t="s">
        <v>483</v>
      </c>
      <c r="K1" s="36" t="s">
        <v>484</v>
      </c>
      <c r="L1" s="36" t="s">
        <v>442</v>
      </c>
      <c r="M1" s="36" t="s">
        <v>443</v>
      </c>
    </row>
    <row r="2" spans="1:15" x14ac:dyDescent="0.25">
      <c r="A2" s="156" t="s">
        <v>380</v>
      </c>
      <c r="B2" s="157">
        <v>2089</v>
      </c>
      <c r="C2" s="157">
        <v>1937</v>
      </c>
      <c r="D2" s="157">
        <v>1778</v>
      </c>
      <c r="E2" s="157">
        <v>43</v>
      </c>
      <c r="F2" s="157">
        <v>1479</v>
      </c>
      <c r="G2" s="157">
        <v>41</v>
      </c>
      <c r="H2" s="202">
        <v>4409.322783575325</v>
      </c>
      <c r="I2" s="202">
        <v>140.96332799999993</v>
      </c>
      <c r="J2" s="202">
        <v>2065.5425852731209</v>
      </c>
      <c r="K2" s="202">
        <v>72.617471999999964</v>
      </c>
      <c r="L2" s="202">
        <v>6688.4461688484844</v>
      </c>
      <c r="M2" s="208">
        <v>1.9816111486939857E-2</v>
      </c>
      <c r="O2" s="113"/>
    </row>
    <row r="3" spans="1:15" x14ac:dyDescent="0.25">
      <c r="A3" s="155" t="s">
        <v>379</v>
      </c>
      <c r="B3" s="158">
        <v>2089</v>
      </c>
      <c r="C3" s="158">
        <v>1937</v>
      </c>
      <c r="D3" s="158">
        <v>1778</v>
      </c>
      <c r="E3" s="158">
        <v>43</v>
      </c>
      <c r="F3" s="158">
        <v>1479</v>
      </c>
      <c r="G3" s="158">
        <v>41</v>
      </c>
      <c r="H3" s="204">
        <v>4409.322783575325</v>
      </c>
      <c r="I3" s="204">
        <v>140.96332799999993</v>
      </c>
      <c r="J3" s="204">
        <v>2065.5425852731209</v>
      </c>
      <c r="K3" s="204">
        <v>72.617471999999964</v>
      </c>
      <c r="L3" s="204">
        <v>6688.4461688484844</v>
      </c>
      <c r="M3" s="209">
        <v>1.9816111486939868E-2</v>
      </c>
      <c r="N3" s="144"/>
      <c r="O3" s="113"/>
    </row>
    <row r="4" spans="1:15" x14ac:dyDescent="0.25">
      <c r="A4" s="156" t="s">
        <v>15</v>
      </c>
      <c r="B4" s="157">
        <v>154</v>
      </c>
      <c r="C4" s="157">
        <v>278</v>
      </c>
      <c r="D4" s="157">
        <v>117</v>
      </c>
      <c r="E4" s="157">
        <v>5</v>
      </c>
      <c r="F4" s="157">
        <v>142</v>
      </c>
      <c r="G4" s="157">
        <v>3</v>
      </c>
      <c r="H4" s="202">
        <v>394.93842454499674</v>
      </c>
      <c r="I4" s="202">
        <v>23.142852000000001</v>
      </c>
      <c r="J4" s="202">
        <v>243.33302931643303</v>
      </c>
      <c r="K4" s="202">
        <v>7.7142840000000001</v>
      </c>
      <c r="L4" s="202">
        <v>669.1285898614284</v>
      </c>
      <c r="M4" s="208">
        <v>1.9824524861318791E-3</v>
      </c>
      <c r="N4" s="144"/>
      <c r="O4" s="113"/>
    </row>
    <row r="5" spans="1:15" x14ac:dyDescent="0.25">
      <c r="A5" s="155" t="s">
        <v>321</v>
      </c>
      <c r="B5" s="158">
        <v>154</v>
      </c>
      <c r="C5" s="158">
        <v>278</v>
      </c>
      <c r="D5" s="158">
        <v>117</v>
      </c>
      <c r="E5" s="158">
        <v>5</v>
      </c>
      <c r="F5" s="158">
        <v>142</v>
      </c>
      <c r="G5" s="158">
        <v>3</v>
      </c>
      <c r="H5" s="204">
        <v>394.93842454499674</v>
      </c>
      <c r="I5" s="204">
        <v>23.142852000000001</v>
      </c>
      <c r="J5" s="204">
        <v>243.33302931643303</v>
      </c>
      <c r="K5" s="204">
        <v>7.7142840000000001</v>
      </c>
      <c r="L5" s="204">
        <v>669.1285898614284</v>
      </c>
      <c r="M5" s="209">
        <v>1.9824524861318804E-3</v>
      </c>
      <c r="N5" s="144"/>
      <c r="O5" s="113"/>
    </row>
    <row r="6" spans="1:15" x14ac:dyDescent="0.25">
      <c r="A6" s="156" t="s">
        <v>16</v>
      </c>
      <c r="B6" s="157">
        <v>12</v>
      </c>
      <c r="C6" s="157">
        <v>25</v>
      </c>
      <c r="D6" s="157">
        <v>2</v>
      </c>
      <c r="E6" s="157"/>
      <c r="F6" s="157">
        <v>2</v>
      </c>
      <c r="G6" s="157"/>
      <c r="H6" s="202">
        <v>29.330200627400629</v>
      </c>
      <c r="I6" s="202"/>
      <c r="J6" s="202">
        <v>14.665100313700314</v>
      </c>
      <c r="K6" s="202"/>
      <c r="L6" s="202">
        <v>43.99530094110095</v>
      </c>
      <c r="M6" s="208">
        <v>1.3034653585324775E-4</v>
      </c>
      <c r="N6" s="144"/>
      <c r="O6" s="113"/>
    </row>
    <row r="7" spans="1:15" x14ac:dyDescent="0.25">
      <c r="A7" s="155" t="s">
        <v>320</v>
      </c>
      <c r="B7" s="158">
        <v>12</v>
      </c>
      <c r="C7" s="158">
        <v>25</v>
      </c>
      <c r="D7" s="158">
        <v>2</v>
      </c>
      <c r="E7" s="158"/>
      <c r="F7" s="158">
        <v>2</v>
      </c>
      <c r="G7" s="158"/>
      <c r="H7" s="204">
        <v>29.330200627400629</v>
      </c>
      <c r="I7" s="204"/>
      <c r="J7" s="204">
        <v>14.665100313700314</v>
      </c>
      <c r="K7" s="204"/>
      <c r="L7" s="204">
        <v>43.99530094110095</v>
      </c>
      <c r="M7" s="209">
        <v>1.303465358532478E-4</v>
      </c>
      <c r="N7" s="144"/>
      <c r="O7" s="113"/>
    </row>
    <row r="8" spans="1:15" x14ac:dyDescent="0.25">
      <c r="A8" s="156" t="s">
        <v>488</v>
      </c>
      <c r="B8" s="157">
        <v>324</v>
      </c>
      <c r="C8" s="157">
        <v>856</v>
      </c>
      <c r="D8" s="157">
        <v>134</v>
      </c>
      <c r="E8" s="157">
        <v>4</v>
      </c>
      <c r="F8" s="157">
        <v>154</v>
      </c>
      <c r="G8" s="157">
        <v>2</v>
      </c>
      <c r="H8" s="202">
        <v>1062.7867875375703</v>
      </c>
      <c r="I8" s="202">
        <v>34.202896000000003</v>
      </c>
      <c r="J8" s="202">
        <v>610.11834099379132</v>
      </c>
      <c r="K8" s="202">
        <v>8.5507240000000007</v>
      </c>
      <c r="L8" s="202">
        <v>1715.6587485313585</v>
      </c>
      <c r="M8" s="208">
        <v>5.0830468207676881E-3</v>
      </c>
      <c r="N8" s="144"/>
      <c r="O8" s="113"/>
    </row>
    <row r="9" spans="1:15" x14ac:dyDescent="0.25">
      <c r="A9" s="155" t="s">
        <v>487</v>
      </c>
      <c r="B9" s="158">
        <v>324</v>
      </c>
      <c r="C9" s="158">
        <v>856</v>
      </c>
      <c r="D9" s="158">
        <v>134</v>
      </c>
      <c r="E9" s="158">
        <v>4</v>
      </c>
      <c r="F9" s="158">
        <v>154</v>
      </c>
      <c r="G9" s="158">
        <v>2</v>
      </c>
      <c r="H9" s="204">
        <v>1062.7867875375703</v>
      </c>
      <c r="I9" s="204">
        <v>34.202896000000003</v>
      </c>
      <c r="J9" s="204">
        <v>610.11834099379132</v>
      </c>
      <c r="K9" s="204">
        <v>8.5507240000000007</v>
      </c>
      <c r="L9" s="204">
        <v>1715.6587485313585</v>
      </c>
      <c r="M9" s="209">
        <v>5.0830468207676907E-3</v>
      </c>
      <c r="N9" s="144"/>
      <c r="O9" s="113"/>
    </row>
    <row r="10" spans="1:15" x14ac:dyDescent="0.25">
      <c r="A10" s="156" t="s">
        <v>17</v>
      </c>
      <c r="B10" s="157">
        <v>255</v>
      </c>
      <c r="C10" s="157">
        <v>529</v>
      </c>
      <c r="D10" s="157">
        <v>78</v>
      </c>
      <c r="E10" s="157">
        <v>3</v>
      </c>
      <c r="F10" s="157">
        <v>67</v>
      </c>
      <c r="G10" s="157">
        <v>1</v>
      </c>
      <c r="H10" s="202">
        <v>714.67694801501091</v>
      </c>
      <c r="I10" s="202">
        <v>27.999996000000003</v>
      </c>
      <c r="J10" s="202">
        <v>299.32898147381962</v>
      </c>
      <c r="K10" s="202">
        <v>4.6666660000000002</v>
      </c>
      <c r="L10" s="202">
        <v>1046.6725914888318</v>
      </c>
      <c r="M10" s="208">
        <v>3.1010163257152771E-3</v>
      </c>
      <c r="N10" s="144"/>
      <c r="O10" s="113"/>
    </row>
    <row r="11" spans="1:15" x14ac:dyDescent="0.25">
      <c r="A11" s="155" t="s">
        <v>319</v>
      </c>
      <c r="B11" s="158">
        <v>255</v>
      </c>
      <c r="C11" s="158">
        <v>529</v>
      </c>
      <c r="D11" s="158">
        <v>78</v>
      </c>
      <c r="E11" s="158">
        <v>3</v>
      </c>
      <c r="F11" s="158">
        <v>67</v>
      </c>
      <c r="G11" s="158">
        <v>1</v>
      </c>
      <c r="H11" s="204">
        <v>714.67694801501091</v>
      </c>
      <c r="I11" s="204">
        <v>27.999996000000003</v>
      </c>
      <c r="J11" s="204">
        <v>299.32898147381962</v>
      </c>
      <c r="K11" s="204">
        <v>4.6666660000000002</v>
      </c>
      <c r="L11" s="204">
        <v>1046.6725914888318</v>
      </c>
      <c r="M11" s="209">
        <v>3.1010163257152788E-3</v>
      </c>
      <c r="N11" s="144"/>
      <c r="O11" s="113"/>
    </row>
    <row r="12" spans="1:15" x14ac:dyDescent="0.25">
      <c r="A12" s="156" t="s">
        <v>493</v>
      </c>
      <c r="B12" s="157">
        <v>95</v>
      </c>
      <c r="C12" s="157">
        <v>7</v>
      </c>
      <c r="D12" s="157">
        <v>86</v>
      </c>
      <c r="E12" s="157">
        <v>1</v>
      </c>
      <c r="F12" s="157">
        <v>7</v>
      </c>
      <c r="G12" s="157"/>
      <c r="H12" s="202">
        <v>178.02653582187952</v>
      </c>
      <c r="I12" s="202">
        <v>2.0816319999999999</v>
      </c>
      <c r="J12" s="202">
        <v>7.2452659927509124</v>
      </c>
      <c r="K12" s="202"/>
      <c r="L12" s="202">
        <v>187.35343381463042</v>
      </c>
      <c r="M12" s="208">
        <v>5.5507907789155561E-4</v>
      </c>
      <c r="N12" s="144"/>
      <c r="O12" s="113"/>
    </row>
    <row r="13" spans="1:15" x14ac:dyDescent="0.25">
      <c r="A13" s="155" t="s">
        <v>317</v>
      </c>
      <c r="B13" s="158">
        <v>95</v>
      </c>
      <c r="C13" s="158">
        <v>7</v>
      </c>
      <c r="D13" s="158">
        <v>86</v>
      </c>
      <c r="E13" s="158">
        <v>1</v>
      </c>
      <c r="F13" s="158">
        <v>7</v>
      </c>
      <c r="G13" s="158"/>
      <c r="H13" s="204">
        <v>178.02653582187952</v>
      </c>
      <c r="I13" s="204">
        <v>2.0816319999999999</v>
      </c>
      <c r="J13" s="204">
        <v>7.2452659927509124</v>
      </c>
      <c r="K13" s="204"/>
      <c r="L13" s="204">
        <v>187.35343381463042</v>
      </c>
      <c r="M13" s="209">
        <v>5.5507907789155582E-4</v>
      </c>
      <c r="N13" s="144"/>
      <c r="O13" s="113"/>
    </row>
    <row r="14" spans="1:15" x14ac:dyDescent="0.25">
      <c r="A14" s="156" t="s">
        <v>19</v>
      </c>
      <c r="B14" s="157">
        <v>525</v>
      </c>
      <c r="C14" s="157">
        <v>1518</v>
      </c>
      <c r="D14" s="157">
        <v>405</v>
      </c>
      <c r="E14" s="157">
        <v>13</v>
      </c>
      <c r="F14" s="157">
        <v>1008</v>
      </c>
      <c r="G14" s="157">
        <v>15</v>
      </c>
      <c r="H14" s="202">
        <v>1402.2720359342959</v>
      </c>
      <c r="I14" s="202">
        <v>60.758351999999988</v>
      </c>
      <c r="J14" s="202">
        <v>1727.0352184038054</v>
      </c>
      <c r="K14" s="202">
        <v>31.644974999999992</v>
      </c>
      <c r="L14" s="202">
        <v>3221.7105813381204</v>
      </c>
      <c r="M14" s="208">
        <v>9.5450833342718422E-3</v>
      </c>
      <c r="N14" s="144"/>
      <c r="O14" s="113"/>
    </row>
    <row r="15" spans="1:15" x14ac:dyDescent="0.25">
      <c r="A15" s="155" t="s">
        <v>316</v>
      </c>
      <c r="B15" s="158">
        <v>525</v>
      </c>
      <c r="C15" s="158">
        <v>1518</v>
      </c>
      <c r="D15" s="158">
        <v>405</v>
      </c>
      <c r="E15" s="158">
        <v>13</v>
      </c>
      <c r="F15" s="158">
        <v>1008</v>
      </c>
      <c r="G15" s="158">
        <v>15</v>
      </c>
      <c r="H15" s="204">
        <v>1402.2720359342959</v>
      </c>
      <c r="I15" s="204">
        <v>60.758351999999988</v>
      </c>
      <c r="J15" s="204">
        <v>1727.0352184038054</v>
      </c>
      <c r="K15" s="204">
        <v>31.644974999999992</v>
      </c>
      <c r="L15" s="204">
        <v>3221.7105813381204</v>
      </c>
      <c r="M15" s="209">
        <v>9.5450833342718474E-3</v>
      </c>
      <c r="N15" s="144"/>
      <c r="O15" s="113"/>
    </row>
    <row r="16" spans="1:15" x14ac:dyDescent="0.25">
      <c r="A16" s="156" t="s">
        <v>148</v>
      </c>
      <c r="B16" s="157">
        <v>1374</v>
      </c>
      <c r="C16" s="157">
        <v>1942</v>
      </c>
      <c r="D16" s="157">
        <v>1109</v>
      </c>
      <c r="E16" s="157">
        <v>27</v>
      </c>
      <c r="F16" s="157">
        <v>1248</v>
      </c>
      <c r="G16" s="157">
        <v>11</v>
      </c>
      <c r="H16" s="202">
        <v>3601.2693131022938</v>
      </c>
      <c r="I16" s="202">
        <v>105.38387200000003</v>
      </c>
      <c r="J16" s="202">
        <v>2240.0752572570859</v>
      </c>
      <c r="K16" s="202">
        <v>23.950880000000002</v>
      </c>
      <c r="L16" s="202">
        <v>5970.6793223594541</v>
      </c>
      <c r="M16" s="208">
        <v>1.7689556605194487E-2</v>
      </c>
      <c r="N16" s="144"/>
      <c r="O16" s="113"/>
    </row>
    <row r="17" spans="1:15" x14ac:dyDescent="0.25">
      <c r="A17" s="155" t="s">
        <v>175</v>
      </c>
      <c r="B17" s="158">
        <v>1374</v>
      </c>
      <c r="C17" s="158">
        <v>1942</v>
      </c>
      <c r="D17" s="158">
        <v>1109</v>
      </c>
      <c r="E17" s="158">
        <v>27</v>
      </c>
      <c r="F17" s="158">
        <v>1248</v>
      </c>
      <c r="G17" s="158">
        <v>11</v>
      </c>
      <c r="H17" s="204">
        <v>3601.2693131022938</v>
      </c>
      <c r="I17" s="204">
        <v>105.38387200000003</v>
      </c>
      <c r="J17" s="204">
        <v>2240.0752572570859</v>
      </c>
      <c r="K17" s="204">
        <v>23.950880000000002</v>
      </c>
      <c r="L17" s="204">
        <v>5970.6793223594541</v>
      </c>
      <c r="M17" s="209">
        <v>1.7689556605194497E-2</v>
      </c>
      <c r="N17" s="144"/>
      <c r="O17" s="113"/>
    </row>
    <row r="18" spans="1:15" x14ac:dyDescent="0.25">
      <c r="A18" s="156" t="s">
        <v>20</v>
      </c>
      <c r="B18" s="157">
        <v>21</v>
      </c>
      <c r="C18" s="157"/>
      <c r="D18" s="157">
        <v>16</v>
      </c>
      <c r="E18" s="157"/>
      <c r="F18" s="157"/>
      <c r="G18" s="157"/>
      <c r="H18" s="202">
        <v>59.352870255518766</v>
      </c>
      <c r="I18" s="202"/>
      <c r="J18" s="202"/>
      <c r="K18" s="202"/>
      <c r="L18" s="202">
        <v>59.352870255518766</v>
      </c>
      <c r="M18" s="208">
        <v>1.7584698513851193E-4</v>
      </c>
      <c r="N18" s="144"/>
      <c r="O18" s="113"/>
    </row>
    <row r="19" spans="1:15" x14ac:dyDescent="0.25">
      <c r="A19" s="155" t="s">
        <v>315</v>
      </c>
      <c r="B19" s="158">
        <v>21</v>
      </c>
      <c r="C19" s="158"/>
      <c r="D19" s="158">
        <v>16</v>
      </c>
      <c r="E19" s="158"/>
      <c r="F19" s="158"/>
      <c r="G19" s="158"/>
      <c r="H19" s="204">
        <v>59.352870255518766</v>
      </c>
      <c r="I19" s="204"/>
      <c r="J19" s="204"/>
      <c r="K19" s="204"/>
      <c r="L19" s="204">
        <v>59.352870255518766</v>
      </c>
      <c r="M19" s="209">
        <v>1.7584698513851201E-4</v>
      </c>
      <c r="N19" s="144"/>
      <c r="O19" s="113"/>
    </row>
    <row r="20" spans="1:15" ht="24" x14ac:dyDescent="0.25">
      <c r="A20" s="156" t="s">
        <v>21</v>
      </c>
      <c r="B20" s="157">
        <v>2322</v>
      </c>
      <c r="C20" s="157">
        <v>4165</v>
      </c>
      <c r="D20" s="157">
        <v>1712</v>
      </c>
      <c r="E20" s="157">
        <v>98</v>
      </c>
      <c r="F20" s="157">
        <v>2290</v>
      </c>
      <c r="G20" s="157">
        <v>57</v>
      </c>
      <c r="H20" s="202">
        <v>6817.3519819548401</v>
      </c>
      <c r="I20" s="202">
        <v>453.42864000000037</v>
      </c>
      <c r="J20" s="202">
        <v>5009.6801079994639</v>
      </c>
      <c r="K20" s="202">
        <v>121.4541000000001</v>
      </c>
      <c r="L20" s="202">
        <v>12401.914829954416</v>
      </c>
      <c r="M20" s="208">
        <v>3.6743620374270029E-2</v>
      </c>
      <c r="N20" s="144"/>
      <c r="O20" s="113"/>
    </row>
    <row r="21" spans="1:15" x14ac:dyDescent="0.25">
      <c r="A21" s="155" t="s">
        <v>314</v>
      </c>
      <c r="B21" s="158">
        <v>2322</v>
      </c>
      <c r="C21" s="158">
        <v>4165</v>
      </c>
      <c r="D21" s="158">
        <v>1712</v>
      </c>
      <c r="E21" s="158">
        <v>98</v>
      </c>
      <c r="F21" s="158">
        <v>2290</v>
      </c>
      <c r="G21" s="158">
        <v>57</v>
      </c>
      <c r="H21" s="204">
        <v>6817.3519819548401</v>
      </c>
      <c r="I21" s="204">
        <v>453.42864000000037</v>
      </c>
      <c r="J21" s="204">
        <v>5009.6801079994639</v>
      </c>
      <c r="K21" s="204">
        <v>121.4541000000001</v>
      </c>
      <c r="L21" s="204">
        <v>12401.914829954416</v>
      </c>
      <c r="M21" s="209">
        <v>3.674362037427005E-2</v>
      </c>
      <c r="N21" s="144"/>
      <c r="O21" s="113"/>
    </row>
    <row r="22" spans="1:15" x14ac:dyDescent="0.25">
      <c r="A22" s="156" t="s">
        <v>22</v>
      </c>
      <c r="B22" s="157">
        <v>1041</v>
      </c>
      <c r="C22" s="157">
        <v>2045</v>
      </c>
      <c r="D22" s="157">
        <v>685</v>
      </c>
      <c r="E22" s="157">
        <v>40</v>
      </c>
      <c r="F22" s="157">
        <v>1061</v>
      </c>
      <c r="G22" s="157">
        <v>17</v>
      </c>
      <c r="H22" s="202">
        <v>2967.6423277881427</v>
      </c>
      <c r="I22" s="202">
        <v>201.88784000000004</v>
      </c>
      <c r="J22" s="202">
        <v>2297.7031259574474</v>
      </c>
      <c r="K22" s="202">
        <v>39.328799999999994</v>
      </c>
      <c r="L22" s="202">
        <v>5506.562093745576</v>
      </c>
      <c r="M22" s="208">
        <v>1.6314499003915239E-2</v>
      </c>
      <c r="N22" s="144"/>
      <c r="O22" s="113"/>
    </row>
    <row r="23" spans="1:15" x14ac:dyDescent="0.25">
      <c r="A23" s="155" t="s">
        <v>313</v>
      </c>
      <c r="B23" s="158">
        <v>1041</v>
      </c>
      <c r="C23" s="158">
        <v>2045</v>
      </c>
      <c r="D23" s="158">
        <v>685</v>
      </c>
      <c r="E23" s="158">
        <v>40</v>
      </c>
      <c r="F23" s="158">
        <v>1061</v>
      </c>
      <c r="G23" s="158">
        <v>17</v>
      </c>
      <c r="H23" s="204">
        <v>2967.6423277881427</v>
      </c>
      <c r="I23" s="204">
        <v>201.88784000000004</v>
      </c>
      <c r="J23" s="204">
        <v>2297.7031259574474</v>
      </c>
      <c r="K23" s="204">
        <v>39.328799999999994</v>
      </c>
      <c r="L23" s="204">
        <v>5506.562093745576</v>
      </c>
      <c r="M23" s="209">
        <v>1.631449900391525E-2</v>
      </c>
      <c r="N23" s="144"/>
      <c r="O23" s="113"/>
    </row>
    <row r="24" spans="1:15" x14ac:dyDescent="0.25">
      <c r="A24" s="156" t="s">
        <v>23</v>
      </c>
      <c r="B24" s="157">
        <v>873</v>
      </c>
      <c r="C24" s="157">
        <v>1461</v>
      </c>
      <c r="D24" s="157">
        <v>659</v>
      </c>
      <c r="E24" s="157">
        <v>18</v>
      </c>
      <c r="F24" s="157">
        <v>823</v>
      </c>
      <c r="G24" s="157">
        <v>11</v>
      </c>
      <c r="H24" s="202">
        <v>2701.2578884996738</v>
      </c>
      <c r="I24" s="202">
        <v>88.715452000000013</v>
      </c>
      <c r="J24" s="202">
        <v>1742.4942085389589</v>
      </c>
      <c r="K24" s="202">
        <v>23.483502000000001</v>
      </c>
      <c r="L24" s="202">
        <v>4555.9510510386126</v>
      </c>
      <c r="M24" s="208">
        <v>1.3498087848401601E-2</v>
      </c>
      <c r="N24" s="144"/>
      <c r="O24" s="113"/>
    </row>
    <row r="25" spans="1:15" x14ac:dyDescent="0.25">
      <c r="A25" s="155" t="s">
        <v>311</v>
      </c>
      <c r="B25" s="158">
        <v>873</v>
      </c>
      <c r="C25" s="158">
        <v>1461</v>
      </c>
      <c r="D25" s="158">
        <v>659</v>
      </c>
      <c r="E25" s="158">
        <v>18</v>
      </c>
      <c r="F25" s="158">
        <v>823</v>
      </c>
      <c r="G25" s="158">
        <v>11</v>
      </c>
      <c r="H25" s="204">
        <v>2701.2578884996738</v>
      </c>
      <c r="I25" s="204">
        <v>88.715452000000013</v>
      </c>
      <c r="J25" s="204">
        <v>1742.4942085389589</v>
      </c>
      <c r="K25" s="204">
        <v>23.483502000000001</v>
      </c>
      <c r="L25" s="204">
        <v>4555.9510510386126</v>
      </c>
      <c r="M25" s="209">
        <v>1.3498087848401608E-2</v>
      </c>
      <c r="N25" s="144"/>
      <c r="O25" s="113"/>
    </row>
    <row r="26" spans="1:15" ht="24" x14ac:dyDescent="0.25">
      <c r="A26" s="156" t="s">
        <v>24</v>
      </c>
      <c r="B26" s="157">
        <v>13</v>
      </c>
      <c r="C26" s="157">
        <v>12</v>
      </c>
      <c r="D26" s="157">
        <v>11</v>
      </c>
      <c r="E26" s="157"/>
      <c r="F26" s="157">
        <v>10</v>
      </c>
      <c r="G26" s="157"/>
      <c r="H26" s="202">
        <v>24.95594007778076</v>
      </c>
      <c r="I26" s="202"/>
      <c r="J26" s="202">
        <v>17.677124221761368</v>
      </c>
      <c r="K26" s="202"/>
      <c r="L26" s="202">
        <v>42.633064299542127</v>
      </c>
      <c r="M26" s="208">
        <v>1.2631058602584984E-4</v>
      </c>
      <c r="N26" s="144"/>
      <c r="O26" s="113"/>
    </row>
    <row r="27" spans="1:15" x14ac:dyDescent="0.25">
      <c r="A27" s="155" t="s">
        <v>310</v>
      </c>
      <c r="B27" s="158">
        <v>13</v>
      </c>
      <c r="C27" s="158">
        <v>12</v>
      </c>
      <c r="D27" s="158">
        <v>11</v>
      </c>
      <c r="E27" s="158"/>
      <c r="F27" s="158">
        <v>10</v>
      </c>
      <c r="G27" s="158"/>
      <c r="H27" s="204">
        <v>24.95594007778076</v>
      </c>
      <c r="I27" s="204"/>
      <c r="J27" s="204">
        <v>17.677124221761368</v>
      </c>
      <c r="K27" s="204"/>
      <c r="L27" s="204">
        <v>42.633064299542127</v>
      </c>
      <c r="M27" s="209">
        <v>1.2631058602584992E-4</v>
      </c>
      <c r="N27" s="144"/>
      <c r="O27" s="113"/>
    </row>
    <row r="28" spans="1:15" x14ac:dyDescent="0.25">
      <c r="A28" s="156" t="s">
        <v>25</v>
      </c>
      <c r="B28" s="157">
        <v>54</v>
      </c>
      <c r="C28" s="157">
        <v>74</v>
      </c>
      <c r="D28" s="157">
        <v>43</v>
      </c>
      <c r="E28" s="157">
        <v>4</v>
      </c>
      <c r="F28" s="157">
        <v>48</v>
      </c>
      <c r="G28" s="157">
        <v>2</v>
      </c>
      <c r="H28" s="202">
        <v>171.45099515131287</v>
      </c>
      <c r="I28" s="202">
        <v>20.897952</v>
      </c>
      <c r="J28" s="202">
        <v>101.31195168032127</v>
      </c>
      <c r="K28" s="202">
        <v>5.224488</v>
      </c>
      <c r="L28" s="202">
        <v>298.88538683163421</v>
      </c>
      <c r="M28" s="208">
        <v>8.8551899764971855E-4</v>
      </c>
      <c r="N28" s="144"/>
      <c r="O28" s="113"/>
    </row>
    <row r="29" spans="1:15" x14ac:dyDescent="0.25">
      <c r="A29" s="155" t="s">
        <v>309</v>
      </c>
      <c r="B29" s="158">
        <v>54</v>
      </c>
      <c r="C29" s="158">
        <v>74</v>
      </c>
      <c r="D29" s="158">
        <v>43</v>
      </c>
      <c r="E29" s="158">
        <v>4</v>
      </c>
      <c r="F29" s="158">
        <v>48</v>
      </c>
      <c r="G29" s="158">
        <v>2</v>
      </c>
      <c r="H29" s="204">
        <v>171.45099515131287</v>
      </c>
      <c r="I29" s="204">
        <v>20.897952</v>
      </c>
      <c r="J29" s="204">
        <v>101.31195168032127</v>
      </c>
      <c r="K29" s="204">
        <v>5.224488</v>
      </c>
      <c r="L29" s="204">
        <v>298.88538683163421</v>
      </c>
      <c r="M29" s="209">
        <v>8.8551899764971898E-4</v>
      </c>
      <c r="N29" s="144"/>
      <c r="O29" s="113"/>
    </row>
    <row r="30" spans="1:15" ht="24" x14ac:dyDescent="0.25">
      <c r="A30" s="156" t="s">
        <v>383</v>
      </c>
      <c r="B30" s="157">
        <v>4</v>
      </c>
      <c r="C30" s="157"/>
      <c r="D30" s="157">
        <v>2</v>
      </c>
      <c r="E30" s="157">
        <v>1</v>
      </c>
      <c r="F30" s="157"/>
      <c r="G30" s="157"/>
      <c r="H30" s="202">
        <v>10.071436763231821</v>
      </c>
      <c r="I30" s="202">
        <v>5.3333320000000004</v>
      </c>
      <c r="J30" s="202"/>
      <c r="K30" s="202"/>
      <c r="L30" s="202">
        <v>15.404768763231822</v>
      </c>
      <c r="M30" s="208">
        <v>4.5640288870753656E-5</v>
      </c>
      <c r="N30" s="144"/>
      <c r="O30" s="113"/>
    </row>
    <row r="31" spans="1:15" x14ac:dyDescent="0.25">
      <c r="A31" s="155" t="s">
        <v>308</v>
      </c>
      <c r="B31" s="158">
        <v>4</v>
      </c>
      <c r="C31" s="158"/>
      <c r="D31" s="158">
        <v>2</v>
      </c>
      <c r="E31" s="158">
        <v>1</v>
      </c>
      <c r="F31" s="158"/>
      <c r="G31" s="158"/>
      <c r="H31" s="204">
        <v>10.071436763231821</v>
      </c>
      <c r="I31" s="204">
        <v>5.3333320000000004</v>
      </c>
      <c r="J31" s="204"/>
      <c r="K31" s="204"/>
      <c r="L31" s="204">
        <v>15.404768763231822</v>
      </c>
      <c r="M31" s="209">
        <v>4.5640288870753683E-5</v>
      </c>
      <c r="N31" s="144"/>
      <c r="O31" s="113"/>
    </row>
    <row r="32" spans="1:15" ht="24" x14ac:dyDescent="0.25">
      <c r="A32" s="156" t="s">
        <v>128</v>
      </c>
      <c r="B32" s="157">
        <v>174</v>
      </c>
      <c r="C32" s="157">
        <v>13</v>
      </c>
      <c r="D32" s="157">
        <v>145</v>
      </c>
      <c r="E32" s="157">
        <v>13</v>
      </c>
      <c r="F32" s="157">
        <v>10</v>
      </c>
      <c r="G32" s="157"/>
      <c r="H32" s="202">
        <v>396.14881454469941</v>
      </c>
      <c r="I32" s="202">
        <v>40.839055999999999</v>
      </c>
      <c r="J32" s="202">
        <v>13.843910185701855</v>
      </c>
      <c r="K32" s="202"/>
      <c r="L32" s="202">
        <v>450.83178073040131</v>
      </c>
      <c r="M32" s="208">
        <v>1.3356963042355369E-3</v>
      </c>
      <c r="N32" s="144"/>
      <c r="O32" s="113"/>
    </row>
    <row r="33" spans="1:15" x14ac:dyDescent="0.25">
      <c r="A33" s="155" t="s">
        <v>307</v>
      </c>
      <c r="B33" s="158">
        <v>174</v>
      </c>
      <c r="C33" s="158">
        <v>13</v>
      </c>
      <c r="D33" s="158">
        <v>145</v>
      </c>
      <c r="E33" s="158">
        <v>13</v>
      </c>
      <c r="F33" s="158">
        <v>10</v>
      </c>
      <c r="G33" s="158"/>
      <c r="H33" s="204">
        <v>396.14881454469941</v>
      </c>
      <c r="I33" s="204">
        <v>40.839055999999999</v>
      </c>
      <c r="J33" s="204">
        <v>13.843910185701855</v>
      </c>
      <c r="K33" s="204"/>
      <c r="L33" s="204">
        <v>450.83178073040131</v>
      </c>
      <c r="M33" s="209">
        <v>1.3356963042355377E-3</v>
      </c>
      <c r="N33" s="144"/>
      <c r="O33" s="113"/>
    </row>
    <row r="34" spans="1:15" ht="24" x14ac:dyDescent="0.25">
      <c r="A34" s="156" t="s">
        <v>494</v>
      </c>
      <c r="B34" s="157">
        <v>44</v>
      </c>
      <c r="C34" s="157">
        <v>111</v>
      </c>
      <c r="D34" s="157">
        <v>28</v>
      </c>
      <c r="E34" s="157">
        <v>3</v>
      </c>
      <c r="F34" s="157">
        <v>79</v>
      </c>
      <c r="G34" s="157">
        <v>2</v>
      </c>
      <c r="H34" s="202">
        <v>98.500501728918408</v>
      </c>
      <c r="I34" s="202">
        <v>11.742419999999999</v>
      </c>
      <c r="J34" s="202">
        <v>124.92746560740873</v>
      </c>
      <c r="K34" s="202">
        <v>4.696968</v>
      </c>
      <c r="L34" s="202">
        <v>239.86735533632717</v>
      </c>
      <c r="M34" s="208">
        <v>7.1066405192290246E-4</v>
      </c>
      <c r="N34" s="144"/>
      <c r="O34" s="113"/>
    </row>
    <row r="35" spans="1:15" x14ac:dyDescent="0.25">
      <c r="A35" s="155" t="s">
        <v>306</v>
      </c>
      <c r="B35" s="158">
        <v>44</v>
      </c>
      <c r="C35" s="158">
        <v>111</v>
      </c>
      <c r="D35" s="158">
        <v>28</v>
      </c>
      <c r="E35" s="158">
        <v>3</v>
      </c>
      <c r="F35" s="158">
        <v>79</v>
      </c>
      <c r="G35" s="158">
        <v>2</v>
      </c>
      <c r="H35" s="204">
        <v>98.500501728918408</v>
      </c>
      <c r="I35" s="204">
        <v>11.742419999999999</v>
      </c>
      <c r="J35" s="204">
        <v>124.92746560740873</v>
      </c>
      <c r="K35" s="204">
        <v>4.696968</v>
      </c>
      <c r="L35" s="204">
        <v>239.86735533632717</v>
      </c>
      <c r="M35" s="209">
        <v>7.1066405192290289E-4</v>
      </c>
      <c r="N35" s="144"/>
      <c r="O35" s="113"/>
    </row>
    <row r="36" spans="1:15" x14ac:dyDescent="0.25">
      <c r="A36" s="156" t="s">
        <v>27</v>
      </c>
      <c r="B36" s="157">
        <v>42</v>
      </c>
      <c r="C36" s="157">
        <v>220</v>
      </c>
      <c r="D36" s="157">
        <v>31</v>
      </c>
      <c r="E36" s="157">
        <v>3</v>
      </c>
      <c r="F36" s="157">
        <v>103</v>
      </c>
      <c r="G36" s="157">
        <v>1</v>
      </c>
      <c r="H36" s="202">
        <v>145.07679395165403</v>
      </c>
      <c r="I36" s="202">
        <v>15.878779999999999</v>
      </c>
      <c r="J36" s="202">
        <v>245.01858534057135</v>
      </c>
      <c r="K36" s="202">
        <v>3.1757559999999998</v>
      </c>
      <c r="L36" s="202">
        <v>409.14991529222516</v>
      </c>
      <c r="M36" s="208">
        <v>1.2122038709176911E-3</v>
      </c>
      <c r="N36" s="144"/>
      <c r="O36" s="113"/>
    </row>
    <row r="37" spans="1:15" x14ac:dyDescent="0.25">
      <c r="A37" s="155" t="s">
        <v>305</v>
      </c>
      <c r="B37" s="158">
        <v>42</v>
      </c>
      <c r="C37" s="158">
        <v>220</v>
      </c>
      <c r="D37" s="158">
        <v>31</v>
      </c>
      <c r="E37" s="158">
        <v>3</v>
      </c>
      <c r="F37" s="158">
        <v>103</v>
      </c>
      <c r="G37" s="158">
        <v>1</v>
      </c>
      <c r="H37" s="204">
        <v>145.07679395165403</v>
      </c>
      <c r="I37" s="204">
        <v>15.878779999999999</v>
      </c>
      <c r="J37" s="204">
        <v>245.01858534057135</v>
      </c>
      <c r="K37" s="204">
        <v>3.1757559999999998</v>
      </c>
      <c r="L37" s="204">
        <v>409.14991529222516</v>
      </c>
      <c r="M37" s="209">
        <v>1.2122038709176917E-3</v>
      </c>
      <c r="N37" s="144"/>
      <c r="O37" s="113"/>
    </row>
    <row r="38" spans="1:15" x14ac:dyDescent="0.25">
      <c r="A38" s="156" t="s">
        <v>143</v>
      </c>
      <c r="B38" s="157">
        <v>23</v>
      </c>
      <c r="C38" s="157"/>
      <c r="D38" s="157">
        <v>23</v>
      </c>
      <c r="E38" s="157"/>
      <c r="F38" s="157"/>
      <c r="G38" s="157"/>
      <c r="H38" s="202">
        <v>45.744634932940251</v>
      </c>
      <c r="I38" s="202"/>
      <c r="J38" s="202"/>
      <c r="K38" s="202"/>
      <c r="L38" s="202">
        <v>45.744634932940251</v>
      </c>
      <c r="M38" s="208">
        <v>1.3552935358625631E-4</v>
      </c>
      <c r="N38" s="144"/>
      <c r="O38" s="113"/>
    </row>
    <row r="39" spans="1:15" x14ac:dyDescent="0.25">
      <c r="A39" s="155" t="s">
        <v>304</v>
      </c>
      <c r="B39" s="158">
        <v>23</v>
      </c>
      <c r="C39" s="158"/>
      <c r="D39" s="158">
        <v>23</v>
      </c>
      <c r="E39" s="158"/>
      <c r="F39" s="158"/>
      <c r="G39" s="158"/>
      <c r="H39" s="204">
        <v>45.744634932940251</v>
      </c>
      <c r="I39" s="204"/>
      <c r="J39" s="204"/>
      <c r="K39" s="204"/>
      <c r="L39" s="204">
        <v>45.744634932940251</v>
      </c>
      <c r="M39" s="209">
        <v>1.3552935358625639E-4</v>
      </c>
      <c r="N39" s="144"/>
      <c r="O39" s="113"/>
    </row>
    <row r="40" spans="1:15" x14ac:dyDescent="0.25">
      <c r="A40" s="156" t="s">
        <v>28</v>
      </c>
      <c r="B40" s="157">
        <v>2838</v>
      </c>
      <c r="C40" s="157">
        <v>5972</v>
      </c>
      <c r="D40" s="157">
        <v>2131</v>
      </c>
      <c r="E40" s="157">
        <v>66</v>
      </c>
      <c r="F40" s="157">
        <v>3293</v>
      </c>
      <c r="G40" s="157">
        <v>78</v>
      </c>
      <c r="H40" s="202">
        <v>8458.1510096785751</v>
      </c>
      <c r="I40" s="202">
        <v>316.70350399999967</v>
      </c>
      <c r="J40" s="202">
        <v>7094.277495653294</v>
      </c>
      <c r="K40" s="202">
        <v>177.13924800000004</v>
      </c>
      <c r="L40" s="202">
        <v>16046.271257331726</v>
      </c>
      <c r="M40" s="208">
        <v>4.7540892482013979E-2</v>
      </c>
      <c r="N40" s="144"/>
      <c r="O40" s="113"/>
    </row>
    <row r="41" spans="1:15" x14ac:dyDescent="0.25">
      <c r="A41" s="155" t="s">
        <v>303</v>
      </c>
      <c r="B41" s="158">
        <v>2838</v>
      </c>
      <c r="C41" s="158">
        <v>5972</v>
      </c>
      <c r="D41" s="158">
        <v>2131</v>
      </c>
      <c r="E41" s="158">
        <v>66</v>
      </c>
      <c r="F41" s="158">
        <v>3293</v>
      </c>
      <c r="G41" s="158">
        <v>78</v>
      </c>
      <c r="H41" s="204">
        <v>8458.1510096785751</v>
      </c>
      <c r="I41" s="204">
        <v>316.70350399999967</v>
      </c>
      <c r="J41" s="204">
        <v>7094.277495653294</v>
      </c>
      <c r="K41" s="204">
        <v>177.13924800000004</v>
      </c>
      <c r="L41" s="204">
        <v>16046.271257331726</v>
      </c>
      <c r="M41" s="209">
        <v>4.7540892482013999E-2</v>
      </c>
      <c r="N41" s="144"/>
      <c r="O41" s="113"/>
    </row>
    <row r="42" spans="1:15" x14ac:dyDescent="0.25">
      <c r="A42" s="156" t="s">
        <v>29</v>
      </c>
      <c r="B42" s="157">
        <v>28</v>
      </c>
      <c r="C42" s="157">
        <v>74</v>
      </c>
      <c r="D42" s="157">
        <v>13</v>
      </c>
      <c r="E42" s="157">
        <v>14</v>
      </c>
      <c r="F42" s="157">
        <v>43</v>
      </c>
      <c r="G42" s="157">
        <v>12</v>
      </c>
      <c r="H42" s="202">
        <v>42.96017889354389</v>
      </c>
      <c r="I42" s="202">
        <v>57.599999999999994</v>
      </c>
      <c r="J42" s="202">
        <v>71.600298155906486</v>
      </c>
      <c r="K42" s="202">
        <v>27.599999999999994</v>
      </c>
      <c r="L42" s="202">
        <v>199.76047704945034</v>
      </c>
      <c r="M42" s="208">
        <v>5.9183789238416039E-4</v>
      </c>
      <c r="N42" s="144"/>
      <c r="O42" s="113"/>
    </row>
    <row r="43" spans="1:15" x14ac:dyDescent="0.25">
      <c r="A43" s="155" t="s">
        <v>300</v>
      </c>
      <c r="B43" s="158">
        <v>28</v>
      </c>
      <c r="C43" s="158">
        <v>74</v>
      </c>
      <c r="D43" s="158">
        <v>13</v>
      </c>
      <c r="E43" s="158">
        <v>14</v>
      </c>
      <c r="F43" s="158">
        <v>43</v>
      </c>
      <c r="G43" s="158">
        <v>12</v>
      </c>
      <c r="H43" s="204">
        <v>42.96017889354389</v>
      </c>
      <c r="I43" s="204">
        <v>57.599999999999994</v>
      </c>
      <c r="J43" s="204">
        <v>71.600298155906486</v>
      </c>
      <c r="K43" s="204">
        <v>27.599999999999994</v>
      </c>
      <c r="L43" s="204">
        <v>199.76047704945034</v>
      </c>
      <c r="M43" s="209">
        <v>5.9183789238416071E-4</v>
      </c>
      <c r="N43" s="144"/>
      <c r="O43" s="113"/>
    </row>
    <row r="44" spans="1:15" x14ac:dyDescent="0.25">
      <c r="A44" s="156" t="s">
        <v>30</v>
      </c>
      <c r="B44" s="157">
        <v>796</v>
      </c>
      <c r="C44" s="157">
        <v>789</v>
      </c>
      <c r="D44" s="157">
        <v>564</v>
      </c>
      <c r="E44" s="157">
        <v>46</v>
      </c>
      <c r="F44" s="157">
        <v>433</v>
      </c>
      <c r="G44" s="157">
        <v>18</v>
      </c>
      <c r="H44" s="202">
        <v>2307.2108293211154</v>
      </c>
      <c r="I44" s="202">
        <v>219.07567799999993</v>
      </c>
      <c r="J44" s="202">
        <v>990.86699438989842</v>
      </c>
      <c r="K44" s="202">
        <v>46.190655</v>
      </c>
      <c r="L44" s="202">
        <v>3563.3441567110012</v>
      </c>
      <c r="M44" s="208">
        <v>1.0557254000876221E-2</v>
      </c>
      <c r="N44" s="144"/>
      <c r="O44" s="113"/>
    </row>
    <row r="45" spans="1:15" x14ac:dyDescent="0.25">
      <c r="A45" s="155" t="s">
        <v>302</v>
      </c>
      <c r="B45" s="158">
        <v>796</v>
      </c>
      <c r="C45" s="158">
        <v>789</v>
      </c>
      <c r="D45" s="158">
        <v>564</v>
      </c>
      <c r="E45" s="158">
        <v>46</v>
      </c>
      <c r="F45" s="158">
        <v>433</v>
      </c>
      <c r="G45" s="158">
        <v>18</v>
      </c>
      <c r="H45" s="204">
        <v>2307.2108293211154</v>
      </c>
      <c r="I45" s="204">
        <v>219.07567799999993</v>
      </c>
      <c r="J45" s="204">
        <v>990.86699438989842</v>
      </c>
      <c r="K45" s="204">
        <v>46.190655</v>
      </c>
      <c r="L45" s="204">
        <v>3563.3441567110012</v>
      </c>
      <c r="M45" s="209">
        <v>1.0557254000876226E-2</v>
      </c>
      <c r="N45" s="144"/>
      <c r="O45" s="113"/>
    </row>
    <row r="46" spans="1:15" x14ac:dyDescent="0.25">
      <c r="A46" s="156" t="s">
        <v>31</v>
      </c>
      <c r="B46" s="157">
        <v>108</v>
      </c>
      <c r="C46" s="157">
        <v>307</v>
      </c>
      <c r="D46" s="157">
        <v>84</v>
      </c>
      <c r="E46" s="157">
        <v>5</v>
      </c>
      <c r="F46" s="157">
        <v>180</v>
      </c>
      <c r="G46" s="157">
        <v>3</v>
      </c>
      <c r="H46" s="202">
        <v>316.36986599852742</v>
      </c>
      <c r="I46" s="202">
        <v>21.628655999999999</v>
      </c>
      <c r="J46" s="202">
        <v>358.90699083866468</v>
      </c>
      <c r="K46" s="202">
        <v>8.1107459999999989</v>
      </c>
      <c r="L46" s="202">
        <v>705.01625883719134</v>
      </c>
      <c r="M46" s="208">
        <v>2.0887782352636162E-3</v>
      </c>
      <c r="N46" s="144"/>
      <c r="O46" s="113"/>
    </row>
    <row r="47" spans="1:15" x14ac:dyDescent="0.25">
      <c r="A47" s="155" t="s">
        <v>301</v>
      </c>
      <c r="B47" s="158">
        <v>108</v>
      </c>
      <c r="C47" s="158">
        <v>307</v>
      </c>
      <c r="D47" s="158">
        <v>84</v>
      </c>
      <c r="E47" s="158">
        <v>5</v>
      </c>
      <c r="F47" s="158">
        <v>180</v>
      </c>
      <c r="G47" s="158">
        <v>3</v>
      </c>
      <c r="H47" s="204">
        <v>316.36986599852742</v>
      </c>
      <c r="I47" s="204">
        <v>21.628655999999999</v>
      </c>
      <c r="J47" s="204">
        <v>358.90699083866468</v>
      </c>
      <c r="K47" s="204">
        <v>8.1107459999999989</v>
      </c>
      <c r="L47" s="204">
        <v>705.01625883719134</v>
      </c>
      <c r="M47" s="209">
        <v>2.0887782352636171E-3</v>
      </c>
      <c r="N47" s="144"/>
      <c r="O47" s="113"/>
    </row>
    <row r="48" spans="1:15" x14ac:dyDescent="0.25">
      <c r="A48" s="156" t="s">
        <v>32</v>
      </c>
      <c r="B48" s="157">
        <v>1172</v>
      </c>
      <c r="C48" s="157">
        <v>2575</v>
      </c>
      <c r="D48" s="157">
        <v>948</v>
      </c>
      <c r="E48" s="157">
        <v>29</v>
      </c>
      <c r="F48" s="157">
        <v>1641</v>
      </c>
      <c r="G48" s="157">
        <v>52</v>
      </c>
      <c r="H48" s="202">
        <v>3358.268784406474</v>
      </c>
      <c r="I48" s="202">
        <v>131.60429999999997</v>
      </c>
      <c r="J48" s="202">
        <v>3195.2939757514696</v>
      </c>
      <c r="K48" s="202">
        <v>111.73949999999991</v>
      </c>
      <c r="L48" s="202">
        <v>6796.9065601578604</v>
      </c>
      <c r="M48" s="208">
        <v>2.0137451175089541E-2</v>
      </c>
      <c r="N48" s="144"/>
      <c r="O48" s="113"/>
    </row>
    <row r="49" spans="1:15" x14ac:dyDescent="0.25">
      <c r="A49" s="155" t="s">
        <v>298</v>
      </c>
      <c r="B49" s="158">
        <v>1172</v>
      </c>
      <c r="C49" s="158">
        <v>2575</v>
      </c>
      <c r="D49" s="158">
        <v>948</v>
      </c>
      <c r="E49" s="158">
        <v>29</v>
      </c>
      <c r="F49" s="158">
        <v>1641</v>
      </c>
      <c r="G49" s="158">
        <v>52</v>
      </c>
      <c r="H49" s="204">
        <v>3358.268784406474</v>
      </c>
      <c r="I49" s="204">
        <v>131.60429999999997</v>
      </c>
      <c r="J49" s="204">
        <v>3195.2939757514696</v>
      </c>
      <c r="K49" s="204">
        <v>111.73949999999991</v>
      </c>
      <c r="L49" s="204">
        <v>6796.9065601578604</v>
      </c>
      <c r="M49" s="209">
        <v>2.0137451175089551E-2</v>
      </c>
      <c r="N49" s="144"/>
      <c r="O49" s="113"/>
    </row>
    <row r="50" spans="1:15" x14ac:dyDescent="0.25">
      <c r="A50" s="156" t="s">
        <v>33</v>
      </c>
      <c r="B50" s="157">
        <v>236</v>
      </c>
      <c r="C50" s="157">
        <v>335</v>
      </c>
      <c r="D50" s="157">
        <v>183</v>
      </c>
      <c r="E50" s="157">
        <v>5</v>
      </c>
      <c r="F50" s="157">
        <v>220</v>
      </c>
      <c r="G50" s="157">
        <v>5</v>
      </c>
      <c r="H50" s="202">
        <v>525.80499564239869</v>
      </c>
      <c r="I50" s="202">
        <v>21.775410000000001</v>
      </c>
      <c r="J50" s="202">
        <v>315.245076572931</v>
      </c>
      <c r="K50" s="202">
        <v>9.6779600000000006</v>
      </c>
      <c r="L50" s="202">
        <v>872.50344221533362</v>
      </c>
      <c r="M50" s="208">
        <v>2.5849988244212043E-3</v>
      </c>
      <c r="N50" s="144"/>
      <c r="O50" s="113"/>
    </row>
    <row r="51" spans="1:15" x14ac:dyDescent="0.25">
      <c r="A51" s="155" t="s">
        <v>297</v>
      </c>
      <c r="B51" s="158">
        <v>236</v>
      </c>
      <c r="C51" s="158">
        <v>335</v>
      </c>
      <c r="D51" s="158">
        <v>183</v>
      </c>
      <c r="E51" s="158">
        <v>5</v>
      </c>
      <c r="F51" s="158">
        <v>220</v>
      </c>
      <c r="G51" s="158">
        <v>5</v>
      </c>
      <c r="H51" s="204">
        <v>525.80499564239869</v>
      </c>
      <c r="I51" s="204">
        <v>21.775410000000001</v>
      </c>
      <c r="J51" s="204">
        <v>315.245076572931</v>
      </c>
      <c r="K51" s="204">
        <v>9.6779600000000006</v>
      </c>
      <c r="L51" s="204">
        <v>872.50344221533362</v>
      </c>
      <c r="M51" s="209">
        <v>2.5849988244212056E-3</v>
      </c>
      <c r="N51" s="144"/>
      <c r="O51" s="113"/>
    </row>
    <row r="52" spans="1:15" x14ac:dyDescent="0.25">
      <c r="A52" s="156" t="s">
        <v>34</v>
      </c>
      <c r="B52" s="157">
        <v>30</v>
      </c>
      <c r="C52" s="157">
        <v>29</v>
      </c>
      <c r="D52" s="157">
        <v>10</v>
      </c>
      <c r="E52" s="157">
        <v>1</v>
      </c>
      <c r="F52" s="157">
        <v>8</v>
      </c>
      <c r="G52" s="157"/>
      <c r="H52" s="202">
        <v>48.986014988731633</v>
      </c>
      <c r="I52" s="202">
        <v>5.7560960000000003</v>
      </c>
      <c r="J52" s="202">
        <v>17.289181760728813</v>
      </c>
      <c r="K52" s="202"/>
      <c r="L52" s="202">
        <v>72.031292749460448</v>
      </c>
      <c r="M52" s="208">
        <v>2.1340982518776191E-4</v>
      </c>
      <c r="N52" s="144"/>
      <c r="O52" s="113"/>
    </row>
    <row r="53" spans="1:15" x14ac:dyDescent="0.25">
      <c r="A53" s="155" t="s">
        <v>295</v>
      </c>
      <c r="B53" s="158">
        <v>30</v>
      </c>
      <c r="C53" s="158">
        <v>29</v>
      </c>
      <c r="D53" s="158">
        <v>10</v>
      </c>
      <c r="E53" s="158">
        <v>1</v>
      </c>
      <c r="F53" s="158">
        <v>8</v>
      </c>
      <c r="G53" s="158"/>
      <c r="H53" s="204">
        <v>48.986014988731633</v>
      </c>
      <c r="I53" s="204">
        <v>5.7560960000000003</v>
      </c>
      <c r="J53" s="204">
        <v>17.289181760728813</v>
      </c>
      <c r="K53" s="204"/>
      <c r="L53" s="204">
        <v>72.031292749460448</v>
      </c>
      <c r="M53" s="209">
        <v>2.1340982518776202E-4</v>
      </c>
      <c r="N53" s="144"/>
      <c r="O53" s="113"/>
    </row>
    <row r="54" spans="1:15" x14ac:dyDescent="0.25">
      <c r="A54" s="156" t="s">
        <v>35</v>
      </c>
      <c r="B54" s="157">
        <v>976</v>
      </c>
      <c r="C54" s="157">
        <v>979</v>
      </c>
      <c r="D54" s="157">
        <v>803</v>
      </c>
      <c r="E54" s="157">
        <v>28</v>
      </c>
      <c r="F54" s="157">
        <v>615</v>
      </c>
      <c r="G54" s="157">
        <v>10</v>
      </c>
      <c r="H54" s="202">
        <v>2607.4554073700438</v>
      </c>
      <c r="I54" s="202">
        <v>101.52772999999996</v>
      </c>
      <c r="J54" s="202">
        <v>1028.3255686364148</v>
      </c>
      <c r="K54" s="202">
        <v>17.708325000000002</v>
      </c>
      <c r="L54" s="202">
        <v>3755.0170310064664</v>
      </c>
      <c r="M54" s="208">
        <v>1.1125130447838052E-2</v>
      </c>
      <c r="N54" s="144"/>
      <c r="O54" s="113"/>
    </row>
    <row r="55" spans="1:15" x14ac:dyDescent="0.25">
      <c r="A55" s="155" t="s">
        <v>294</v>
      </c>
      <c r="B55" s="158">
        <v>976</v>
      </c>
      <c r="C55" s="158">
        <v>979</v>
      </c>
      <c r="D55" s="158">
        <v>803</v>
      </c>
      <c r="E55" s="158">
        <v>28</v>
      </c>
      <c r="F55" s="158">
        <v>615</v>
      </c>
      <c r="G55" s="158">
        <v>10</v>
      </c>
      <c r="H55" s="204">
        <v>2607.4554073700438</v>
      </c>
      <c r="I55" s="204">
        <v>101.52772999999996</v>
      </c>
      <c r="J55" s="204">
        <v>1028.3255686364148</v>
      </c>
      <c r="K55" s="204">
        <v>17.708325000000002</v>
      </c>
      <c r="L55" s="204">
        <v>3755.0170310064664</v>
      </c>
      <c r="M55" s="209">
        <v>1.1125130447838057E-2</v>
      </c>
      <c r="N55" s="144"/>
      <c r="O55" s="113"/>
    </row>
    <row r="56" spans="1:15" x14ac:dyDescent="0.25">
      <c r="A56" s="156" t="s">
        <v>36</v>
      </c>
      <c r="B56" s="157">
        <v>79</v>
      </c>
      <c r="C56" s="157">
        <v>53</v>
      </c>
      <c r="D56" s="157">
        <v>64</v>
      </c>
      <c r="E56" s="157">
        <v>3</v>
      </c>
      <c r="F56" s="157">
        <v>43</v>
      </c>
      <c r="G56" s="157">
        <v>3</v>
      </c>
      <c r="H56" s="202">
        <v>175.21397237060776</v>
      </c>
      <c r="I56" s="202">
        <v>8.4480000000000004</v>
      </c>
      <c r="J56" s="202">
        <v>57.66535799538989</v>
      </c>
      <c r="K56" s="202">
        <v>3.1680000000000001</v>
      </c>
      <c r="L56" s="202">
        <v>244.495330365998</v>
      </c>
      <c r="M56" s="208">
        <v>7.2437552792668108E-4</v>
      </c>
      <c r="N56" s="144"/>
      <c r="O56" s="113"/>
    </row>
    <row r="57" spans="1:15" x14ac:dyDescent="0.25">
      <c r="A57" s="155" t="s">
        <v>293</v>
      </c>
      <c r="B57" s="158">
        <v>79</v>
      </c>
      <c r="C57" s="158">
        <v>53</v>
      </c>
      <c r="D57" s="158">
        <v>64</v>
      </c>
      <c r="E57" s="158">
        <v>3</v>
      </c>
      <c r="F57" s="158">
        <v>43</v>
      </c>
      <c r="G57" s="158">
        <v>3</v>
      </c>
      <c r="H57" s="204">
        <v>175.21397237060776</v>
      </c>
      <c r="I57" s="204">
        <v>8.4480000000000004</v>
      </c>
      <c r="J57" s="204">
        <v>57.66535799538989</v>
      </c>
      <c r="K57" s="204">
        <v>3.1680000000000001</v>
      </c>
      <c r="L57" s="204">
        <v>244.495330365998</v>
      </c>
      <c r="M57" s="209">
        <v>7.2437552792668151E-4</v>
      </c>
      <c r="N57" s="144"/>
      <c r="O57" s="113"/>
    </row>
    <row r="58" spans="1:15" x14ac:dyDescent="0.25">
      <c r="A58" s="156" t="s">
        <v>37</v>
      </c>
      <c r="B58" s="157">
        <v>13</v>
      </c>
      <c r="C58" s="157">
        <v>36</v>
      </c>
      <c r="D58" s="157">
        <v>5</v>
      </c>
      <c r="E58" s="157">
        <v>6</v>
      </c>
      <c r="F58" s="157">
        <v>13</v>
      </c>
      <c r="G58" s="157">
        <v>10</v>
      </c>
      <c r="H58" s="202">
        <v>28.587176969137218</v>
      </c>
      <c r="I58" s="202">
        <v>32.666663999999997</v>
      </c>
      <c r="J58" s="202">
        <v>28.587176969137218</v>
      </c>
      <c r="K58" s="202">
        <v>24.499997999999994</v>
      </c>
      <c r="L58" s="202">
        <v>114.34101593827445</v>
      </c>
      <c r="M58" s="208">
        <v>3.3876243632127549E-4</v>
      </c>
      <c r="N58" s="144"/>
      <c r="O58" s="113"/>
    </row>
    <row r="59" spans="1:15" x14ac:dyDescent="0.25">
      <c r="A59" s="155" t="s">
        <v>290</v>
      </c>
      <c r="B59" s="158">
        <v>13</v>
      </c>
      <c r="C59" s="158">
        <v>36</v>
      </c>
      <c r="D59" s="158">
        <v>5</v>
      </c>
      <c r="E59" s="158">
        <v>6</v>
      </c>
      <c r="F59" s="158">
        <v>13</v>
      </c>
      <c r="G59" s="158">
        <v>10</v>
      </c>
      <c r="H59" s="204">
        <v>28.587176969137218</v>
      </c>
      <c r="I59" s="204">
        <v>32.666663999999997</v>
      </c>
      <c r="J59" s="204">
        <v>28.587176969137218</v>
      </c>
      <c r="K59" s="204">
        <v>24.499997999999994</v>
      </c>
      <c r="L59" s="204">
        <v>114.34101593827445</v>
      </c>
      <c r="M59" s="209">
        <v>3.3876243632127571E-4</v>
      </c>
      <c r="N59" s="144"/>
      <c r="O59" s="113"/>
    </row>
    <row r="60" spans="1:15" x14ac:dyDescent="0.25">
      <c r="A60" s="156" t="s">
        <v>38</v>
      </c>
      <c r="B60" s="157">
        <v>1046</v>
      </c>
      <c r="C60" s="157">
        <v>1919</v>
      </c>
      <c r="D60" s="157">
        <v>826</v>
      </c>
      <c r="E60" s="157">
        <v>25</v>
      </c>
      <c r="F60" s="157">
        <v>1217</v>
      </c>
      <c r="G60" s="157">
        <v>16</v>
      </c>
      <c r="H60" s="202">
        <v>3305.3029894669585</v>
      </c>
      <c r="I60" s="202">
        <v>117.67894800000001</v>
      </c>
      <c r="J60" s="202">
        <v>2440.3761185098497</v>
      </c>
      <c r="K60" s="202">
        <v>38.373569999999994</v>
      </c>
      <c r="L60" s="202">
        <v>5901.7316259768086</v>
      </c>
      <c r="M60" s="208">
        <v>1.7485282667153448E-2</v>
      </c>
      <c r="N60" s="144"/>
      <c r="O60" s="113"/>
    </row>
    <row r="61" spans="1:15" x14ac:dyDescent="0.25">
      <c r="A61" s="155" t="s">
        <v>289</v>
      </c>
      <c r="B61" s="158">
        <v>1046</v>
      </c>
      <c r="C61" s="158">
        <v>1919</v>
      </c>
      <c r="D61" s="158">
        <v>826</v>
      </c>
      <c r="E61" s="158">
        <v>25</v>
      </c>
      <c r="F61" s="158">
        <v>1217</v>
      </c>
      <c r="G61" s="158">
        <v>16</v>
      </c>
      <c r="H61" s="204">
        <v>3305.3029894669585</v>
      </c>
      <c r="I61" s="204">
        <v>117.67894800000001</v>
      </c>
      <c r="J61" s="204">
        <v>2440.3761185098497</v>
      </c>
      <c r="K61" s="204">
        <v>38.373569999999994</v>
      </c>
      <c r="L61" s="204">
        <v>5901.7316259768086</v>
      </c>
      <c r="M61" s="209">
        <v>1.7485282667153455E-2</v>
      </c>
      <c r="N61" s="144"/>
      <c r="O61" s="113"/>
    </row>
    <row r="62" spans="1:15" x14ac:dyDescent="0.25">
      <c r="A62" s="156" t="s">
        <v>39</v>
      </c>
      <c r="B62" s="157">
        <v>176</v>
      </c>
      <c r="C62" s="157">
        <v>30</v>
      </c>
      <c r="D62" s="157">
        <v>168</v>
      </c>
      <c r="E62" s="157">
        <v>2</v>
      </c>
      <c r="F62" s="157">
        <v>28</v>
      </c>
      <c r="G62" s="157"/>
      <c r="H62" s="202">
        <v>344.48469699328763</v>
      </c>
      <c r="I62" s="202">
        <v>4.0994999999999999</v>
      </c>
      <c r="J62" s="202">
        <v>28.537193833763475</v>
      </c>
      <c r="K62" s="202"/>
      <c r="L62" s="202">
        <v>377.12139082705107</v>
      </c>
      <c r="M62" s="208">
        <v>1.1173117546411028E-3</v>
      </c>
      <c r="N62" s="144"/>
      <c r="O62" s="113"/>
    </row>
    <row r="63" spans="1:15" x14ac:dyDescent="0.25">
      <c r="A63" s="155" t="s">
        <v>288</v>
      </c>
      <c r="B63" s="158">
        <v>176</v>
      </c>
      <c r="C63" s="158">
        <v>30</v>
      </c>
      <c r="D63" s="158">
        <v>168</v>
      </c>
      <c r="E63" s="158">
        <v>2</v>
      </c>
      <c r="F63" s="158">
        <v>28</v>
      </c>
      <c r="G63" s="158"/>
      <c r="H63" s="204">
        <v>344.48469699328763</v>
      </c>
      <c r="I63" s="204">
        <v>4.0994999999999999</v>
      </c>
      <c r="J63" s="204">
        <v>28.537193833763475</v>
      </c>
      <c r="K63" s="204"/>
      <c r="L63" s="204">
        <v>377.12139082705107</v>
      </c>
      <c r="M63" s="209">
        <v>1.1173117546411035E-3</v>
      </c>
      <c r="N63" s="144"/>
      <c r="O63" s="113"/>
    </row>
    <row r="64" spans="1:15" ht="24" x14ac:dyDescent="0.25">
      <c r="A64" s="156" t="s">
        <v>440</v>
      </c>
      <c r="B64" s="157">
        <v>2444</v>
      </c>
      <c r="C64" s="157">
        <v>4378</v>
      </c>
      <c r="D64" s="157">
        <v>1821</v>
      </c>
      <c r="E64" s="157">
        <v>103</v>
      </c>
      <c r="F64" s="157">
        <v>2434</v>
      </c>
      <c r="G64" s="157">
        <v>45</v>
      </c>
      <c r="H64" s="202">
        <v>7341.4412680834675</v>
      </c>
      <c r="I64" s="202">
        <v>479.64154799999949</v>
      </c>
      <c r="J64" s="202">
        <v>4946.2194978110429</v>
      </c>
      <c r="K64" s="202">
        <v>99.280642999999984</v>
      </c>
      <c r="L64" s="202">
        <v>12866.582956894285</v>
      </c>
      <c r="M64" s="208">
        <v>3.812031014277769E-2</v>
      </c>
      <c r="N64" s="144"/>
      <c r="O64" s="113"/>
    </row>
    <row r="65" spans="1:15" x14ac:dyDescent="0.25">
      <c r="A65" s="155" t="s">
        <v>287</v>
      </c>
      <c r="B65" s="158">
        <v>2444</v>
      </c>
      <c r="C65" s="158">
        <v>4378</v>
      </c>
      <c r="D65" s="158">
        <v>1821</v>
      </c>
      <c r="E65" s="158">
        <v>103</v>
      </c>
      <c r="F65" s="158">
        <v>2434</v>
      </c>
      <c r="G65" s="158">
        <v>45</v>
      </c>
      <c r="H65" s="204">
        <v>7341.4412680834675</v>
      </c>
      <c r="I65" s="204">
        <v>479.64154799999949</v>
      </c>
      <c r="J65" s="204">
        <v>4946.2194978110429</v>
      </c>
      <c r="K65" s="204">
        <v>99.280642999999984</v>
      </c>
      <c r="L65" s="204">
        <v>12866.582956894285</v>
      </c>
      <c r="M65" s="209">
        <v>3.8120310142777704E-2</v>
      </c>
      <c r="N65" s="144"/>
      <c r="O65" s="113"/>
    </row>
    <row r="66" spans="1:15" x14ac:dyDescent="0.25">
      <c r="A66" s="156" t="s">
        <v>40</v>
      </c>
      <c r="B66" s="157">
        <v>119</v>
      </c>
      <c r="C66" s="157">
        <v>216</v>
      </c>
      <c r="D66" s="157">
        <v>98</v>
      </c>
      <c r="E66" s="157">
        <v>3</v>
      </c>
      <c r="F66" s="157">
        <v>134</v>
      </c>
      <c r="G66" s="157">
        <v>1</v>
      </c>
      <c r="H66" s="202">
        <v>353.34041299260298</v>
      </c>
      <c r="I66" s="202">
        <v>9.5714240000000004</v>
      </c>
      <c r="J66" s="202">
        <v>243.38482992847119</v>
      </c>
      <c r="K66" s="202">
        <v>2.3928560000000001</v>
      </c>
      <c r="L66" s="202">
        <v>608.68952292107326</v>
      </c>
      <c r="M66" s="208">
        <v>1.8033873851470126E-3</v>
      </c>
      <c r="N66" s="144"/>
      <c r="O66" s="113"/>
    </row>
    <row r="67" spans="1:15" x14ac:dyDescent="0.25">
      <c r="A67" s="155" t="s">
        <v>292</v>
      </c>
      <c r="B67" s="158">
        <v>119</v>
      </c>
      <c r="C67" s="158">
        <v>216</v>
      </c>
      <c r="D67" s="158">
        <v>98</v>
      </c>
      <c r="E67" s="158">
        <v>3</v>
      </c>
      <c r="F67" s="158">
        <v>134</v>
      </c>
      <c r="G67" s="158">
        <v>1</v>
      </c>
      <c r="H67" s="204">
        <v>353.34041299260298</v>
      </c>
      <c r="I67" s="204">
        <v>9.5714240000000004</v>
      </c>
      <c r="J67" s="204">
        <v>243.38482992847119</v>
      </c>
      <c r="K67" s="204">
        <v>2.3928560000000001</v>
      </c>
      <c r="L67" s="204">
        <v>608.68952292107326</v>
      </c>
      <c r="M67" s="209">
        <v>1.8033873851470135E-3</v>
      </c>
      <c r="N67" s="144"/>
      <c r="O67" s="113"/>
    </row>
    <row r="68" spans="1:15" x14ac:dyDescent="0.25">
      <c r="A68" s="156" t="s">
        <v>41</v>
      </c>
      <c r="B68" s="157">
        <v>46</v>
      </c>
      <c r="C68" s="157">
        <v>73</v>
      </c>
      <c r="D68" s="157">
        <v>27</v>
      </c>
      <c r="E68" s="157"/>
      <c r="F68" s="157">
        <v>34</v>
      </c>
      <c r="G68" s="157"/>
      <c r="H68" s="202">
        <v>148.60118354305078</v>
      </c>
      <c r="I68" s="202"/>
      <c r="J68" s="202">
        <v>85.731452044067765</v>
      </c>
      <c r="K68" s="202"/>
      <c r="L68" s="202">
        <v>234.33263558711869</v>
      </c>
      <c r="M68" s="208">
        <v>6.942661291721591E-4</v>
      </c>
      <c r="N68" s="144"/>
      <c r="O68" s="113"/>
    </row>
    <row r="69" spans="1:15" x14ac:dyDescent="0.25">
      <c r="A69" s="155" t="s">
        <v>291</v>
      </c>
      <c r="B69" s="158">
        <v>46</v>
      </c>
      <c r="C69" s="158">
        <v>73</v>
      </c>
      <c r="D69" s="158">
        <v>27</v>
      </c>
      <c r="E69" s="158"/>
      <c r="F69" s="158">
        <v>34</v>
      </c>
      <c r="G69" s="158"/>
      <c r="H69" s="204">
        <v>148.60118354305078</v>
      </c>
      <c r="I69" s="204"/>
      <c r="J69" s="204">
        <v>85.731452044067765</v>
      </c>
      <c r="K69" s="204"/>
      <c r="L69" s="204">
        <v>234.33263558711869</v>
      </c>
      <c r="M69" s="209">
        <v>6.9426612917215943E-4</v>
      </c>
      <c r="N69" s="144"/>
      <c r="O69" s="113"/>
    </row>
    <row r="70" spans="1:15" x14ac:dyDescent="0.25">
      <c r="A70" s="156" t="s">
        <v>42</v>
      </c>
      <c r="B70" s="157">
        <v>174</v>
      </c>
      <c r="C70" s="157">
        <v>303</v>
      </c>
      <c r="D70" s="157">
        <v>117</v>
      </c>
      <c r="E70" s="157">
        <v>6</v>
      </c>
      <c r="F70" s="157">
        <v>174</v>
      </c>
      <c r="G70" s="157">
        <v>3</v>
      </c>
      <c r="H70" s="202">
        <v>521.65433599997323</v>
      </c>
      <c r="I70" s="202">
        <v>31.711895999999999</v>
      </c>
      <c r="J70" s="202">
        <v>388.02859475860078</v>
      </c>
      <c r="K70" s="202">
        <v>5.2853159999999999</v>
      </c>
      <c r="L70" s="202">
        <v>946.68014275857399</v>
      </c>
      <c r="M70" s="208">
        <v>2.804764930119154E-3</v>
      </c>
      <c r="N70" s="144"/>
      <c r="O70" s="113"/>
    </row>
    <row r="71" spans="1:15" x14ac:dyDescent="0.25">
      <c r="A71" s="155" t="s">
        <v>286</v>
      </c>
      <c r="B71" s="158">
        <v>174</v>
      </c>
      <c r="C71" s="158">
        <v>303</v>
      </c>
      <c r="D71" s="158">
        <v>117</v>
      </c>
      <c r="E71" s="158">
        <v>6</v>
      </c>
      <c r="F71" s="158">
        <v>174</v>
      </c>
      <c r="G71" s="158">
        <v>3</v>
      </c>
      <c r="H71" s="204">
        <v>521.65433599997323</v>
      </c>
      <c r="I71" s="204">
        <v>31.711895999999999</v>
      </c>
      <c r="J71" s="204">
        <v>388.02859475860078</v>
      </c>
      <c r="K71" s="204">
        <v>5.2853159999999999</v>
      </c>
      <c r="L71" s="204">
        <v>946.68014275857399</v>
      </c>
      <c r="M71" s="209">
        <v>2.8047649301191557E-3</v>
      </c>
      <c r="N71" s="144"/>
      <c r="O71" s="113"/>
    </row>
    <row r="72" spans="1:15" x14ac:dyDescent="0.25">
      <c r="A72" s="156" t="s">
        <v>43</v>
      </c>
      <c r="B72" s="157">
        <v>1065</v>
      </c>
      <c r="C72" s="157">
        <v>1588</v>
      </c>
      <c r="D72" s="157">
        <v>805</v>
      </c>
      <c r="E72" s="157">
        <v>35</v>
      </c>
      <c r="F72" s="157">
        <v>914</v>
      </c>
      <c r="G72" s="157">
        <v>17</v>
      </c>
      <c r="H72" s="202">
        <v>3028.4478705524348</v>
      </c>
      <c r="I72" s="202">
        <v>165.32812800000008</v>
      </c>
      <c r="J72" s="202">
        <v>1848.2630351611861</v>
      </c>
      <c r="K72" s="202">
        <v>34.873902000000008</v>
      </c>
      <c r="L72" s="202">
        <v>5076.9129357136317</v>
      </c>
      <c r="M72" s="208">
        <v>1.5041561254115475E-2</v>
      </c>
      <c r="N72" s="144"/>
      <c r="O72" s="113"/>
    </row>
    <row r="73" spans="1:15" x14ac:dyDescent="0.25">
      <c r="A73" s="155" t="s">
        <v>285</v>
      </c>
      <c r="B73" s="158">
        <v>1065</v>
      </c>
      <c r="C73" s="158">
        <v>1588</v>
      </c>
      <c r="D73" s="158">
        <v>805</v>
      </c>
      <c r="E73" s="158">
        <v>35</v>
      </c>
      <c r="F73" s="158">
        <v>914</v>
      </c>
      <c r="G73" s="158">
        <v>17</v>
      </c>
      <c r="H73" s="204">
        <v>3028.4478705524348</v>
      </c>
      <c r="I73" s="204">
        <v>165.32812800000008</v>
      </c>
      <c r="J73" s="204">
        <v>1848.2630351611861</v>
      </c>
      <c r="K73" s="204">
        <v>34.873902000000008</v>
      </c>
      <c r="L73" s="204">
        <v>5076.9129357136317</v>
      </c>
      <c r="M73" s="209">
        <v>1.5041561254115484E-2</v>
      </c>
      <c r="N73" s="144"/>
      <c r="O73" s="113"/>
    </row>
    <row r="74" spans="1:15" ht="24" x14ac:dyDescent="0.25">
      <c r="A74" s="156" t="s">
        <v>149</v>
      </c>
      <c r="B74" s="157">
        <v>46</v>
      </c>
      <c r="C74" s="157">
        <v>90</v>
      </c>
      <c r="D74" s="157">
        <v>39</v>
      </c>
      <c r="E74" s="157"/>
      <c r="F74" s="157">
        <v>69</v>
      </c>
      <c r="G74" s="157">
        <v>1</v>
      </c>
      <c r="H74" s="202">
        <v>127.53142134798892</v>
      </c>
      <c r="I74" s="202"/>
      <c r="J74" s="202">
        <v>104.34389019380899</v>
      </c>
      <c r="K74" s="202">
        <v>2.2666659999999998</v>
      </c>
      <c r="L74" s="202">
        <v>234.14197754179801</v>
      </c>
      <c r="M74" s="208">
        <v>6.9370125939723993E-4</v>
      </c>
      <c r="N74" s="144"/>
      <c r="O74" s="113"/>
    </row>
    <row r="75" spans="1:15" x14ac:dyDescent="0.25">
      <c r="A75" s="155" t="s">
        <v>284</v>
      </c>
      <c r="B75" s="158">
        <v>46</v>
      </c>
      <c r="C75" s="158">
        <v>90</v>
      </c>
      <c r="D75" s="158">
        <v>39</v>
      </c>
      <c r="E75" s="158"/>
      <c r="F75" s="158">
        <v>69</v>
      </c>
      <c r="G75" s="158">
        <v>1</v>
      </c>
      <c r="H75" s="204">
        <v>127.53142134798892</v>
      </c>
      <c r="I75" s="204"/>
      <c r="J75" s="204">
        <v>104.34389019380899</v>
      </c>
      <c r="K75" s="204">
        <v>2.2666659999999998</v>
      </c>
      <c r="L75" s="204">
        <v>234.14197754179801</v>
      </c>
      <c r="M75" s="209">
        <v>6.9370125939724025E-4</v>
      </c>
      <c r="N75" s="144"/>
      <c r="O75" s="113"/>
    </row>
    <row r="76" spans="1:15" ht="24" x14ac:dyDescent="0.25">
      <c r="A76" s="156" t="s">
        <v>539</v>
      </c>
      <c r="B76" s="157">
        <v>28</v>
      </c>
      <c r="C76" s="157">
        <v>77</v>
      </c>
      <c r="D76" s="157">
        <v>19</v>
      </c>
      <c r="E76" s="157">
        <v>1</v>
      </c>
      <c r="F76" s="157">
        <v>39</v>
      </c>
      <c r="G76" s="157"/>
      <c r="H76" s="202">
        <v>88.683007557901306</v>
      </c>
      <c r="I76" s="202">
        <v>5.7534239999999999</v>
      </c>
      <c r="J76" s="202">
        <v>94.404491916475578</v>
      </c>
      <c r="K76" s="202"/>
      <c r="L76" s="202">
        <v>188.84092347437698</v>
      </c>
      <c r="M76" s="208">
        <v>5.5948611955550643E-4</v>
      </c>
      <c r="N76" s="144"/>
      <c r="O76" s="113"/>
    </row>
    <row r="77" spans="1:15" x14ac:dyDescent="0.25">
      <c r="A77" s="155" t="s">
        <v>283</v>
      </c>
      <c r="B77" s="158">
        <v>28</v>
      </c>
      <c r="C77" s="158">
        <v>77</v>
      </c>
      <c r="D77" s="158">
        <v>19</v>
      </c>
      <c r="E77" s="158">
        <v>1</v>
      </c>
      <c r="F77" s="158">
        <v>39</v>
      </c>
      <c r="G77" s="158"/>
      <c r="H77" s="204">
        <v>88.683007557901306</v>
      </c>
      <c r="I77" s="204">
        <v>5.7534239999999999</v>
      </c>
      <c r="J77" s="204">
        <v>94.404491916475578</v>
      </c>
      <c r="K77" s="204"/>
      <c r="L77" s="204">
        <v>188.84092347437698</v>
      </c>
      <c r="M77" s="209">
        <v>5.5948611955550676E-4</v>
      </c>
      <c r="N77" s="144"/>
      <c r="O77" s="113"/>
    </row>
    <row r="78" spans="1:15" x14ac:dyDescent="0.25">
      <c r="A78" s="156" t="s">
        <v>46</v>
      </c>
      <c r="B78" s="157">
        <v>12</v>
      </c>
      <c r="C78" s="157">
        <v>8</v>
      </c>
      <c r="D78" s="157">
        <v>9</v>
      </c>
      <c r="E78" s="157"/>
      <c r="F78" s="157">
        <v>6</v>
      </c>
      <c r="G78" s="157"/>
      <c r="H78" s="202">
        <v>27.368406</v>
      </c>
      <c r="I78" s="202"/>
      <c r="J78" s="202">
        <v>6.3157860000000001</v>
      </c>
      <c r="K78" s="202"/>
      <c r="L78" s="202">
        <v>33.684192000000003</v>
      </c>
      <c r="M78" s="208">
        <v>9.9797424868025222E-5</v>
      </c>
      <c r="N78" s="144"/>
      <c r="O78" s="113"/>
    </row>
    <row r="79" spans="1:15" x14ac:dyDescent="0.25">
      <c r="A79" s="155" t="s">
        <v>282</v>
      </c>
      <c r="B79" s="158">
        <v>12</v>
      </c>
      <c r="C79" s="158">
        <v>8</v>
      </c>
      <c r="D79" s="158">
        <v>9</v>
      </c>
      <c r="E79" s="158"/>
      <c r="F79" s="158">
        <v>6</v>
      </c>
      <c r="G79" s="158"/>
      <c r="H79" s="204">
        <v>27.368406</v>
      </c>
      <c r="I79" s="204"/>
      <c r="J79" s="204">
        <v>6.3157860000000001</v>
      </c>
      <c r="K79" s="204"/>
      <c r="L79" s="204">
        <v>33.684192000000003</v>
      </c>
      <c r="M79" s="209">
        <v>9.9797424868025276E-5</v>
      </c>
      <c r="N79" s="144"/>
      <c r="O79" s="113"/>
    </row>
    <row r="80" spans="1:15" ht="24" x14ac:dyDescent="0.25">
      <c r="A80" s="156" t="s">
        <v>495</v>
      </c>
      <c r="B80" s="157">
        <v>8</v>
      </c>
      <c r="C80" s="157">
        <v>7</v>
      </c>
      <c r="D80" s="157">
        <v>4</v>
      </c>
      <c r="E80" s="157"/>
      <c r="F80" s="157">
        <v>5</v>
      </c>
      <c r="G80" s="157"/>
      <c r="H80" s="202">
        <v>13.276541236763427</v>
      </c>
      <c r="I80" s="202"/>
      <c r="J80" s="202">
        <v>5.5318921819847606</v>
      </c>
      <c r="K80" s="202"/>
      <c r="L80" s="202">
        <v>18.808433418748187</v>
      </c>
      <c r="M80" s="208">
        <v>5.5724454396672982E-5</v>
      </c>
      <c r="N80" s="144"/>
      <c r="O80" s="113"/>
    </row>
    <row r="81" spans="1:15" x14ac:dyDescent="0.25">
      <c r="A81" s="155" t="s">
        <v>281</v>
      </c>
      <c r="B81" s="158">
        <v>8</v>
      </c>
      <c r="C81" s="158">
        <v>7</v>
      </c>
      <c r="D81" s="158">
        <v>4</v>
      </c>
      <c r="E81" s="158"/>
      <c r="F81" s="158">
        <v>5</v>
      </c>
      <c r="G81" s="158"/>
      <c r="H81" s="204">
        <v>13.276541236763427</v>
      </c>
      <c r="I81" s="204"/>
      <c r="J81" s="204">
        <v>5.5318921819847606</v>
      </c>
      <c r="K81" s="204"/>
      <c r="L81" s="204">
        <v>18.808433418748187</v>
      </c>
      <c r="M81" s="209">
        <v>5.5724454396673009E-5</v>
      </c>
      <c r="N81" s="144"/>
      <c r="O81" s="113"/>
    </row>
    <row r="82" spans="1:15" x14ac:dyDescent="0.25">
      <c r="A82" s="156" t="s">
        <v>48</v>
      </c>
      <c r="B82" s="157">
        <v>27</v>
      </c>
      <c r="C82" s="157">
        <v>30</v>
      </c>
      <c r="D82" s="157">
        <v>20</v>
      </c>
      <c r="E82" s="157">
        <v>1</v>
      </c>
      <c r="F82" s="157">
        <v>22</v>
      </c>
      <c r="G82" s="157">
        <v>3</v>
      </c>
      <c r="H82" s="202">
        <v>51.336029505353949</v>
      </c>
      <c r="I82" s="202">
        <v>2.1509420000000001</v>
      </c>
      <c r="J82" s="202">
        <v>26.737515367371849</v>
      </c>
      <c r="K82" s="202">
        <v>4.3018840000000003</v>
      </c>
      <c r="L82" s="202">
        <v>84.526370872725806</v>
      </c>
      <c r="M82" s="208">
        <v>2.5042946396154278E-4</v>
      </c>
      <c r="N82" s="144"/>
      <c r="O82" s="113"/>
    </row>
    <row r="83" spans="1:15" x14ac:dyDescent="0.25">
      <c r="A83" s="155" t="s">
        <v>279</v>
      </c>
      <c r="B83" s="158">
        <v>27</v>
      </c>
      <c r="C83" s="158">
        <v>30</v>
      </c>
      <c r="D83" s="158">
        <v>20</v>
      </c>
      <c r="E83" s="158">
        <v>1</v>
      </c>
      <c r="F83" s="158">
        <v>22</v>
      </c>
      <c r="G83" s="158">
        <v>3</v>
      </c>
      <c r="H83" s="204">
        <v>51.336029505353949</v>
      </c>
      <c r="I83" s="204">
        <v>2.1509420000000001</v>
      </c>
      <c r="J83" s="204">
        <v>26.737515367371849</v>
      </c>
      <c r="K83" s="204">
        <v>4.3018840000000003</v>
      </c>
      <c r="L83" s="204">
        <v>84.526370872725806</v>
      </c>
      <c r="M83" s="209">
        <v>2.5042946396154294E-4</v>
      </c>
      <c r="N83" s="144"/>
      <c r="O83" s="113"/>
    </row>
    <row r="84" spans="1:15" ht="24" x14ac:dyDescent="0.25">
      <c r="A84" s="156" t="s">
        <v>49</v>
      </c>
      <c r="B84" s="157">
        <v>942</v>
      </c>
      <c r="C84" s="157">
        <v>1384</v>
      </c>
      <c r="D84" s="157">
        <v>696</v>
      </c>
      <c r="E84" s="157">
        <v>28</v>
      </c>
      <c r="F84" s="157">
        <v>744</v>
      </c>
      <c r="G84" s="157">
        <v>17</v>
      </c>
      <c r="H84" s="202">
        <v>2841.2132256477321</v>
      </c>
      <c r="I84" s="202">
        <v>129.36882000000003</v>
      </c>
      <c r="J84" s="202">
        <v>1588.8363432898493</v>
      </c>
      <c r="K84" s="202">
        <v>42.242880000000007</v>
      </c>
      <c r="L84" s="202">
        <v>4601.6612689376188</v>
      </c>
      <c r="M84" s="208">
        <v>1.3633515233344579E-2</v>
      </c>
      <c r="N84" s="144"/>
      <c r="O84" s="113"/>
    </row>
    <row r="85" spans="1:15" x14ac:dyDescent="0.25">
      <c r="A85" s="155" t="s">
        <v>278</v>
      </c>
      <c r="B85" s="158">
        <v>942</v>
      </c>
      <c r="C85" s="158">
        <v>1384</v>
      </c>
      <c r="D85" s="158">
        <v>696</v>
      </c>
      <c r="E85" s="158">
        <v>28</v>
      </c>
      <c r="F85" s="158">
        <v>744</v>
      </c>
      <c r="G85" s="158">
        <v>17</v>
      </c>
      <c r="H85" s="204">
        <v>2841.2132256477321</v>
      </c>
      <c r="I85" s="204">
        <v>129.36882000000003</v>
      </c>
      <c r="J85" s="204">
        <v>1588.8363432898493</v>
      </c>
      <c r="K85" s="204">
        <v>42.242880000000007</v>
      </c>
      <c r="L85" s="204">
        <v>4601.6612689376188</v>
      </c>
      <c r="M85" s="209">
        <v>1.3633515233344586E-2</v>
      </c>
      <c r="N85" s="144"/>
      <c r="O85" s="113"/>
    </row>
    <row r="86" spans="1:15" ht="24" x14ac:dyDescent="0.25">
      <c r="A86" s="156" t="s">
        <v>434</v>
      </c>
      <c r="B86" s="157">
        <v>25</v>
      </c>
      <c r="C86" s="157">
        <v>18</v>
      </c>
      <c r="D86" s="157">
        <v>16</v>
      </c>
      <c r="E86" s="157">
        <v>8</v>
      </c>
      <c r="F86" s="157">
        <v>8</v>
      </c>
      <c r="G86" s="157">
        <v>6</v>
      </c>
      <c r="H86" s="202">
        <v>50.560899612002828</v>
      </c>
      <c r="I86" s="202">
        <v>23.649999999999995</v>
      </c>
      <c r="J86" s="202">
        <v>10.533520752500589</v>
      </c>
      <c r="K86" s="202">
        <v>10.75</v>
      </c>
      <c r="L86" s="202">
        <v>95.494420364503412</v>
      </c>
      <c r="M86" s="208">
        <v>2.8292491746995579E-4</v>
      </c>
      <c r="N86" s="144"/>
      <c r="O86" s="113"/>
    </row>
    <row r="87" spans="1:15" x14ac:dyDescent="0.25">
      <c r="A87" s="155" t="s">
        <v>268</v>
      </c>
      <c r="B87" s="158">
        <v>25</v>
      </c>
      <c r="C87" s="158">
        <v>18</v>
      </c>
      <c r="D87" s="158">
        <v>16</v>
      </c>
      <c r="E87" s="158">
        <v>8</v>
      </c>
      <c r="F87" s="158">
        <v>8</v>
      </c>
      <c r="G87" s="158">
        <v>6</v>
      </c>
      <c r="H87" s="204">
        <v>50.560899612002828</v>
      </c>
      <c r="I87" s="204">
        <v>23.649999999999995</v>
      </c>
      <c r="J87" s="204">
        <v>10.533520752500589</v>
      </c>
      <c r="K87" s="204">
        <v>10.75</v>
      </c>
      <c r="L87" s="204">
        <v>95.494420364503412</v>
      </c>
      <c r="M87" s="209">
        <v>2.8292491746995595E-4</v>
      </c>
      <c r="N87" s="144"/>
      <c r="O87" s="113"/>
    </row>
    <row r="88" spans="1:15" x14ac:dyDescent="0.25">
      <c r="A88" s="156" t="s">
        <v>51</v>
      </c>
      <c r="B88" s="157">
        <v>1122</v>
      </c>
      <c r="C88" s="157">
        <v>1742</v>
      </c>
      <c r="D88" s="157">
        <v>853</v>
      </c>
      <c r="E88" s="157">
        <v>42</v>
      </c>
      <c r="F88" s="157">
        <v>1020</v>
      </c>
      <c r="G88" s="157">
        <v>16</v>
      </c>
      <c r="H88" s="202">
        <v>3257.4984143506999</v>
      </c>
      <c r="I88" s="202">
        <v>200.08232399999989</v>
      </c>
      <c r="J88" s="202">
        <v>2067.3552822557535</v>
      </c>
      <c r="K88" s="202">
        <v>39.759948999999999</v>
      </c>
      <c r="L88" s="202">
        <v>5564.6959696064205</v>
      </c>
      <c r="M88" s="208">
        <v>1.6486734428428608E-2</v>
      </c>
      <c r="N88" s="144"/>
      <c r="O88" s="113"/>
    </row>
    <row r="89" spans="1:15" x14ac:dyDescent="0.25">
      <c r="A89" s="155" t="s">
        <v>267</v>
      </c>
      <c r="B89" s="158">
        <v>1122</v>
      </c>
      <c r="C89" s="158">
        <v>1742</v>
      </c>
      <c r="D89" s="158">
        <v>853</v>
      </c>
      <c r="E89" s="158">
        <v>42</v>
      </c>
      <c r="F89" s="158">
        <v>1020</v>
      </c>
      <c r="G89" s="158">
        <v>16</v>
      </c>
      <c r="H89" s="204">
        <v>3257.4984143506999</v>
      </c>
      <c r="I89" s="204">
        <v>200.08232399999989</v>
      </c>
      <c r="J89" s="204">
        <v>2067.3552822557535</v>
      </c>
      <c r="K89" s="204">
        <v>39.759948999999999</v>
      </c>
      <c r="L89" s="204">
        <v>5564.6959696064205</v>
      </c>
      <c r="M89" s="209">
        <v>1.6486734428428615E-2</v>
      </c>
      <c r="N89" s="144"/>
      <c r="O89" s="113"/>
    </row>
    <row r="90" spans="1:15" ht="24" x14ac:dyDescent="0.25">
      <c r="A90" s="156" t="s">
        <v>52</v>
      </c>
      <c r="B90" s="157">
        <v>2243</v>
      </c>
      <c r="C90" s="157">
        <v>4346</v>
      </c>
      <c r="D90" s="157">
        <v>1708</v>
      </c>
      <c r="E90" s="157">
        <v>64</v>
      </c>
      <c r="F90" s="157">
        <v>2653</v>
      </c>
      <c r="G90" s="157">
        <v>36</v>
      </c>
      <c r="H90" s="202">
        <v>6170.7509307305436</v>
      </c>
      <c r="I90" s="202">
        <v>278.19072</v>
      </c>
      <c r="J90" s="202">
        <v>5038.5500542743785</v>
      </c>
      <c r="K90" s="202">
        <v>81.138959999999997</v>
      </c>
      <c r="L90" s="202">
        <v>11568.630665004779</v>
      </c>
      <c r="M90" s="208">
        <v>3.4274817980397068E-2</v>
      </c>
      <c r="N90" s="144"/>
      <c r="O90" s="113"/>
    </row>
    <row r="91" spans="1:15" x14ac:dyDescent="0.25">
      <c r="A91" s="155" t="s">
        <v>261</v>
      </c>
      <c r="B91" s="158">
        <v>2243</v>
      </c>
      <c r="C91" s="158">
        <v>4346</v>
      </c>
      <c r="D91" s="158">
        <v>1708</v>
      </c>
      <c r="E91" s="158">
        <v>64</v>
      </c>
      <c r="F91" s="158">
        <v>2653</v>
      </c>
      <c r="G91" s="158">
        <v>36</v>
      </c>
      <c r="H91" s="204">
        <v>6170.7509307305436</v>
      </c>
      <c r="I91" s="204">
        <v>278.19072</v>
      </c>
      <c r="J91" s="204">
        <v>5038.5500542743785</v>
      </c>
      <c r="K91" s="204">
        <v>81.138959999999997</v>
      </c>
      <c r="L91" s="204">
        <v>11568.630665004779</v>
      </c>
      <c r="M91" s="209">
        <v>3.4274817980397082E-2</v>
      </c>
      <c r="N91" s="144"/>
      <c r="O91" s="113"/>
    </row>
    <row r="92" spans="1:15" x14ac:dyDescent="0.25">
      <c r="A92" s="156" t="s">
        <v>53</v>
      </c>
      <c r="B92" s="157">
        <v>165</v>
      </c>
      <c r="C92" s="157">
        <v>26</v>
      </c>
      <c r="D92" s="157">
        <v>163</v>
      </c>
      <c r="E92" s="157"/>
      <c r="F92" s="157">
        <v>26</v>
      </c>
      <c r="G92" s="157"/>
      <c r="H92" s="202">
        <v>354.02369643753792</v>
      </c>
      <c r="I92" s="202"/>
      <c r="J92" s="202">
        <v>26.850111808464924</v>
      </c>
      <c r="K92" s="202"/>
      <c r="L92" s="202">
        <v>380.87380824600285</v>
      </c>
      <c r="M92" s="208">
        <v>1.1284291831203525E-3</v>
      </c>
      <c r="N92" s="144"/>
      <c r="O92" s="113"/>
    </row>
    <row r="93" spans="1:15" x14ac:dyDescent="0.25">
      <c r="A93" s="155" t="s">
        <v>277</v>
      </c>
      <c r="B93" s="158">
        <v>165</v>
      </c>
      <c r="C93" s="158">
        <v>26</v>
      </c>
      <c r="D93" s="158">
        <v>163</v>
      </c>
      <c r="E93" s="158"/>
      <c r="F93" s="158">
        <v>26</v>
      </c>
      <c r="G93" s="158"/>
      <c r="H93" s="204">
        <v>354.02369643753792</v>
      </c>
      <c r="I93" s="204"/>
      <c r="J93" s="204">
        <v>26.850111808464924</v>
      </c>
      <c r="K93" s="204"/>
      <c r="L93" s="204">
        <v>380.87380824600285</v>
      </c>
      <c r="M93" s="209">
        <v>1.1284291831203531E-3</v>
      </c>
      <c r="N93" s="144"/>
      <c r="O93" s="113"/>
    </row>
    <row r="94" spans="1:15" x14ac:dyDescent="0.25">
      <c r="A94" s="156" t="s">
        <v>54</v>
      </c>
      <c r="B94" s="157">
        <v>153</v>
      </c>
      <c r="C94" s="157">
        <v>404</v>
      </c>
      <c r="D94" s="157">
        <v>56</v>
      </c>
      <c r="E94" s="157">
        <v>1</v>
      </c>
      <c r="F94" s="157">
        <v>82</v>
      </c>
      <c r="G94" s="157"/>
      <c r="H94" s="202">
        <v>468.21770796012612</v>
      </c>
      <c r="I94" s="202">
        <v>8.9838679999999993</v>
      </c>
      <c r="J94" s="202">
        <v>342.32898459348883</v>
      </c>
      <c r="K94" s="202"/>
      <c r="L94" s="202">
        <v>819.53056055361469</v>
      </c>
      <c r="M94" s="208">
        <v>2.4280540718892691E-3</v>
      </c>
      <c r="N94" s="144"/>
      <c r="O94" s="113"/>
    </row>
    <row r="95" spans="1:15" x14ac:dyDescent="0.25">
      <c r="A95" s="155" t="s">
        <v>276</v>
      </c>
      <c r="B95" s="158">
        <v>153</v>
      </c>
      <c r="C95" s="158">
        <v>404</v>
      </c>
      <c r="D95" s="158">
        <v>56</v>
      </c>
      <c r="E95" s="158">
        <v>1</v>
      </c>
      <c r="F95" s="158">
        <v>82</v>
      </c>
      <c r="G95" s="158"/>
      <c r="H95" s="204">
        <v>468.21770796012612</v>
      </c>
      <c r="I95" s="204">
        <v>8.9838679999999993</v>
      </c>
      <c r="J95" s="204">
        <v>342.32898459348883</v>
      </c>
      <c r="K95" s="204"/>
      <c r="L95" s="204">
        <v>819.53056055361469</v>
      </c>
      <c r="M95" s="209">
        <v>2.4280540718892704E-3</v>
      </c>
      <c r="N95" s="144"/>
      <c r="O95" s="113"/>
    </row>
    <row r="96" spans="1:15" x14ac:dyDescent="0.25">
      <c r="A96" s="156" t="s">
        <v>55</v>
      </c>
      <c r="B96" s="157">
        <v>679</v>
      </c>
      <c r="C96" s="157">
        <v>1118</v>
      </c>
      <c r="D96" s="157">
        <v>577</v>
      </c>
      <c r="E96" s="157">
        <v>13</v>
      </c>
      <c r="F96" s="157">
        <v>787</v>
      </c>
      <c r="G96" s="157">
        <v>7</v>
      </c>
      <c r="H96" s="202">
        <v>1810.5062075579908</v>
      </c>
      <c r="I96" s="202">
        <v>44.865954000000002</v>
      </c>
      <c r="J96" s="202">
        <v>1288.0190075817859</v>
      </c>
      <c r="K96" s="202">
        <v>14.168196</v>
      </c>
      <c r="L96" s="202">
        <v>3157.5593651397767</v>
      </c>
      <c r="M96" s="208">
        <v>9.3550201088055257E-3</v>
      </c>
      <c r="N96" s="144"/>
      <c r="O96" s="113"/>
    </row>
    <row r="97" spans="1:15" x14ac:dyDescent="0.25">
      <c r="A97" s="155" t="s">
        <v>275</v>
      </c>
      <c r="B97" s="158">
        <v>679</v>
      </c>
      <c r="C97" s="158">
        <v>1118</v>
      </c>
      <c r="D97" s="158">
        <v>577</v>
      </c>
      <c r="E97" s="158">
        <v>13</v>
      </c>
      <c r="F97" s="158">
        <v>787</v>
      </c>
      <c r="G97" s="158">
        <v>7</v>
      </c>
      <c r="H97" s="204">
        <v>1810.5062075579908</v>
      </c>
      <c r="I97" s="204">
        <v>44.865954000000002</v>
      </c>
      <c r="J97" s="204">
        <v>1288.0190075817859</v>
      </c>
      <c r="K97" s="204">
        <v>14.168196</v>
      </c>
      <c r="L97" s="204">
        <v>3157.5593651397767</v>
      </c>
      <c r="M97" s="209">
        <v>9.3550201088055309E-3</v>
      </c>
      <c r="N97" s="144"/>
      <c r="O97" s="113"/>
    </row>
    <row r="98" spans="1:15" ht="24" x14ac:dyDescent="0.25">
      <c r="A98" s="156" t="s">
        <v>56</v>
      </c>
      <c r="B98" s="157">
        <v>6</v>
      </c>
      <c r="C98" s="157">
        <v>17</v>
      </c>
      <c r="D98" s="157">
        <v>5</v>
      </c>
      <c r="E98" s="157"/>
      <c r="F98" s="157">
        <v>10</v>
      </c>
      <c r="G98" s="157"/>
      <c r="H98" s="202">
        <v>21.737924506566344</v>
      </c>
      <c r="I98" s="202"/>
      <c r="J98" s="202">
        <v>21.73792450656634</v>
      </c>
      <c r="K98" s="202"/>
      <c r="L98" s="202">
        <v>43.475849013132688</v>
      </c>
      <c r="M98" s="208">
        <v>1.2880753605316457E-4</v>
      </c>
      <c r="N98" s="144"/>
      <c r="O98" s="113"/>
    </row>
    <row r="99" spans="1:15" x14ac:dyDescent="0.25">
      <c r="A99" s="155" t="s">
        <v>274</v>
      </c>
      <c r="B99" s="158">
        <v>6</v>
      </c>
      <c r="C99" s="158">
        <v>17</v>
      </c>
      <c r="D99" s="158">
        <v>5</v>
      </c>
      <c r="E99" s="158"/>
      <c r="F99" s="158">
        <v>10</v>
      </c>
      <c r="G99" s="158"/>
      <c r="H99" s="204">
        <v>21.737924506566344</v>
      </c>
      <c r="I99" s="204"/>
      <c r="J99" s="204">
        <v>21.73792450656634</v>
      </c>
      <c r="K99" s="204"/>
      <c r="L99" s="204">
        <v>43.475849013132688</v>
      </c>
      <c r="M99" s="209">
        <v>1.2880753605316463E-4</v>
      </c>
      <c r="N99" s="144"/>
      <c r="O99" s="113"/>
    </row>
    <row r="100" spans="1:15" x14ac:dyDescent="0.25">
      <c r="A100" s="156" t="s">
        <v>491</v>
      </c>
      <c r="B100" s="157">
        <v>152</v>
      </c>
      <c r="C100" s="157">
        <v>218</v>
      </c>
      <c r="D100" s="157">
        <v>127</v>
      </c>
      <c r="E100" s="157">
        <v>7</v>
      </c>
      <c r="F100" s="157">
        <v>161</v>
      </c>
      <c r="G100" s="157">
        <v>4</v>
      </c>
      <c r="H100" s="202">
        <v>401.82030840415058</v>
      </c>
      <c r="I100" s="202">
        <v>23.492059999999995</v>
      </c>
      <c r="J100" s="202">
        <v>278.00358546566252</v>
      </c>
      <c r="K100" s="202">
        <v>8.2222210000000011</v>
      </c>
      <c r="L100" s="202">
        <v>711.53817486981416</v>
      </c>
      <c r="M100" s="208">
        <v>2.1081009616410588E-3</v>
      </c>
      <c r="N100" s="144"/>
      <c r="O100" s="113"/>
    </row>
    <row r="101" spans="1:15" x14ac:dyDescent="0.25">
      <c r="A101" s="155" t="s">
        <v>489</v>
      </c>
      <c r="B101" s="158">
        <v>152</v>
      </c>
      <c r="C101" s="158">
        <v>218</v>
      </c>
      <c r="D101" s="158">
        <v>127</v>
      </c>
      <c r="E101" s="158">
        <v>7</v>
      </c>
      <c r="F101" s="158">
        <v>161</v>
      </c>
      <c r="G101" s="158">
        <v>4</v>
      </c>
      <c r="H101" s="204">
        <v>401.82030840415058</v>
      </c>
      <c r="I101" s="204">
        <v>23.492059999999995</v>
      </c>
      <c r="J101" s="204">
        <v>278.00358546566252</v>
      </c>
      <c r="K101" s="204">
        <v>8.2222210000000011</v>
      </c>
      <c r="L101" s="204">
        <v>711.53817486981416</v>
      </c>
      <c r="M101" s="209">
        <v>2.1081009616410601E-3</v>
      </c>
      <c r="N101" s="144"/>
      <c r="O101" s="113"/>
    </row>
    <row r="102" spans="1:15" x14ac:dyDescent="0.25">
      <c r="A102" s="156" t="s">
        <v>129</v>
      </c>
      <c r="B102" s="157">
        <v>19</v>
      </c>
      <c r="C102" s="157">
        <v>6</v>
      </c>
      <c r="D102" s="157">
        <v>19</v>
      </c>
      <c r="E102" s="157"/>
      <c r="F102" s="157">
        <v>6</v>
      </c>
      <c r="G102" s="157"/>
      <c r="H102" s="202">
        <v>45.744634932940251</v>
      </c>
      <c r="I102" s="202"/>
      <c r="J102" s="202">
        <v>7.9555886839896095</v>
      </c>
      <c r="K102" s="202"/>
      <c r="L102" s="202">
        <v>53.700223616929861</v>
      </c>
      <c r="M102" s="208">
        <v>1.5909967594908349E-4</v>
      </c>
      <c r="N102" s="144"/>
      <c r="O102" s="113"/>
    </row>
    <row r="103" spans="1:15" x14ac:dyDescent="0.25">
      <c r="A103" s="155" t="s">
        <v>273</v>
      </c>
      <c r="B103" s="158">
        <v>19</v>
      </c>
      <c r="C103" s="158">
        <v>6</v>
      </c>
      <c r="D103" s="158">
        <v>19</v>
      </c>
      <c r="E103" s="158"/>
      <c r="F103" s="158">
        <v>6</v>
      </c>
      <c r="G103" s="158"/>
      <c r="H103" s="204">
        <v>45.744634932940251</v>
      </c>
      <c r="I103" s="204"/>
      <c r="J103" s="204">
        <v>7.9555886839896095</v>
      </c>
      <c r="K103" s="204"/>
      <c r="L103" s="204">
        <v>53.700223616929861</v>
      </c>
      <c r="M103" s="209">
        <v>1.5909967594908357E-4</v>
      </c>
      <c r="N103" s="144"/>
      <c r="O103" s="113"/>
    </row>
    <row r="104" spans="1:15" x14ac:dyDescent="0.25">
      <c r="A104" s="156" t="s">
        <v>57</v>
      </c>
      <c r="B104" s="157">
        <v>59</v>
      </c>
      <c r="C104" s="157">
        <v>88</v>
      </c>
      <c r="D104" s="157">
        <v>48</v>
      </c>
      <c r="E104" s="157">
        <v>1</v>
      </c>
      <c r="F104" s="157">
        <v>54</v>
      </c>
      <c r="G104" s="157">
        <v>1</v>
      </c>
      <c r="H104" s="202">
        <v>183.06736476347135</v>
      </c>
      <c r="I104" s="202">
        <v>5.1578920000000004</v>
      </c>
      <c r="J104" s="202">
        <v>105.32642904199724</v>
      </c>
      <c r="K104" s="202">
        <v>2.5789460000000002</v>
      </c>
      <c r="L104" s="202">
        <v>296.1306318054684</v>
      </c>
      <c r="M104" s="208">
        <v>8.7735738113376945E-4</v>
      </c>
      <c r="N104" s="144"/>
      <c r="O104" s="113"/>
    </row>
    <row r="105" spans="1:15" x14ac:dyDescent="0.25">
      <c r="A105" s="155" t="s">
        <v>272</v>
      </c>
      <c r="B105" s="158">
        <v>59</v>
      </c>
      <c r="C105" s="158">
        <v>88</v>
      </c>
      <c r="D105" s="158">
        <v>48</v>
      </c>
      <c r="E105" s="158">
        <v>1</v>
      </c>
      <c r="F105" s="158">
        <v>54</v>
      </c>
      <c r="G105" s="158">
        <v>1</v>
      </c>
      <c r="H105" s="204">
        <v>183.06736476347135</v>
      </c>
      <c r="I105" s="204">
        <v>5.1578920000000004</v>
      </c>
      <c r="J105" s="204">
        <v>105.32642904199724</v>
      </c>
      <c r="K105" s="204">
        <v>2.5789460000000002</v>
      </c>
      <c r="L105" s="204">
        <v>296.1306318054684</v>
      </c>
      <c r="M105" s="209">
        <v>8.7735738113376999E-4</v>
      </c>
      <c r="N105" s="144"/>
      <c r="O105" s="113"/>
    </row>
    <row r="106" spans="1:15" ht="24" x14ac:dyDescent="0.25">
      <c r="A106" s="156" t="s">
        <v>58</v>
      </c>
      <c r="B106" s="157">
        <v>662</v>
      </c>
      <c r="C106" s="157">
        <v>1783</v>
      </c>
      <c r="D106" s="157">
        <v>480</v>
      </c>
      <c r="E106" s="157">
        <v>26</v>
      </c>
      <c r="F106" s="157">
        <v>924</v>
      </c>
      <c r="G106" s="157">
        <v>22</v>
      </c>
      <c r="H106" s="202">
        <v>2138.6710407077658</v>
      </c>
      <c r="I106" s="202">
        <v>129.26316000000003</v>
      </c>
      <c r="J106" s="202">
        <v>2081.4350663807309</v>
      </c>
      <c r="K106" s="202">
        <v>55.005600000000022</v>
      </c>
      <c r="L106" s="202">
        <v>4404.3748670884834</v>
      </c>
      <c r="M106" s="208">
        <v>1.3049007376780225E-2</v>
      </c>
      <c r="N106" s="144"/>
      <c r="O106" s="113"/>
    </row>
    <row r="107" spans="1:15" x14ac:dyDescent="0.25">
      <c r="A107" s="155" t="s">
        <v>271</v>
      </c>
      <c r="B107" s="158">
        <v>662</v>
      </c>
      <c r="C107" s="158">
        <v>1783</v>
      </c>
      <c r="D107" s="158">
        <v>480</v>
      </c>
      <c r="E107" s="158">
        <v>26</v>
      </c>
      <c r="F107" s="158">
        <v>924</v>
      </c>
      <c r="G107" s="158">
        <v>22</v>
      </c>
      <c r="H107" s="204">
        <v>2138.6710407077658</v>
      </c>
      <c r="I107" s="204">
        <v>129.26316000000003</v>
      </c>
      <c r="J107" s="204">
        <v>2081.4350663807309</v>
      </c>
      <c r="K107" s="204">
        <v>55.005600000000022</v>
      </c>
      <c r="L107" s="204">
        <v>4404.3748670884834</v>
      </c>
      <c r="M107" s="209">
        <v>1.3049007376780232E-2</v>
      </c>
      <c r="N107" s="144"/>
      <c r="O107" s="113"/>
    </row>
    <row r="108" spans="1:15" x14ac:dyDescent="0.25">
      <c r="A108" s="156" t="s">
        <v>59</v>
      </c>
      <c r="B108" s="157">
        <v>2415</v>
      </c>
      <c r="C108" s="157">
        <v>3113</v>
      </c>
      <c r="D108" s="157">
        <v>1936</v>
      </c>
      <c r="E108" s="157">
        <v>57</v>
      </c>
      <c r="F108" s="157">
        <v>1759</v>
      </c>
      <c r="G108" s="157">
        <v>28</v>
      </c>
      <c r="H108" s="202">
        <v>6958.2912547901105</v>
      </c>
      <c r="I108" s="202">
        <v>261.02689599999974</v>
      </c>
      <c r="J108" s="202">
        <v>3634.6597097426047</v>
      </c>
      <c r="K108" s="202">
        <v>62.746849999999966</v>
      </c>
      <c r="L108" s="202">
        <v>10916.724710532628</v>
      </c>
      <c r="M108" s="208">
        <v>3.2343391645086636E-2</v>
      </c>
      <c r="N108" s="144"/>
      <c r="O108" s="113"/>
    </row>
    <row r="109" spans="1:15" x14ac:dyDescent="0.25">
      <c r="A109" s="155" t="s">
        <v>270</v>
      </c>
      <c r="B109" s="158">
        <v>2415</v>
      </c>
      <c r="C109" s="158">
        <v>3113</v>
      </c>
      <c r="D109" s="158">
        <v>1936</v>
      </c>
      <c r="E109" s="158">
        <v>57</v>
      </c>
      <c r="F109" s="158">
        <v>1759</v>
      </c>
      <c r="G109" s="158">
        <v>28</v>
      </c>
      <c r="H109" s="204">
        <v>6958.2912547901105</v>
      </c>
      <c r="I109" s="204">
        <v>261.02689599999974</v>
      </c>
      <c r="J109" s="204">
        <v>3634.6597097426047</v>
      </c>
      <c r="K109" s="204">
        <v>62.746849999999966</v>
      </c>
      <c r="L109" s="204">
        <v>10916.724710532628</v>
      </c>
      <c r="M109" s="209">
        <v>3.2343391645086657E-2</v>
      </c>
      <c r="N109" s="144"/>
      <c r="O109" s="113"/>
    </row>
    <row r="110" spans="1:15" x14ac:dyDescent="0.25">
      <c r="A110" s="156" t="s">
        <v>469</v>
      </c>
      <c r="B110" s="157">
        <v>341</v>
      </c>
      <c r="C110" s="157">
        <v>692</v>
      </c>
      <c r="D110" s="157">
        <v>214</v>
      </c>
      <c r="E110" s="157">
        <v>21</v>
      </c>
      <c r="F110" s="157">
        <v>308</v>
      </c>
      <c r="G110" s="157">
        <v>13</v>
      </c>
      <c r="H110" s="202">
        <v>986.66942558482708</v>
      </c>
      <c r="I110" s="202">
        <v>109.031052</v>
      </c>
      <c r="J110" s="202">
        <v>734.9972242762334</v>
      </c>
      <c r="K110" s="202">
        <v>30.752347999999994</v>
      </c>
      <c r="L110" s="202">
        <v>1861.4500498610535</v>
      </c>
      <c r="M110" s="208">
        <v>5.5149882026735353E-3</v>
      </c>
      <c r="N110" s="144"/>
      <c r="O110" s="113"/>
    </row>
    <row r="111" spans="1:15" x14ac:dyDescent="0.25">
      <c r="A111" s="155" t="s">
        <v>230</v>
      </c>
      <c r="B111" s="158">
        <v>341</v>
      </c>
      <c r="C111" s="158">
        <v>692</v>
      </c>
      <c r="D111" s="158">
        <v>214</v>
      </c>
      <c r="E111" s="158">
        <v>21</v>
      </c>
      <c r="F111" s="158">
        <v>308</v>
      </c>
      <c r="G111" s="158">
        <v>13</v>
      </c>
      <c r="H111" s="204">
        <v>986.66942558482708</v>
      </c>
      <c r="I111" s="204">
        <v>109.031052</v>
      </c>
      <c r="J111" s="204">
        <v>734.9972242762334</v>
      </c>
      <c r="K111" s="204">
        <v>30.752347999999994</v>
      </c>
      <c r="L111" s="204">
        <v>1861.4500498610535</v>
      </c>
      <c r="M111" s="209">
        <v>5.5149882026735379E-3</v>
      </c>
      <c r="N111" s="144"/>
      <c r="O111" s="113"/>
    </row>
    <row r="112" spans="1:15" x14ac:dyDescent="0.25">
      <c r="A112" s="156" t="s">
        <v>438</v>
      </c>
      <c r="B112" s="157">
        <v>2552</v>
      </c>
      <c r="C112" s="157">
        <v>4130</v>
      </c>
      <c r="D112" s="157">
        <v>1907</v>
      </c>
      <c r="E112" s="157">
        <v>90</v>
      </c>
      <c r="F112" s="157">
        <v>2365</v>
      </c>
      <c r="G112" s="157">
        <v>51</v>
      </c>
      <c r="H112" s="202">
        <v>8028.8128004865857</v>
      </c>
      <c r="I112" s="202">
        <v>432.39424000000002</v>
      </c>
      <c r="J112" s="202">
        <v>5040.5102783323691</v>
      </c>
      <c r="K112" s="202">
        <v>120.66815999999996</v>
      </c>
      <c r="L112" s="202">
        <v>13622.385478818869</v>
      </c>
      <c r="M112" s="208">
        <v>4.0359554753330695E-2</v>
      </c>
      <c r="N112" s="144"/>
      <c r="O112" s="113"/>
    </row>
    <row r="113" spans="1:15" x14ac:dyDescent="0.25">
      <c r="A113" s="155" t="s">
        <v>244</v>
      </c>
      <c r="B113" s="158">
        <v>2552</v>
      </c>
      <c r="C113" s="158">
        <v>4130</v>
      </c>
      <c r="D113" s="158">
        <v>1907</v>
      </c>
      <c r="E113" s="158">
        <v>90</v>
      </c>
      <c r="F113" s="158">
        <v>2365</v>
      </c>
      <c r="G113" s="158">
        <v>51</v>
      </c>
      <c r="H113" s="204">
        <v>8028.8128004865857</v>
      </c>
      <c r="I113" s="204">
        <v>432.39424000000002</v>
      </c>
      <c r="J113" s="204">
        <v>5040.5102783323691</v>
      </c>
      <c r="K113" s="204">
        <v>120.66815999999996</v>
      </c>
      <c r="L113" s="204">
        <v>13622.385478818869</v>
      </c>
      <c r="M113" s="209">
        <v>4.0359554753330716E-2</v>
      </c>
      <c r="N113" s="144"/>
      <c r="O113" s="113"/>
    </row>
    <row r="114" spans="1:15" x14ac:dyDescent="0.25">
      <c r="A114" s="156" t="s">
        <v>60</v>
      </c>
      <c r="B114" s="157">
        <v>783</v>
      </c>
      <c r="C114" s="157">
        <v>1442</v>
      </c>
      <c r="D114" s="157">
        <v>598</v>
      </c>
      <c r="E114" s="157">
        <v>22</v>
      </c>
      <c r="F114" s="157">
        <v>834</v>
      </c>
      <c r="G114" s="157">
        <v>15</v>
      </c>
      <c r="H114" s="202">
        <v>2314.8673374902201</v>
      </c>
      <c r="I114" s="202">
        <v>110.99185800000002</v>
      </c>
      <c r="J114" s="202">
        <v>1738.6887348473699</v>
      </c>
      <c r="K114" s="202">
        <v>36.136884000000009</v>
      </c>
      <c r="L114" s="202">
        <v>4200.6848143375837</v>
      </c>
      <c r="M114" s="208">
        <v>1.2445527182397886E-2</v>
      </c>
      <c r="N114" s="144"/>
      <c r="O114" s="113"/>
    </row>
    <row r="115" spans="1:15" x14ac:dyDescent="0.25">
      <c r="A115" s="155" t="s">
        <v>269</v>
      </c>
      <c r="B115" s="158">
        <v>783</v>
      </c>
      <c r="C115" s="158">
        <v>1442</v>
      </c>
      <c r="D115" s="158">
        <v>598</v>
      </c>
      <c r="E115" s="158">
        <v>22</v>
      </c>
      <c r="F115" s="158">
        <v>834</v>
      </c>
      <c r="G115" s="158">
        <v>15</v>
      </c>
      <c r="H115" s="204">
        <v>2314.8673374902201</v>
      </c>
      <c r="I115" s="204">
        <v>110.99185800000002</v>
      </c>
      <c r="J115" s="204">
        <v>1738.6887348473699</v>
      </c>
      <c r="K115" s="204">
        <v>36.136884000000009</v>
      </c>
      <c r="L115" s="204">
        <v>4200.6848143375837</v>
      </c>
      <c r="M115" s="209">
        <v>1.2445527182397893E-2</v>
      </c>
      <c r="N115" s="144"/>
      <c r="O115" s="113"/>
    </row>
    <row r="116" spans="1:15" x14ac:dyDescent="0.25">
      <c r="A116" s="156" t="s">
        <v>473</v>
      </c>
      <c r="B116" s="157">
        <v>932</v>
      </c>
      <c r="C116" s="157">
        <v>1599</v>
      </c>
      <c r="D116" s="157">
        <v>666</v>
      </c>
      <c r="E116" s="157">
        <v>27</v>
      </c>
      <c r="F116" s="157">
        <v>912</v>
      </c>
      <c r="G116" s="157">
        <v>15</v>
      </c>
      <c r="H116" s="202">
        <v>2561.4852692768518</v>
      </c>
      <c r="I116" s="202">
        <v>122.00711199999998</v>
      </c>
      <c r="J116" s="202">
        <v>1790.6679428740981</v>
      </c>
      <c r="K116" s="202">
        <v>29.852803999999999</v>
      </c>
      <c r="L116" s="202">
        <v>4504.0131281509039</v>
      </c>
      <c r="M116" s="208">
        <v>1.3344209407226958E-2</v>
      </c>
      <c r="N116" s="144"/>
      <c r="O116" s="113"/>
    </row>
    <row r="117" spans="1:15" x14ac:dyDescent="0.25">
      <c r="A117" s="155" t="s">
        <v>472</v>
      </c>
      <c r="B117" s="158">
        <v>932</v>
      </c>
      <c r="C117" s="158">
        <v>1599</v>
      </c>
      <c r="D117" s="158">
        <v>666</v>
      </c>
      <c r="E117" s="158">
        <v>27</v>
      </c>
      <c r="F117" s="158">
        <v>912</v>
      </c>
      <c r="G117" s="158">
        <v>15</v>
      </c>
      <c r="H117" s="204">
        <v>2561.4852692768518</v>
      </c>
      <c r="I117" s="204">
        <v>122.00711199999998</v>
      </c>
      <c r="J117" s="204">
        <v>1790.6679428740981</v>
      </c>
      <c r="K117" s="204">
        <v>29.852803999999999</v>
      </c>
      <c r="L117" s="204">
        <v>4504.0131281509039</v>
      </c>
      <c r="M117" s="209">
        <v>1.3344209407226965E-2</v>
      </c>
      <c r="N117" s="144"/>
      <c r="O117" s="113"/>
    </row>
    <row r="118" spans="1:15" x14ac:dyDescent="0.25">
      <c r="A118" s="156" t="s">
        <v>61</v>
      </c>
      <c r="B118" s="157">
        <v>36</v>
      </c>
      <c r="C118" s="157">
        <v>47</v>
      </c>
      <c r="D118" s="157">
        <v>30</v>
      </c>
      <c r="E118" s="157">
        <v>2</v>
      </c>
      <c r="F118" s="157">
        <v>34</v>
      </c>
      <c r="G118" s="157"/>
      <c r="H118" s="202">
        <v>83.775160260404235</v>
      </c>
      <c r="I118" s="202">
        <v>4.4266639999999997</v>
      </c>
      <c r="J118" s="202">
        <v>47.548063931580785</v>
      </c>
      <c r="K118" s="202"/>
      <c r="L118" s="202">
        <v>135.74988819198512</v>
      </c>
      <c r="M118" s="208">
        <v>4.0219130883954285E-4</v>
      </c>
      <c r="N118" s="144"/>
      <c r="O118" s="113"/>
    </row>
    <row r="119" spans="1:15" x14ac:dyDescent="0.25">
      <c r="A119" s="155" t="s">
        <v>265</v>
      </c>
      <c r="B119" s="158">
        <v>36</v>
      </c>
      <c r="C119" s="158">
        <v>47</v>
      </c>
      <c r="D119" s="158">
        <v>30</v>
      </c>
      <c r="E119" s="158">
        <v>2</v>
      </c>
      <c r="F119" s="158">
        <v>34</v>
      </c>
      <c r="G119" s="158"/>
      <c r="H119" s="204">
        <v>83.775160260404235</v>
      </c>
      <c r="I119" s="204">
        <v>4.4266639999999997</v>
      </c>
      <c r="J119" s="204">
        <v>47.548063931580785</v>
      </c>
      <c r="K119" s="204"/>
      <c r="L119" s="204">
        <v>135.74988819198512</v>
      </c>
      <c r="M119" s="209">
        <v>4.0219130883954306E-4</v>
      </c>
      <c r="N119" s="144"/>
      <c r="O119" s="113"/>
    </row>
    <row r="120" spans="1:15" ht="24" x14ac:dyDescent="0.25">
      <c r="A120" s="156" t="s">
        <v>496</v>
      </c>
      <c r="B120" s="157">
        <v>22</v>
      </c>
      <c r="C120" s="157">
        <v>44</v>
      </c>
      <c r="D120" s="157">
        <v>9</v>
      </c>
      <c r="E120" s="157">
        <v>9</v>
      </c>
      <c r="F120" s="157">
        <v>17</v>
      </c>
      <c r="G120" s="157">
        <v>15</v>
      </c>
      <c r="H120" s="202">
        <v>37.388271172741099</v>
      </c>
      <c r="I120" s="202">
        <v>39.368395999999997</v>
      </c>
      <c r="J120" s="202">
        <v>25.704436431259506</v>
      </c>
      <c r="K120" s="202">
        <v>31.263138000000005</v>
      </c>
      <c r="L120" s="202">
        <v>133.72424160400055</v>
      </c>
      <c r="M120" s="208">
        <v>3.9618984936639999E-4</v>
      </c>
      <c r="N120" s="144"/>
      <c r="O120" s="113"/>
    </row>
    <row r="121" spans="1:15" x14ac:dyDescent="0.25">
      <c r="A121" s="155" t="s">
        <v>264</v>
      </c>
      <c r="B121" s="158">
        <v>22</v>
      </c>
      <c r="C121" s="158">
        <v>44</v>
      </c>
      <c r="D121" s="158">
        <v>9</v>
      </c>
      <c r="E121" s="158">
        <v>9</v>
      </c>
      <c r="F121" s="158">
        <v>17</v>
      </c>
      <c r="G121" s="158">
        <v>15</v>
      </c>
      <c r="H121" s="204">
        <v>37.388271172741099</v>
      </c>
      <c r="I121" s="204">
        <v>39.368395999999997</v>
      </c>
      <c r="J121" s="204">
        <v>25.704436431259506</v>
      </c>
      <c r="K121" s="204">
        <v>31.263138000000005</v>
      </c>
      <c r="L121" s="204">
        <v>133.72424160400055</v>
      </c>
      <c r="M121" s="209">
        <v>3.9618984936640021E-4</v>
      </c>
      <c r="N121" s="144"/>
      <c r="O121" s="113"/>
    </row>
    <row r="122" spans="1:15" ht="24" x14ac:dyDescent="0.25">
      <c r="A122" s="156" t="s">
        <v>359</v>
      </c>
      <c r="B122" s="157">
        <v>33</v>
      </c>
      <c r="C122" s="157">
        <v>64</v>
      </c>
      <c r="D122" s="157">
        <v>27</v>
      </c>
      <c r="E122" s="157"/>
      <c r="F122" s="157">
        <v>35</v>
      </c>
      <c r="G122" s="157"/>
      <c r="H122" s="202">
        <v>119.04162795327844</v>
      </c>
      <c r="I122" s="202"/>
      <c r="J122" s="202">
        <v>79.361085302185629</v>
      </c>
      <c r="K122" s="202"/>
      <c r="L122" s="202">
        <v>198.40271325546414</v>
      </c>
      <c r="M122" s="208">
        <v>5.8781519443080403E-4</v>
      </c>
      <c r="N122" s="144"/>
      <c r="O122" s="113"/>
    </row>
    <row r="123" spans="1:15" x14ac:dyDescent="0.25">
      <c r="A123" s="155" t="s">
        <v>263</v>
      </c>
      <c r="B123" s="158">
        <v>33</v>
      </c>
      <c r="C123" s="158">
        <v>64</v>
      </c>
      <c r="D123" s="158">
        <v>27</v>
      </c>
      <c r="E123" s="158"/>
      <c r="F123" s="158">
        <v>35</v>
      </c>
      <c r="G123" s="158"/>
      <c r="H123" s="204">
        <v>119.04162795327844</v>
      </c>
      <c r="I123" s="204"/>
      <c r="J123" s="204">
        <v>79.361085302185629</v>
      </c>
      <c r="K123" s="204"/>
      <c r="L123" s="204">
        <v>198.40271325546414</v>
      </c>
      <c r="M123" s="209">
        <v>5.8781519443080424E-4</v>
      </c>
      <c r="N123" s="144"/>
      <c r="O123" s="113"/>
    </row>
    <row r="124" spans="1:15" x14ac:dyDescent="0.25">
      <c r="A124" s="156" t="s">
        <v>64</v>
      </c>
      <c r="B124" s="157">
        <v>109</v>
      </c>
      <c r="C124" s="157">
        <v>73</v>
      </c>
      <c r="D124" s="157">
        <v>86</v>
      </c>
      <c r="E124" s="157">
        <v>5</v>
      </c>
      <c r="F124" s="157">
        <v>62</v>
      </c>
      <c r="G124" s="157"/>
      <c r="H124" s="202">
        <v>254.40466024005167</v>
      </c>
      <c r="I124" s="202">
        <v>18.2</v>
      </c>
      <c r="J124" s="202">
        <v>90.70079191167062</v>
      </c>
      <c r="K124" s="202"/>
      <c r="L124" s="202">
        <v>363.30545215172259</v>
      </c>
      <c r="M124" s="208">
        <v>1.0763787525393355E-3</v>
      </c>
      <c r="N124" s="144"/>
      <c r="O124" s="113"/>
    </row>
    <row r="125" spans="1:15" x14ac:dyDescent="0.25">
      <c r="A125" s="155" t="s">
        <v>262</v>
      </c>
      <c r="B125" s="158">
        <v>109</v>
      </c>
      <c r="C125" s="158">
        <v>73</v>
      </c>
      <c r="D125" s="158">
        <v>86</v>
      </c>
      <c r="E125" s="158">
        <v>5</v>
      </c>
      <c r="F125" s="158">
        <v>62</v>
      </c>
      <c r="G125" s="158"/>
      <c r="H125" s="204">
        <v>254.40466024005167</v>
      </c>
      <c r="I125" s="204">
        <v>18.2</v>
      </c>
      <c r="J125" s="204">
        <v>90.70079191167062</v>
      </c>
      <c r="K125" s="204"/>
      <c r="L125" s="204">
        <v>363.30545215172259</v>
      </c>
      <c r="M125" s="209">
        <v>1.076378752539336E-3</v>
      </c>
      <c r="N125" s="144"/>
      <c r="O125" s="113"/>
    </row>
    <row r="126" spans="1:15" x14ac:dyDescent="0.25">
      <c r="A126" s="156" t="s">
        <v>144</v>
      </c>
      <c r="B126" s="157">
        <v>12</v>
      </c>
      <c r="C126" s="157">
        <v>19</v>
      </c>
      <c r="D126" s="157">
        <v>5</v>
      </c>
      <c r="E126" s="157"/>
      <c r="F126" s="157">
        <v>12</v>
      </c>
      <c r="G126" s="157"/>
      <c r="H126" s="202">
        <v>21.952578977635241</v>
      </c>
      <c r="I126" s="202"/>
      <c r="J126" s="202">
        <v>15.854640372736561</v>
      </c>
      <c r="K126" s="202"/>
      <c r="L126" s="202">
        <v>37.807219350371795</v>
      </c>
      <c r="M126" s="208">
        <v>1.1201287335577705E-4</v>
      </c>
      <c r="N126" s="144"/>
      <c r="O126" s="113"/>
    </row>
    <row r="127" spans="1:15" x14ac:dyDescent="0.25">
      <c r="A127" s="155" t="s">
        <v>260</v>
      </c>
      <c r="B127" s="158">
        <v>12</v>
      </c>
      <c r="C127" s="158">
        <v>19</v>
      </c>
      <c r="D127" s="158">
        <v>5</v>
      </c>
      <c r="E127" s="158"/>
      <c r="F127" s="158">
        <v>12</v>
      </c>
      <c r="G127" s="158"/>
      <c r="H127" s="204">
        <v>21.952578977635241</v>
      </c>
      <c r="I127" s="204"/>
      <c r="J127" s="204">
        <v>15.854640372736561</v>
      </c>
      <c r="K127" s="204"/>
      <c r="L127" s="204">
        <v>37.807219350371795</v>
      </c>
      <c r="M127" s="209">
        <v>1.120128733557771E-4</v>
      </c>
      <c r="N127" s="144"/>
      <c r="O127" s="113"/>
    </row>
    <row r="128" spans="1:15" x14ac:dyDescent="0.25">
      <c r="A128" s="156" t="s">
        <v>65</v>
      </c>
      <c r="B128" s="157">
        <v>31</v>
      </c>
      <c r="C128" s="157">
        <v>24</v>
      </c>
      <c r="D128" s="157">
        <v>24</v>
      </c>
      <c r="E128" s="157"/>
      <c r="F128" s="157">
        <v>18</v>
      </c>
      <c r="G128" s="157">
        <v>1</v>
      </c>
      <c r="H128" s="202">
        <v>72.196967307205725</v>
      </c>
      <c r="I128" s="202"/>
      <c r="J128" s="202">
        <v>31.722909877408576</v>
      </c>
      <c r="K128" s="202">
        <v>2.2000000000000002</v>
      </c>
      <c r="L128" s="202">
        <v>106.11987718461424</v>
      </c>
      <c r="M128" s="208">
        <v>3.144053587610355E-4</v>
      </c>
      <c r="N128" s="144"/>
      <c r="O128" s="113"/>
    </row>
    <row r="129" spans="1:15" x14ac:dyDescent="0.25">
      <c r="A129" s="155" t="s">
        <v>299</v>
      </c>
      <c r="B129" s="158">
        <v>31</v>
      </c>
      <c r="C129" s="158">
        <v>24</v>
      </c>
      <c r="D129" s="158">
        <v>24</v>
      </c>
      <c r="E129" s="158"/>
      <c r="F129" s="158">
        <v>18</v>
      </c>
      <c r="G129" s="158">
        <v>1</v>
      </c>
      <c r="H129" s="204">
        <v>72.196967307205725</v>
      </c>
      <c r="I129" s="204"/>
      <c r="J129" s="204">
        <v>31.722909877408576</v>
      </c>
      <c r="K129" s="204">
        <v>2.2000000000000002</v>
      </c>
      <c r="L129" s="204">
        <v>106.11987718461424</v>
      </c>
      <c r="M129" s="209">
        <v>3.1440535876103566E-4</v>
      </c>
      <c r="N129" s="144"/>
      <c r="O129" s="113"/>
    </row>
    <row r="130" spans="1:15" x14ac:dyDescent="0.25">
      <c r="A130" s="156" t="s">
        <v>66</v>
      </c>
      <c r="B130" s="157">
        <v>20</v>
      </c>
      <c r="C130" s="157">
        <v>12</v>
      </c>
      <c r="D130" s="157">
        <v>13</v>
      </c>
      <c r="E130" s="157"/>
      <c r="F130" s="157">
        <v>9</v>
      </c>
      <c r="G130" s="157"/>
      <c r="H130" s="202">
        <v>43.696924487888751</v>
      </c>
      <c r="I130" s="202"/>
      <c r="J130" s="202">
        <v>13.109077346366625</v>
      </c>
      <c r="K130" s="202"/>
      <c r="L130" s="202">
        <v>56.806001834255376</v>
      </c>
      <c r="M130" s="208">
        <v>1.6830128210013182E-4</v>
      </c>
      <c r="N130" s="144"/>
      <c r="O130" s="113"/>
    </row>
    <row r="131" spans="1:15" x14ac:dyDescent="0.25">
      <c r="A131" s="155" t="s">
        <v>259</v>
      </c>
      <c r="B131" s="158">
        <v>20</v>
      </c>
      <c r="C131" s="158">
        <v>12</v>
      </c>
      <c r="D131" s="158">
        <v>13</v>
      </c>
      <c r="E131" s="158"/>
      <c r="F131" s="158">
        <v>9</v>
      </c>
      <c r="G131" s="158"/>
      <c r="H131" s="204">
        <v>43.696924487888751</v>
      </c>
      <c r="I131" s="204"/>
      <c r="J131" s="204">
        <v>13.109077346366625</v>
      </c>
      <c r="K131" s="204"/>
      <c r="L131" s="204">
        <v>56.806001834255376</v>
      </c>
      <c r="M131" s="209">
        <v>1.683012821001319E-4</v>
      </c>
      <c r="N131" s="144"/>
      <c r="O131" s="113"/>
    </row>
    <row r="132" spans="1:15" x14ac:dyDescent="0.25">
      <c r="A132" s="156" t="s">
        <v>67</v>
      </c>
      <c r="B132" s="157">
        <v>11</v>
      </c>
      <c r="C132" s="157">
        <v>39</v>
      </c>
      <c r="D132" s="157">
        <v>5</v>
      </c>
      <c r="E132" s="157">
        <v>4</v>
      </c>
      <c r="F132" s="157">
        <v>25</v>
      </c>
      <c r="G132" s="157">
        <v>7</v>
      </c>
      <c r="H132" s="202">
        <v>18.620849713717593</v>
      </c>
      <c r="I132" s="202">
        <v>15.909082</v>
      </c>
      <c r="J132" s="202">
        <v>39.569305641649891</v>
      </c>
      <c r="K132" s="202">
        <v>11.363630000000001</v>
      </c>
      <c r="L132" s="202">
        <v>85.46286735536745</v>
      </c>
      <c r="M132" s="208">
        <v>2.5320405737811038E-4</v>
      </c>
      <c r="N132" s="144"/>
      <c r="O132" s="113"/>
    </row>
    <row r="133" spans="1:15" x14ac:dyDescent="0.25">
      <c r="A133" s="155" t="s">
        <v>258</v>
      </c>
      <c r="B133" s="158">
        <v>11</v>
      </c>
      <c r="C133" s="158">
        <v>39</v>
      </c>
      <c r="D133" s="158">
        <v>5</v>
      </c>
      <c r="E133" s="158">
        <v>4</v>
      </c>
      <c r="F133" s="158">
        <v>25</v>
      </c>
      <c r="G133" s="158">
        <v>7</v>
      </c>
      <c r="H133" s="204">
        <v>18.620849713717593</v>
      </c>
      <c r="I133" s="204">
        <v>15.909082</v>
      </c>
      <c r="J133" s="204">
        <v>39.569305641649891</v>
      </c>
      <c r="K133" s="204">
        <v>11.363630000000001</v>
      </c>
      <c r="L133" s="204">
        <v>85.46286735536745</v>
      </c>
      <c r="M133" s="209">
        <v>2.5320405737811055E-4</v>
      </c>
      <c r="N133" s="144"/>
      <c r="O133" s="113"/>
    </row>
    <row r="134" spans="1:15" x14ac:dyDescent="0.25">
      <c r="A134" s="156" t="s">
        <v>468</v>
      </c>
      <c r="B134" s="157">
        <v>170</v>
      </c>
      <c r="C134" s="157">
        <v>459</v>
      </c>
      <c r="D134" s="157">
        <v>75</v>
      </c>
      <c r="E134" s="157">
        <v>1</v>
      </c>
      <c r="F134" s="157">
        <v>124</v>
      </c>
      <c r="G134" s="157">
        <v>4</v>
      </c>
      <c r="H134" s="202">
        <v>451.75565508793261</v>
      </c>
      <c r="I134" s="202">
        <v>6.3535320000000004</v>
      </c>
      <c r="J134" s="202">
        <v>368.03869802618351</v>
      </c>
      <c r="K134" s="202">
        <v>12.707064000000001</v>
      </c>
      <c r="L134" s="202">
        <v>838.85494911411695</v>
      </c>
      <c r="M134" s="208">
        <v>2.4853071660257487E-3</v>
      </c>
      <c r="N134" s="144"/>
      <c r="O134" s="113"/>
    </row>
    <row r="135" spans="1:15" x14ac:dyDescent="0.25">
      <c r="A135" s="155" t="s">
        <v>296</v>
      </c>
      <c r="B135" s="158">
        <v>170</v>
      </c>
      <c r="C135" s="158">
        <v>459</v>
      </c>
      <c r="D135" s="158">
        <v>75</v>
      </c>
      <c r="E135" s="158">
        <v>1</v>
      </c>
      <c r="F135" s="158">
        <v>124</v>
      </c>
      <c r="G135" s="158">
        <v>4</v>
      </c>
      <c r="H135" s="204">
        <v>451.75565508793261</v>
      </c>
      <c r="I135" s="204">
        <v>6.3535320000000004</v>
      </c>
      <c r="J135" s="204">
        <v>368.03869802618351</v>
      </c>
      <c r="K135" s="204">
        <v>12.707064000000001</v>
      </c>
      <c r="L135" s="204">
        <v>838.85494911411695</v>
      </c>
      <c r="M135" s="209">
        <v>2.48530716602575E-3</v>
      </c>
      <c r="N135" s="144"/>
      <c r="O135" s="113"/>
    </row>
    <row r="136" spans="1:15" x14ac:dyDescent="0.25">
      <c r="A136" s="156" t="s">
        <v>68</v>
      </c>
      <c r="B136" s="157">
        <v>433</v>
      </c>
      <c r="C136" s="157">
        <v>1005</v>
      </c>
      <c r="D136" s="157">
        <v>339</v>
      </c>
      <c r="E136" s="157">
        <v>13</v>
      </c>
      <c r="F136" s="157">
        <v>639</v>
      </c>
      <c r="G136" s="157">
        <v>14</v>
      </c>
      <c r="H136" s="202">
        <v>1198.8491380995722</v>
      </c>
      <c r="I136" s="202">
        <v>61.822849999999995</v>
      </c>
      <c r="J136" s="202">
        <v>1133.1920859115637</v>
      </c>
      <c r="K136" s="202">
        <v>30.911424999999994</v>
      </c>
      <c r="L136" s="202">
        <v>2424.7754990111321</v>
      </c>
      <c r="M136" s="208">
        <v>7.183973737128437E-3</v>
      </c>
    </row>
    <row r="137" spans="1:15" x14ac:dyDescent="0.25">
      <c r="A137" s="155" t="s">
        <v>257</v>
      </c>
      <c r="B137" s="158">
        <v>433</v>
      </c>
      <c r="C137" s="158">
        <v>1005</v>
      </c>
      <c r="D137" s="158">
        <v>339</v>
      </c>
      <c r="E137" s="158">
        <v>13</v>
      </c>
      <c r="F137" s="158">
        <v>639</v>
      </c>
      <c r="G137" s="158">
        <v>14</v>
      </c>
      <c r="H137" s="204">
        <v>1198.8491380995722</v>
      </c>
      <c r="I137" s="204">
        <v>61.822849999999995</v>
      </c>
      <c r="J137" s="204">
        <v>1133.1920859115637</v>
      </c>
      <c r="K137" s="204">
        <v>30.911424999999994</v>
      </c>
      <c r="L137" s="204">
        <v>2424.7754990111321</v>
      </c>
      <c r="M137" s="209">
        <v>7.1839737371284405E-3</v>
      </c>
    </row>
    <row r="138" spans="1:15" x14ac:dyDescent="0.25">
      <c r="A138" s="156" t="s">
        <v>69</v>
      </c>
      <c r="B138" s="157">
        <v>1008</v>
      </c>
      <c r="C138" s="157">
        <v>1036</v>
      </c>
      <c r="D138" s="157">
        <v>884</v>
      </c>
      <c r="E138" s="157">
        <v>12</v>
      </c>
      <c r="F138" s="157">
        <v>649</v>
      </c>
      <c r="G138" s="157">
        <v>10</v>
      </c>
      <c r="H138" s="202">
        <v>2706.5223104669581</v>
      </c>
      <c r="I138" s="202">
        <v>56.200822000000002</v>
      </c>
      <c r="J138" s="202">
        <v>1240.0880692975857</v>
      </c>
      <c r="K138" s="202">
        <v>24.435140000000001</v>
      </c>
      <c r="L138" s="202">
        <v>4027.2463417645231</v>
      </c>
      <c r="M138" s="208">
        <v>1.1931674484496299E-2</v>
      </c>
    </row>
    <row r="139" spans="1:15" x14ac:dyDescent="0.25">
      <c r="A139" s="155" t="s">
        <v>255</v>
      </c>
      <c r="B139" s="158">
        <v>1008</v>
      </c>
      <c r="C139" s="158">
        <v>1036</v>
      </c>
      <c r="D139" s="158">
        <v>884</v>
      </c>
      <c r="E139" s="158">
        <v>12</v>
      </c>
      <c r="F139" s="158">
        <v>649</v>
      </c>
      <c r="G139" s="158">
        <v>10</v>
      </c>
      <c r="H139" s="204">
        <v>2706.5223104669581</v>
      </c>
      <c r="I139" s="204">
        <v>56.200822000000002</v>
      </c>
      <c r="J139" s="204">
        <v>1240.0880692975857</v>
      </c>
      <c r="K139" s="204">
        <v>24.435140000000001</v>
      </c>
      <c r="L139" s="204">
        <v>4027.2463417645231</v>
      </c>
      <c r="M139" s="209">
        <v>1.1931674484496306E-2</v>
      </c>
    </row>
    <row r="140" spans="1:15" ht="24" x14ac:dyDescent="0.25">
      <c r="A140" s="156" t="s">
        <v>70</v>
      </c>
      <c r="B140" s="157">
        <v>1098</v>
      </c>
      <c r="C140" s="157">
        <v>1568</v>
      </c>
      <c r="D140" s="157">
        <v>837</v>
      </c>
      <c r="E140" s="157">
        <v>27</v>
      </c>
      <c r="F140" s="157">
        <v>850</v>
      </c>
      <c r="G140" s="157">
        <v>11</v>
      </c>
      <c r="H140" s="202">
        <v>3266.4678404316396</v>
      </c>
      <c r="I140" s="202">
        <v>130.11352199999996</v>
      </c>
      <c r="J140" s="202">
        <v>1844.4848719009676</v>
      </c>
      <c r="K140" s="202">
        <v>26.55378</v>
      </c>
      <c r="L140" s="202">
        <v>5267.6200143325495</v>
      </c>
      <c r="M140" s="208">
        <v>1.5606576301834953E-2</v>
      </c>
    </row>
    <row r="141" spans="1:15" x14ac:dyDescent="0.25">
      <c r="A141" s="155" t="s">
        <v>254</v>
      </c>
      <c r="B141" s="158">
        <v>1098</v>
      </c>
      <c r="C141" s="158">
        <v>1568</v>
      </c>
      <c r="D141" s="158">
        <v>837</v>
      </c>
      <c r="E141" s="158">
        <v>27</v>
      </c>
      <c r="F141" s="158">
        <v>850</v>
      </c>
      <c r="G141" s="158">
        <v>11</v>
      </c>
      <c r="H141" s="204">
        <v>3266.4678404316396</v>
      </c>
      <c r="I141" s="204">
        <v>130.11352199999996</v>
      </c>
      <c r="J141" s="204">
        <v>1844.4848719009676</v>
      </c>
      <c r="K141" s="204">
        <v>26.55378</v>
      </c>
      <c r="L141" s="204">
        <v>5267.6200143325495</v>
      </c>
      <c r="M141" s="209">
        <v>1.560657630183496E-2</v>
      </c>
    </row>
    <row r="142" spans="1:15" x14ac:dyDescent="0.25">
      <c r="A142" s="156" t="s">
        <v>71</v>
      </c>
      <c r="B142" s="157">
        <v>1783</v>
      </c>
      <c r="C142" s="157">
        <v>2630</v>
      </c>
      <c r="D142" s="157">
        <v>1360</v>
      </c>
      <c r="E142" s="157">
        <v>54</v>
      </c>
      <c r="F142" s="157">
        <v>1606</v>
      </c>
      <c r="G142" s="157">
        <v>29</v>
      </c>
      <c r="H142" s="202">
        <v>4982.7979988222141</v>
      </c>
      <c r="I142" s="202">
        <v>235.35993599999995</v>
      </c>
      <c r="J142" s="202">
        <v>3061.6307939717917</v>
      </c>
      <c r="K142" s="202">
        <v>64.969149000000016</v>
      </c>
      <c r="L142" s="202">
        <v>8344.757877794058</v>
      </c>
      <c r="M142" s="208">
        <v>2.4723328597313958E-2</v>
      </c>
    </row>
    <row r="143" spans="1:15" x14ac:dyDescent="0.25">
      <c r="A143" s="155" t="s">
        <v>253</v>
      </c>
      <c r="B143" s="158">
        <v>1783</v>
      </c>
      <c r="C143" s="158">
        <v>2630</v>
      </c>
      <c r="D143" s="158">
        <v>1360</v>
      </c>
      <c r="E143" s="158">
        <v>54</v>
      </c>
      <c r="F143" s="158">
        <v>1606</v>
      </c>
      <c r="G143" s="158">
        <v>29</v>
      </c>
      <c r="H143" s="204">
        <v>4982.7979988222141</v>
      </c>
      <c r="I143" s="204">
        <v>235.35993599999995</v>
      </c>
      <c r="J143" s="204">
        <v>3061.6307939717917</v>
      </c>
      <c r="K143" s="204">
        <v>64.969149000000016</v>
      </c>
      <c r="L143" s="204">
        <v>8344.757877794058</v>
      </c>
      <c r="M143" s="209">
        <v>2.4723328597313968E-2</v>
      </c>
    </row>
    <row r="144" spans="1:15" ht="24" x14ac:dyDescent="0.25">
      <c r="A144" s="156" t="s">
        <v>497</v>
      </c>
      <c r="B144" s="157">
        <v>114</v>
      </c>
      <c r="C144" s="157">
        <v>143</v>
      </c>
      <c r="D144" s="157">
        <v>65</v>
      </c>
      <c r="E144" s="157">
        <v>1</v>
      </c>
      <c r="F144" s="157">
        <v>64</v>
      </c>
      <c r="G144" s="157">
        <v>4</v>
      </c>
      <c r="H144" s="202">
        <v>270.60681125311629</v>
      </c>
      <c r="I144" s="202">
        <v>5.039212</v>
      </c>
      <c r="J144" s="202">
        <v>125.28093113570195</v>
      </c>
      <c r="K144" s="202">
        <v>8.8186210000000003</v>
      </c>
      <c r="L144" s="202">
        <v>409.74557538881868</v>
      </c>
      <c r="M144" s="208">
        <v>1.213968655530505E-3</v>
      </c>
    </row>
    <row r="145" spans="1:13" x14ac:dyDescent="0.25">
      <c r="A145" s="155" t="s">
        <v>251</v>
      </c>
      <c r="B145" s="158">
        <v>114</v>
      </c>
      <c r="C145" s="158">
        <v>143</v>
      </c>
      <c r="D145" s="158">
        <v>65</v>
      </c>
      <c r="E145" s="158">
        <v>1</v>
      </c>
      <c r="F145" s="158">
        <v>64</v>
      </c>
      <c r="G145" s="158">
        <v>4</v>
      </c>
      <c r="H145" s="204">
        <v>270.60681125311629</v>
      </c>
      <c r="I145" s="204">
        <v>5.039212</v>
      </c>
      <c r="J145" s="204">
        <v>125.28093113570195</v>
      </c>
      <c r="K145" s="204">
        <v>8.8186210000000003</v>
      </c>
      <c r="L145" s="204">
        <v>409.74557538881868</v>
      </c>
      <c r="M145" s="209">
        <v>1.2139686555305057E-3</v>
      </c>
    </row>
    <row r="146" spans="1:13" x14ac:dyDescent="0.25">
      <c r="A146" s="156" t="s">
        <v>73</v>
      </c>
      <c r="B146" s="157">
        <v>147</v>
      </c>
      <c r="C146" s="157">
        <v>1</v>
      </c>
      <c r="D146" s="157">
        <v>144</v>
      </c>
      <c r="E146" s="157"/>
      <c r="F146" s="157">
        <v>1</v>
      </c>
      <c r="G146" s="157"/>
      <c r="H146" s="202">
        <v>292.35414483496112</v>
      </c>
      <c r="I146" s="202"/>
      <c r="J146" s="202">
        <v>1.0012128247772634</v>
      </c>
      <c r="K146" s="202"/>
      <c r="L146" s="202">
        <v>293.35535765973839</v>
      </c>
      <c r="M146" s="208">
        <v>8.6913497184912161E-4</v>
      </c>
    </row>
    <row r="147" spans="1:13" x14ac:dyDescent="0.25">
      <c r="A147" s="155" t="s">
        <v>247</v>
      </c>
      <c r="B147" s="158">
        <v>147</v>
      </c>
      <c r="C147" s="158">
        <v>1</v>
      </c>
      <c r="D147" s="158">
        <v>144</v>
      </c>
      <c r="E147" s="158"/>
      <c r="F147" s="158">
        <v>1</v>
      </c>
      <c r="G147" s="158"/>
      <c r="H147" s="204">
        <v>292.35414483496112</v>
      </c>
      <c r="I147" s="204"/>
      <c r="J147" s="204">
        <v>1.0012128247772634</v>
      </c>
      <c r="K147" s="204"/>
      <c r="L147" s="204">
        <v>293.35535765973839</v>
      </c>
      <c r="M147" s="209">
        <v>8.6913497184912204E-4</v>
      </c>
    </row>
    <row r="148" spans="1:13" x14ac:dyDescent="0.25">
      <c r="A148" s="156" t="s">
        <v>74</v>
      </c>
      <c r="B148" s="157">
        <v>107</v>
      </c>
      <c r="C148" s="157">
        <v>90</v>
      </c>
      <c r="D148" s="157">
        <v>82</v>
      </c>
      <c r="E148" s="157"/>
      <c r="F148" s="157">
        <v>47</v>
      </c>
      <c r="G148" s="157"/>
      <c r="H148" s="202">
        <v>303.50424199130197</v>
      </c>
      <c r="I148" s="202"/>
      <c r="J148" s="202">
        <v>91.051272597390579</v>
      </c>
      <c r="K148" s="202"/>
      <c r="L148" s="202">
        <v>394.55551458869297</v>
      </c>
      <c r="M148" s="208">
        <v>1.168964490032301E-3</v>
      </c>
    </row>
    <row r="149" spans="1:13" x14ac:dyDescent="0.25">
      <c r="A149" s="155" t="s">
        <v>249</v>
      </c>
      <c r="B149" s="158">
        <v>107</v>
      </c>
      <c r="C149" s="158">
        <v>90</v>
      </c>
      <c r="D149" s="158">
        <v>82</v>
      </c>
      <c r="E149" s="158"/>
      <c r="F149" s="158">
        <v>47</v>
      </c>
      <c r="G149" s="158"/>
      <c r="H149" s="204">
        <v>303.50424199130197</v>
      </c>
      <c r="I149" s="204"/>
      <c r="J149" s="204">
        <v>91.051272597390579</v>
      </c>
      <c r="K149" s="204"/>
      <c r="L149" s="204">
        <v>394.55551458869297</v>
      </c>
      <c r="M149" s="209">
        <v>1.1689644900323016E-3</v>
      </c>
    </row>
    <row r="150" spans="1:13" x14ac:dyDescent="0.25">
      <c r="A150" s="156" t="s">
        <v>441</v>
      </c>
      <c r="B150" s="157">
        <v>342</v>
      </c>
      <c r="C150" s="157">
        <v>571</v>
      </c>
      <c r="D150" s="157">
        <v>277</v>
      </c>
      <c r="E150" s="157">
        <v>9</v>
      </c>
      <c r="F150" s="157">
        <v>379</v>
      </c>
      <c r="G150" s="157">
        <v>11</v>
      </c>
      <c r="H150" s="202">
        <v>1007.1169774076112</v>
      </c>
      <c r="I150" s="202">
        <v>35.803907999999993</v>
      </c>
      <c r="J150" s="202">
        <v>806.20222686417344</v>
      </c>
      <c r="K150" s="202">
        <v>24.295508999999996</v>
      </c>
      <c r="L150" s="202">
        <v>1873.4186212717841</v>
      </c>
      <c r="M150" s="208">
        <v>5.5504479401711718E-3</v>
      </c>
    </row>
    <row r="151" spans="1:13" x14ac:dyDescent="0.25">
      <c r="A151" s="155" t="s">
        <v>280</v>
      </c>
      <c r="B151" s="158">
        <v>342</v>
      </c>
      <c r="C151" s="158">
        <v>571</v>
      </c>
      <c r="D151" s="158">
        <v>277</v>
      </c>
      <c r="E151" s="158">
        <v>9</v>
      </c>
      <c r="F151" s="158">
        <v>379</v>
      </c>
      <c r="G151" s="158">
        <v>11</v>
      </c>
      <c r="H151" s="204">
        <v>1007.1169774076112</v>
      </c>
      <c r="I151" s="204">
        <v>35.803907999999993</v>
      </c>
      <c r="J151" s="204">
        <v>806.20222686417344</v>
      </c>
      <c r="K151" s="204">
        <v>24.295508999999996</v>
      </c>
      <c r="L151" s="204">
        <v>1873.4186212717841</v>
      </c>
      <c r="M151" s="209">
        <v>5.5504479401711744E-3</v>
      </c>
    </row>
    <row r="152" spans="1:13" x14ac:dyDescent="0.25">
      <c r="A152" s="156" t="s">
        <v>75</v>
      </c>
      <c r="B152" s="157">
        <v>447</v>
      </c>
      <c r="C152" s="157">
        <v>790</v>
      </c>
      <c r="D152" s="157">
        <v>363</v>
      </c>
      <c r="E152" s="157">
        <v>27</v>
      </c>
      <c r="F152" s="157">
        <v>491</v>
      </c>
      <c r="G152" s="157">
        <v>21</v>
      </c>
      <c r="H152" s="202">
        <v>1353.674863947864</v>
      </c>
      <c r="I152" s="202">
        <v>131.981166</v>
      </c>
      <c r="J152" s="202">
        <v>1056.7949073239206</v>
      </c>
      <c r="K152" s="202">
        <v>53.051252999999996</v>
      </c>
      <c r="L152" s="202">
        <v>2595.502190271779</v>
      </c>
      <c r="M152" s="208">
        <v>7.6897921383550696E-3</v>
      </c>
    </row>
    <row r="153" spans="1:13" x14ac:dyDescent="0.25">
      <c r="A153" s="155" t="s">
        <v>246</v>
      </c>
      <c r="B153" s="158">
        <v>447</v>
      </c>
      <c r="C153" s="158">
        <v>790</v>
      </c>
      <c r="D153" s="158">
        <v>363</v>
      </c>
      <c r="E153" s="158">
        <v>27</v>
      </c>
      <c r="F153" s="158">
        <v>491</v>
      </c>
      <c r="G153" s="158">
        <v>21</v>
      </c>
      <c r="H153" s="204">
        <v>1353.674863947864</v>
      </c>
      <c r="I153" s="204">
        <v>131.981166</v>
      </c>
      <c r="J153" s="204">
        <v>1056.7949073239206</v>
      </c>
      <c r="K153" s="204">
        <v>53.051252999999996</v>
      </c>
      <c r="L153" s="204">
        <v>2595.502190271779</v>
      </c>
      <c r="M153" s="209">
        <v>7.6897921383550739E-3</v>
      </c>
    </row>
    <row r="154" spans="1:13" x14ac:dyDescent="0.25">
      <c r="A154" s="156" t="s">
        <v>76</v>
      </c>
      <c r="B154" s="157">
        <v>25</v>
      </c>
      <c r="C154" s="157">
        <v>24</v>
      </c>
      <c r="D154" s="157">
        <v>12</v>
      </c>
      <c r="E154" s="157">
        <v>10</v>
      </c>
      <c r="F154" s="157">
        <v>13</v>
      </c>
      <c r="G154" s="157">
        <v>4</v>
      </c>
      <c r="H154" s="202">
        <v>47.847530984515572</v>
      </c>
      <c r="I154" s="202">
        <v>37.863623999999994</v>
      </c>
      <c r="J154" s="202">
        <v>23.923765492257782</v>
      </c>
      <c r="K154" s="202">
        <v>6.6818160000000004</v>
      </c>
      <c r="L154" s="202">
        <v>116.31673647677334</v>
      </c>
      <c r="M154" s="208">
        <v>3.4461597800637981E-4</v>
      </c>
    </row>
    <row r="155" spans="1:13" x14ac:dyDescent="0.25">
      <c r="A155" s="155" t="s">
        <v>245</v>
      </c>
      <c r="B155" s="158">
        <v>25</v>
      </c>
      <c r="C155" s="158">
        <v>24</v>
      </c>
      <c r="D155" s="158">
        <v>12</v>
      </c>
      <c r="E155" s="158">
        <v>10</v>
      </c>
      <c r="F155" s="158">
        <v>13</v>
      </c>
      <c r="G155" s="158">
        <v>4</v>
      </c>
      <c r="H155" s="204">
        <v>47.847530984515572</v>
      </c>
      <c r="I155" s="204">
        <v>37.863623999999994</v>
      </c>
      <c r="J155" s="204">
        <v>23.923765492257782</v>
      </c>
      <c r="K155" s="204">
        <v>6.6818160000000004</v>
      </c>
      <c r="L155" s="204">
        <v>116.31673647677334</v>
      </c>
      <c r="M155" s="209">
        <v>3.4461597800638003E-4</v>
      </c>
    </row>
    <row r="156" spans="1:13" x14ac:dyDescent="0.25">
      <c r="A156" s="156" t="s">
        <v>77</v>
      </c>
      <c r="B156" s="157">
        <v>8</v>
      </c>
      <c r="C156" s="157">
        <v>38</v>
      </c>
      <c r="D156" s="157">
        <v>5</v>
      </c>
      <c r="E156" s="157">
        <v>1</v>
      </c>
      <c r="F156" s="157">
        <v>9</v>
      </c>
      <c r="G156" s="157">
        <v>1</v>
      </c>
      <c r="H156" s="202">
        <v>43.566315195377058</v>
      </c>
      <c r="I156" s="202">
        <v>8.7619039999999995</v>
      </c>
      <c r="J156" s="202">
        <v>37.031367916070494</v>
      </c>
      <c r="K156" s="202">
        <v>4.3809519999999997</v>
      </c>
      <c r="L156" s="202">
        <v>93.740539111447561</v>
      </c>
      <c r="M156" s="208">
        <v>2.7772862739479891E-4</v>
      </c>
    </row>
    <row r="157" spans="1:13" x14ac:dyDescent="0.25">
      <c r="A157" s="155" t="s">
        <v>241</v>
      </c>
      <c r="B157" s="158">
        <v>8</v>
      </c>
      <c r="C157" s="158">
        <v>38</v>
      </c>
      <c r="D157" s="158">
        <v>5</v>
      </c>
      <c r="E157" s="158">
        <v>1</v>
      </c>
      <c r="F157" s="158">
        <v>9</v>
      </c>
      <c r="G157" s="158">
        <v>1</v>
      </c>
      <c r="H157" s="204">
        <v>43.566315195377058</v>
      </c>
      <c r="I157" s="204">
        <v>8.7619039999999995</v>
      </c>
      <c r="J157" s="204">
        <v>37.031367916070494</v>
      </c>
      <c r="K157" s="204">
        <v>4.3809519999999997</v>
      </c>
      <c r="L157" s="204">
        <v>93.740539111447561</v>
      </c>
      <c r="M157" s="209">
        <v>2.7772862739479907E-4</v>
      </c>
    </row>
    <row r="158" spans="1:13" x14ac:dyDescent="0.25">
      <c r="A158" s="156" t="s">
        <v>79</v>
      </c>
      <c r="B158" s="157">
        <v>34</v>
      </c>
      <c r="C158" s="157">
        <v>32</v>
      </c>
      <c r="D158" s="157">
        <v>28</v>
      </c>
      <c r="E158" s="157">
        <v>2</v>
      </c>
      <c r="F158" s="157">
        <v>28</v>
      </c>
      <c r="G158" s="157"/>
      <c r="H158" s="202">
        <v>68.861475373201515</v>
      </c>
      <c r="I158" s="202">
        <v>4.3278679999999996</v>
      </c>
      <c r="J158" s="202">
        <v>31.202856028481932</v>
      </c>
      <c r="K158" s="202"/>
      <c r="L158" s="202">
        <v>104.39219940168336</v>
      </c>
      <c r="M158" s="208">
        <v>3.0928670269417182E-4</v>
      </c>
    </row>
    <row r="159" spans="1:13" x14ac:dyDescent="0.25">
      <c r="A159" s="155" t="s">
        <v>239</v>
      </c>
      <c r="B159" s="158">
        <v>34</v>
      </c>
      <c r="C159" s="158">
        <v>32</v>
      </c>
      <c r="D159" s="158">
        <v>28</v>
      </c>
      <c r="E159" s="158">
        <v>2</v>
      </c>
      <c r="F159" s="158">
        <v>28</v>
      </c>
      <c r="G159" s="158"/>
      <c r="H159" s="204">
        <v>68.861475373201515</v>
      </c>
      <c r="I159" s="204">
        <v>4.3278679999999996</v>
      </c>
      <c r="J159" s="204">
        <v>31.202856028481932</v>
      </c>
      <c r="K159" s="204"/>
      <c r="L159" s="204">
        <v>104.39219940168336</v>
      </c>
      <c r="M159" s="209">
        <v>3.0928670269417198E-4</v>
      </c>
    </row>
    <row r="160" spans="1:13" x14ac:dyDescent="0.25">
      <c r="A160" s="156" t="s">
        <v>80</v>
      </c>
      <c r="B160" s="157">
        <v>370</v>
      </c>
      <c r="C160" s="157">
        <v>612</v>
      </c>
      <c r="D160" s="157">
        <v>279</v>
      </c>
      <c r="E160" s="157">
        <v>7</v>
      </c>
      <c r="F160" s="157">
        <v>414</v>
      </c>
      <c r="G160" s="157">
        <v>10</v>
      </c>
      <c r="H160" s="202">
        <v>911.89580124941745</v>
      </c>
      <c r="I160" s="202">
        <v>28.917768000000002</v>
      </c>
      <c r="J160" s="202">
        <v>638.80200660441312</v>
      </c>
      <c r="K160" s="202">
        <v>19.278512000000003</v>
      </c>
      <c r="L160" s="202">
        <v>1598.8940878538367</v>
      </c>
      <c r="M160" s="208">
        <v>4.7371037608538438E-3</v>
      </c>
    </row>
    <row r="161" spans="1:13" x14ac:dyDescent="0.25">
      <c r="A161" s="155" t="s">
        <v>238</v>
      </c>
      <c r="B161" s="158">
        <v>370</v>
      </c>
      <c r="C161" s="158">
        <v>612</v>
      </c>
      <c r="D161" s="158">
        <v>279</v>
      </c>
      <c r="E161" s="158">
        <v>7</v>
      </c>
      <c r="F161" s="158">
        <v>414</v>
      </c>
      <c r="G161" s="158">
        <v>10</v>
      </c>
      <c r="H161" s="204">
        <v>911.89580124941745</v>
      </c>
      <c r="I161" s="204">
        <v>28.917768000000002</v>
      </c>
      <c r="J161" s="204">
        <v>638.80200660441312</v>
      </c>
      <c r="K161" s="204">
        <v>19.278512000000003</v>
      </c>
      <c r="L161" s="204">
        <v>1598.8940878538367</v>
      </c>
      <c r="M161" s="209">
        <v>4.7371037608538464E-3</v>
      </c>
    </row>
    <row r="162" spans="1:13" x14ac:dyDescent="0.25">
      <c r="A162" s="156" t="s">
        <v>81</v>
      </c>
      <c r="B162" s="157">
        <v>496</v>
      </c>
      <c r="C162" s="157">
        <v>899</v>
      </c>
      <c r="D162" s="157">
        <v>383</v>
      </c>
      <c r="E162" s="157">
        <v>21</v>
      </c>
      <c r="F162" s="157">
        <v>559</v>
      </c>
      <c r="G162" s="157">
        <v>8</v>
      </c>
      <c r="H162" s="202">
        <v>1512.6645044941138</v>
      </c>
      <c r="I162" s="202">
        <v>88.406324000000012</v>
      </c>
      <c r="J162" s="202">
        <v>1248.9178729412918</v>
      </c>
      <c r="K162" s="202">
        <v>16.901209000000001</v>
      </c>
      <c r="L162" s="202">
        <v>2866.8899104353982</v>
      </c>
      <c r="M162" s="208">
        <v>8.4938427628478124E-3</v>
      </c>
    </row>
    <row r="163" spans="1:13" x14ac:dyDescent="0.25">
      <c r="A163" s="155" t="s">
        <v>237</v>
      </c>
      <c r="B163" s="158">
        <v>496</v>
      </c>
      <c r="C163" s="158">
        <v>899</v>
      </c>
      <c r="D163" s="158">
        <v>383</v>
      </c>
      <c r="E163" s="158">
        <v>21</v>
      </c>
      <c r="F163" s="158">
        <v>559</v>
      </c>
      <c r="G163" s="158">
        <v>8</v>
      </c>
      <c r="H163" s="204">
        <v>1512.6645044941138</v>
      </c>
      <c r="I163" s="204">
        <v>88.406324000000012</v>
      </c>
      <c r="J163" s="204">
        <v>1248.9178729412918</v>
      </c>
      <c r="K163" s="204">
        <v>16.901209000000001</v>
      </c>
      <c r="L163" s="204">
        <v>2866.8899104353982</v>
      </c>
      <c r="M163" s="209">
        <v>8.4938427628478159E-3</v>
      </c>
    </row>
    <row r="164" spans="1:13" ht="24" x14ac:dyDescent="0.25">
      <c r="A164" s="156" t="s">
        <v>498</v>
      </c>
      <c r="B164" s="157">
        <v>26</v>
      </c>
      <c r="C164" s="157">
        <v>79</v>
      </c>
      <c r="D164" s="157">
        <v>22</v>
      </c>
      <c r="E164" s="157">
        <v>1</v>
      </c>
      <c r="F164" s="157">
        <v>34</v>
      </c>
      <c r="G164" s="157">
        <v>1</v>
      </c>
      <c r="H164" s="202">
        <v>104.74361258664437</v>
      </c>
      <c r="I164" s="202">
        <v>5.7534239999999999</v>
      </c>
      <c r="J164" s="202">
        <v>90.195888616277102</v>
      </c>
      <c r="K164" s="202">
        <v>1.438356</v>
      </c>
      <c r="L164" s="202">
        <v>202.1312812029216</v>
      </c>
      <c r="M164" s="208">
        <v>5.9886196318220263E-4</v>
      </c>
    </row>
    <row r="165" spans="1:13" x14ac:dyDescent="0.25">
      <c r="A165" s="155" t="s">
        <v>236</v>
      </c>
      <c r="B165" s="158">
        <v>26</v>
      </c>
      <c r="C165" s="158">
        <v>79</v>
      </c>
      <c r="D165" s="158">
        <v>22</v>
      </c>
      <c r="E165" s="158">
        <v>1</v>
      </c>
      <c r="F165" s="158">
        <v>34</v>
      </c>
      <c r="G165" s="158">
        <v>1</v>
      </c>
      <c r="H165" s="204">
        <v>104.74361258664437</v>
      </c>
      <c r="I165" s="204">
        <v>5.7534239999999999</v>
      </c>
      <c r="J165" s="204">
        <v>90.195888616277102</v>
      </c>
      <c r="K165" s="204">
        <v>1.438356</v>
      </c>
      <c r="L165" s="204">
        <v>202.1312812029216</v>
      </c>
      <c r="M165" s="209">
        <v>5.9886196318220295E-4</v>
      </c>
    </row>
    <row r="166" spans="1:13" x14ac:dyDescent="0.25">
      <c r="A166" s="156" t="s">
        <v>83</v>
      </c>
      <c r="B166" s="157">
        <v>1732</v>
      </c>
      <c r="C166" s="157">
        <v>3892</v>
      </c>
      <c r="D166" s="157">
        <v>1239</v>
      </c>
      <c r="E166" s="157">
        <v>59</v>
      </c>
      <c r="F166" s="157">
        <v>2138</v>
      </c>
      <c r="G166" s="157">
        <v>61</v>
      </c>
      <c r="H166" s="202">
        <v>5361.7996451555246</v>
      </c>
      <c r="I166" s="202">
        <v>281.46285799999993</v>
      </c>
      <c r="J166" s="202">
        <v>4682.2516221218948</v>
      </c>
      <c r="K166" s="202">
        <v>131.52469999999997</v>
      </c>
      <c r="L166" s="202">
        <v>10457.038825277599</v>
      </c>
      <c r="M166" s="208">
        <v>3.0981462951750895E-2</v>
      </c>
    </row>
    <row r="167" spans="1:13" x14ac:dyDescent="0.25">
      <c r="A167" s="155" t="s">
        <v>243</v>
      </c>
      <c r="B167" s="158">
        <v>1732</v>
      </c>
      <c r="C167" s="158">
        <v>3892</v>
      </c>
      <c r="D167" s="158">
        <v>1239</v>
      </c>
      <c r="E167" s="158">
        <v>59</v>
      </c>
      <c r="F167" s="158">
        <v>2138</v>
      </c>
      <c r="G167" s="158">
        <v>61</v>
      </c>
      <c r="H167" s="204">
        <v>5361.7996451555246</v>
      </c>
      <c r="I167" s="204">
        <v>281.46285799999993</v>
      </c>
      <c r="J167" s="204">
        <v>4682.2516221218948</v>
      </c>
      <c r="K167" s="204">
        <v>131.52469999999997</v>
      </c>
      <c r="L167" s="204">
        <v>10457.038825277599</v>
      </c>
      <c r="M167" s="209">
        <v>3.0981462951750909E-2</v>
      </c>
    </row>
    <row r="168" spans="1:13" ht="24" x14ac:dyDescent="0.25">
      <c r="A168" s="156" t="s">
        <v>492</v>
      </c>
      <c r="B168" s="157">
        <v>89</v>
      </c>
      <c r="C168" s="157">
        <v>106</v>
      </c>
      <c r="D168" s="157">
        <v>70</v>
      </c>
      <c r="E168" s="157">
        <v>1</v>
      </c>
      <c r="F168" s="157">
        <v>82</v>
      </c>
      <c r="G168" s="157"/>
      <c r="H168" s="202">
        <v>203.40494726289072</v>
      </c>
      <c r="I168" s="202">
        <v>2.1910099999999999</v>
      </c>
      <c r="J168" s="202">
        <v>115.91894844014195</v>
      </c>
      <c r="K168" s="202"/>
      <c r="L168" s="202">
        <v>321.51490570303292</v>
      </c>
      <c r="M168" s="208">
        <v>9.5256432589651066E-4</v>
      </c>
    </row>
    <row r="169" spans="1:13" x14ac:dyDescent="0.25">
      <c r="A169" s="155" t="s">
        <v>233</v>
      </c>
      <c r="B169" s="158">
        <v>89</v>
      </c>
      <c r="C169" s="158">
        <v>106</v>
      </c>
      <c r="D169" s="158">
        <v>70</v>
      </c>
      <c r="E169" s="158">
        <v>1</v>
      </c>
      <c r="F169" s="158">
        <v>82</v>
      </c>
      <c r="G169" s="158"/>
      <c r="H169" s="204">
        <v>203.40494726289072</v>
      </c>
      <c r="I169" s="204">
        <v>2.1910099999999999</v>
      </c>
      <c r="J169" s="204">
        <v>115.91894844014195</v>
      </c>
      <c r="K169" s="204"/>
      <c r="L169" s="204">
        <v>321.51490570303292</v>
      </c>
      <c r="M169" s="209">
        <v>9.525643258965112E-4</v>
      </c>
    </row>
    <row r="170" spans="1:13" x14ac:dyDescent="0.25">
      <c r="A170" s="156" t="s">
        <v>85</v>
      </c>
      <c r="B170" s="157">
        <v>16</v>
      </c>
      <c r="C170" s="157">
        <v>50</v>
      </c>
      <c r="D170" s="157">
        <v>13</v>
      </c>
      <c r="E170" s="157"/>
      <c r="F170" s="157">
        <v>38</v>
      </c>
      <c r="G170" s="157"/>
      <c r="H170" s="202">
        <v>46.013094826604217</v>
      </c>
      <c r="I170" s="202"/>
      <c r="J170" s="202">
        <v>53.278320325541735</v>
      </c>
      <c r="K170" s="202"/>
      <c r="L170" s="202">
        <v>99.291415152145973</v>
      </c>
      <c r="M170" s="208">
        <v>2.9417441699911305E-4</v>
      </c>
    </row>
    <row r="171" spans="1:13" x14ac:dyDescent="0.25">
      <c r="A171" s="155" t="s">
        <v>232</v>
      </c>
      <c r="B171" s="158">
        <v>16</v>
      </c>
      <c r="C171" s="158">
        <v>50</v>
      </c>
      <c r="D171" s="158">
        <v>13</v>
      </c>
      <c r="E171" s="158"/>
      <c r="F171" s="158">
        <v>38</v>
      </c>
      <c r="G171" s="158"/>
      <c r="H171" s="204">
        <v>46.013094826604217</v>
      </c>
      <c r="I171" s="204"/>
      <c r="J171" s="204">
        <v>53.278320325541735</v>
      </c>
      <c r="K171" s="204"/>
      <c r="L171" s="204">
        <v>99.291415152145973</v>
      </c>
      <c r="M171" s="209">
        <v>2.9417441699911321E-4</v>
      </c>
    </row>
    <row r="172" spans="1:13" ht="24" x14ac:dyDescent="0.25">
      <c r="A172" s="156" t="s">
        <v>86</v>
      </c>
      <c r="B172" s="157">
        <v>118</v>
      </c>
      <c r="C172" s="157">
        <v>186</v>
      </c>
      <c r="D172" s="157">
        <v>92</v>
      </c>
      <c r="E172" s="157">
        <v>2</v>
      </c>
      <c r="F172" s="157">
        <v>112</v>
      </c>
      <c r="G172" s="157">
        <v>1</v>
      </c>
      <c r="H172" s="202">
        <v>341.47436055333554</v>
      </c>
      <c r="I172" s="202">
        <v>9.5372479999999999</v>
      </c>
      <c r="J172" s="202">
        <v>223.17788564735849</v>
      </c>
      <c r="K172" s="202">
        <v>2.384312</v>
      </c>
      <c r="L172" s="202">
        <v>576.57380620069341</v>
      </c>
      <c r="M172" s="208">
        <v>1.7082369410904982E-3</v>
      </c>
    </row>
    <row r="173" spans="1:13" x14ac:dyDescent="0.25">
      <c r="A173" s="155" t="s">
        <v>231</v>
      </c>
      <c r="B173" s="158">
        <v>118</v>
      </c>
      <c r="C173" s="158">
        <v>186</v>
      </c>
      <c r="D173" s="158">
        <v>92</v>
      </c>
      <c r="E173" s="158">
        <v>2</v>
      </c>
      <c r="F173" s="158">
        <v>112</v>
      </c>
      <c r="G173" s="158">
        <v>1</v>
      </c>
      <c r="H173" s="204">
        <v>341.47436055333554</v>
      </c>
      <c r="I173" s="204">
        <v>9.5372479999999999</v>
      </c>
      <c r="J173" s="204">
        <v>223.17788564735849</v>
      </c>
      <c r="K173" s="204">
        <v>2.384312</v>
      </c>
      <c r="L173" s="204">
        <v>576.57380620069341</v>
      </c>
      <c r="M173" s="209">
        <v>1.7082369410904991E-3</v>
      </c>
    </row>
    <row r="174" spans="1:13" x14ac:dyDescent="0.25">
      <c r="A174" s="156" t="s">
        <v>87</v>
      </c>
      <c r="B174" s="157">
        <v>58</v>
      </c>
      <c r="C174" s="157">
        <v>117</v>
      </c>
      <c r="D174" s="157">
        <v>36</v>
      </c>
      <c r="E174" s="157">
        <v>15</v>
      </c>
      <c r="F174" s="157">
        <v>73</v>
      </c>
      <c r="G174" s="157">
        <v>15</v>
      </c>
      <c r="H174" s="202">
        <v>112.94561188043077</v>
      </c>
      <c r="I174" s="202">
        <v>57.947000000000017</v>
      </c>
      <c r="J174" s="202">
        <v>121.01315558617578</v>
      </c>
      <c r="K174" s="202">
        <v>27.81456</v>
      </c>
      <c r="L174" s="202">
        <v>319.72032746660636</v>
      </c>
      <c r="M174" s="208">
        <v>9.4724746133524791E-4</v>
      </c>
    </row>
    <row r="175" spans="1:13" x14ac:dyDescent="0.25">
      <c r="A175" s="155" t="s">
        <v>235</v>
      </c>
      <c r="B175" s="158">
        <v>58</v>
      </c>
      <c r="C175" s="158">
        <v>117</v>
      </c>
      <c r="D175" s="158">
        <v>36</v>
      </c>
      <c r="E175" s="158">
        <v>15</v>
      </c>
      <c r="F175" s="158">
        <v>73</v>
      </c>
      <c r="G175" s="158">
        <v>15</v>
      </c>
      <c r="H175" s="204">
        <v>112.94561188043077</v>
      </c>
      <c r="I175" s="204">
        <v>57.947000000000017</v>
      </c>
      <c r="J175" s="204">
        <v>121.01315558617578</v>
      </c>
      <c r="K175" s="204">
        <v>27.81456</v>
      </c>
      <c r="L175" s="204">
        <v>319.72032746660636</v>
      </c>
      <c r="M175" s="209">
        <v>9.4724746133524834E-4</v>
      </c>
    </row>
    <row r="176" spans="1:13" x14ac:dyDescent="0.25">
      <c r="A176" s="156" t="s">
        <v>88</v>
      </c>
      <c r="B176" s="157">
        <v>28</v>
      </c>
      <c r="C176" s="157">
        <v>59</v>
      </c>
      <c r="D176" s="157">
        <v>24</v>
      </c>
      <c r="E176" s="157"/>
      <c r="F176" s="157">
        <v>39</v>
      </c>
      <c r="G176" s="157">
        <v>1</v>
      </c>
      <c r="H176" s="202">
        <v>96.443301452052481</v>
      </c>
      <c r="I176" s="202"/>
      <c r="J176" s="202">
        <v>77.896512711273118</v>
      </c>
      <c r="K176" s="202">
        <v>2.450704</v>
      </c>
      <c r="L176" s="202">
        <v>176.79051816332554</v>
      </c>
      <c r="M176" s="208">
        <v>5.2378392967786572E-4</v>
      </c>
    </row>
    <row r="177" spans="1:13" x14ac:dyDescent="0.25">
      <c r="A177" s="155" t="s">
        <v>234</v>
      </c>
      <c r="B177" s="158">
        <v>28</v>
      </c>
      <c r="C177" s="158">
        <v>59</v>
      </c>
      <c r="D177" s="158">
        <v>24</v>
      </c>
      <c r="E177" s="158"/>
      <c r="F177" s="158">
        <v>39</v>
      </c>
      <c r="G177" s="158">
        <v>1</v>
      </c>
      <c r="H177" s="204">
        <v>96.443301452052481</v>
      </c>
      <c r="I177" s="204"/>
      <c r="J177" s="204">
        <v>77.896512711273118</v>
      </c>
      <c r="K177" s="204">
        <v>2.450704</v>
      </c>
      <c r="L177" s="204">
        <v>176.79051816332554</v>
      </c>
      <c r="M177" s="209">
        <v>5.2378392967786605E-4</v>
      </c>
    </row>
    <row r="178" spans="1:13" ht="24" x14ac:dyDescent="0.25">
      <c r="A178" s="156" t="s">
        <v>89</v>
      </c>
      <c r="B178" s="157">
        <v>102</v>
      </c>
      <c r="C178" s="157">
        <v>71</v>
      </c>
      <c r="D178" s="157">
        <v>67</v>
      </c>
      <c r="E178" s="157">
        <v>4</v>
      </c>
      <c r="F178" s="157">
        <v>35</v>
      </c>
      <c r="G178" s="157">
        <v>2</v>
      </c>
      <c r="H178" s="202">
        <v>243.34118625319184</v>
      </c>
      <c r="I178" s="202">
        <v>21.624991999999999</v>
      </c>
      <c r="J178" s="202">
        <v>84.339842962754062</v>
      </c>
      <c r="K178" s="202">
        <v>5.4062479999999997</v>
      </c>
      <c r="L178" s="202">
        <v>354.71226921594609</v>
      </c>
      <c r="M178" s="208">
        <v>1.0509194056620124E-3</v>
      </c>
    </row>
    <row r="179" spans="1:13" x14ac:dyDescent="0.25">
      <c r="A179" s="155" t="s">
        <v>229</v>
      </c>
      <c r="B179" s="158">
        <v>102</v>
      </c>
      <c r="C179" s="158">
        <v>71</v>
      </c>
      <c r="D179" s="158">
        <v>67</v>
      </c>
      <c r="E179" s="158">
        <v>4</v>
      </c>
      <c r="F179" s="158">
        <v>35</v>
      </c>
      <c r="G179" s="158">
        <v>2</v>
      </c>
      <c r="H179" s="204">
        <v>243.34118625319184</v>
      </c>
      <c r="I179" s="204">
        <v>21.624991999999999</v>
      </c>
      <c r="J179" s="204">
        <v>84.339842962754062</v>
      </c>
      <c r="K179" s="204">
        <v>5.4062479999999997</v>
      </c>
      <c r="L179" s="204">
        <v>354.71226921594609</v>
      </c>
      <c r="M179" s="209">
        <v>1.0509194056620129E-3</v>
      </c>
    </row>
    <row r="180" spans="1:13" x14ac:dyDescent="0.25">
      <c r="A180" s="156" t="s">
        <v>90</v>
      </c>
      <c r="B180" s="157">
        <v>836</v>
      </c>
      <c r="C180" s="157">
        <v>1238</v>
      </c>
      <c r="D180" s="157">
        <v>644</v>
      </c>
      <c r="E180" s="157">
        <v>19</v>
      </c>
      <c r="F180" s="157">
        <v>685</v>
      </c>
      <c r="G180" s="157">
        <v>17</v>
      </c>
      <c r="H180" s="202">
        <v>2419.1961731048814</v>
      </c>
      <c r="I180" s="202">
        <v>87.218296000000024</v>
      </c>
      <c r="J180" s="202">
        <v>1390.3426282211972</v>
      </c>
      <c r="K180" s="202">
        <v>35.913415999999998</v>
      </c>
      <c r="L180" s="202">
        <v>3932.6705133260457</v>
      </c>
      <c r="M180" s="208">
        <v>1.1651471113938378E-2</v>
      </c>
    </row>
    <row r="181" spans="1:13" x14ac:dyDescent="0.25">
      <c r="A181" s="155" t="s">
        <v>228</v>
      </c>
      <c r="B181" s="158">
        <v>836</v>
      </c>
      <c r="C181" s="158">
        <v>1238</v>
      </c>
      <c r="D181" s="158">
        <v>644</v>
      </c>
      <c r="E181" s="158">
        <v>19</v>
      </c>
      <c r="F181" s="158">
        <v>685</v>
      </c>
      <c r="G181" s="158">
        <v>17</v>
      </c>
      <c r="H181" s="204">
        <v>2419.1961731048814</v>
      </c>
      <c r="I181" s="204">
        <v>87.218296000000024</v>
      </c>
      <c r="J181" s="204">
        <v>1390.3426282211972</v>
      </c>
      <c r="K181" s="204">
        <v>35.913415999999998</v>
      </c>
      <c r="L181" s="204">
        <v>3932.6705133260457</v>
      </c>
      <c r="M181" s="209">
        <v>1.1651471113938383E-2</v>
      </c>
    </row>
    <row r="182" spans="1:13" x14ac:dyDescent="0.25">
      <c r="A182" s="156" t="s">
        <v>91</v>
      </c>
      <c r="B182" s="157">
        <v>71</v>
      </c>
      <c r="C182" s="157">
        <v>3</v>
      </c>
      <c r="D182" s="157">
        <v>66</v>
      </c>
      <c r="E182" s="157"/>
      <c r="F182" s="157">
        <v>3</v>
      </c>
      <c r="G182" s="157"/>
      <c r="H182" s="202">
        <v>133.25611045682598</v>
      </c>
      <c r="I182" s="202"/>
      <c r="J182" s="202">
        <v>2.9833457564961035</v>
      </c>
      <c r="K182" s="202"/>
      <c r="L182" s="202">
        <v>136.23945621332209</v>
      </c>
      <c r="M182" s="208">
        <v>4.0364177046341566E-4</v>
      </c>
    </row>
    <row r="183" spans="1:13" x14ac:dyDescent="0.25">
      <c r="A183" s="155" t="s">
        <v>227</v>
      </c>
      <c r="B183" s="158">
        <v>71</v>
      </c>
      <c r="C183" s="158">
        <v>3</v>
      </c>
      <c r="D183" s="158">
        <v>66</v>
      </c>
      <c r="E183" s="158"/>
      <c r="F183" s="158">
        <v>3</v>
      </c>
      <c r="G183" s="158"/>
      <c r="H183" s="204">
        <v>133.25611045682598</v>
      </c>
      <c r="I183" s="204"/>
      <c r="J183" s="204">
        <v>2.9833457564961035</v>
      </c>
      <c r="K183" s="204"/>
      <c r="L183" s="204">
        <v>136.23945621332209</v>
      </c>
      <c r="M183" s="209">
        <v>4.0364177046341582E-4</v>
      </c>
    </row>
    <row r="184" spans="1:13" x14ac:dyDescent="0.25">
      <c r="A184" s="156" t="s">
        <v>436</v>
      </c>
      <c r="B184" s="157">
        <v>1344</v>
      </c>
      <c r="C184" s="157">
        <v>475</v>
      </c>
      <c r="D184" s="157">
        <v>1264</v>
      </c>
      <c r="E184" s="157">
        <v>11</v>
      </c>
      <c r="F184" s="157">
        <v>433</v>
      </c>
      <c r="G184" s="157">
        <v>8</v>
      </c>
      <c r="H184" s="202">
        <v>2689.7933707270086</v>
      </c>
      <c r="I184" s="202">
        <v>24.720264</v>
      </c>
      <c r="J184" s="202">
        <v>482.44199452110712</v>
      </c>
      <c r="K184" s="202">
        <v>9.2700990000000001</v>
      </c>
      <c r="L184" s="202">
        <v>3206.225728248106</v>
      </c>
      <c r="M184" s="208">
        <v>9.4992057765485305E-3</v>
      </c>
    </row>
    <row r="185" spans="1:13" x14ac:dyDescent="0.25">
      <c r="A185" s="155" t="s">
        <v>250</v>
      </c>
      <c r="B185" s="158">
        <v>1344</v>
      </c>
      <c r="C185" s="158">
        <v>475</v>
      </c>
      <c r="D185" s="158">
        <v>1264</v>
      </c>
      <c r="E185" s="158">
        <v>11</v>
      </c>
      <c r="F185" s="158">
        <v>433</v>
      </c>
      <c r="G185" s="158">
        <v>8</v>
      </c>
      <c r="H185" s="204">
        <v>2689.7933707270086</v>
      </c>
      <c r="I185" s="204">
        <v>24.720264</v>
      </c>
      <c r="J185" s="204">
        <v>482.44199452110712</v>
      </c>
      <c r="K185" s="204">
        <v>9.2700990000000001</v>
      </c>
      <c r="L185" s="204">
        <v>3206.225728248106</v>
      </c>
      <c r="M185" s="209">
        <v>9.499205776548534E-3</v>
      </c>
    </row>
    <row r="186" spans="1:13" x14ac:dyDescent="0.25">
      <c r="A186" s="156" t="s">
        <v>529</v>
      </c>
      <c r="B186" s="157">
        <v>20</v>
      </c>
      <c r="C186" s="157">
        <v>19</v>
      </c>
      <c r="D186" s="157">
        <v>20</v>
      </c>
      <c r="E186" s="157"/>
      <c r="F186" s="157">
        <v>17</v>
      </c>
      <c r="G186" s="157"/>
      <c r="H186" s="202">
        <v>48.295368955068554</v>
      </c>
      <c r="I186" s="202"/>
      <c r="J186" s="202">
        <v>20.99798650220372</v>
      </c>
      <c r="K186" s="202"/>
      <c r="L186" s="202">
        <v>69.293355457272327</v>
      </c>
      <c r="M186" s="208">
        <v>2.0529803520596545E-4</v>
      </c>
    </row>
    <row r="187" spans="1:13" x14ac:dyDescent="0.25">
      <c r="A187" s="155" t="s">
        <v>226</v>
      </c>
      <c r="B187" s="158">
        <v>20</v>
      </c>
      <c r="C187" s="158">
        <v>19</v>
      </c>
      <c r="D187" s="158">
        <v>20</v>
      </c>
      <c r="E187" s="158"/>
      <c r="F187" s="158">
        <v>17</v>
      </c>
      <c r="G187" s="158"/>
      <c r="H187" s="204">
        <v>48.295368955068554</v>
      </c>
      <c r="I187" s="204"/>
      <c r="J187" s="204">
        <v>20.99798650220372</v>
      </c>
      <c r="K187" s="204"/>
      <c r="L187" s="204">
        <v>69.293355457272327</v>
      </c>
      <c r="M187" s="209">
        <v>2.0529803520596556E-4</v>
      </c>
    </row>
    <row r="188" spans="1:13" x14ac:dyDescent="0.25">
      <c r="A188" s="156" t="s">
        <v>93</v>
      </c>
      <c r="B188" s="157">
        <v>21</v>
      </c>
      <c r="C188" s="157">
        <v>63</v>
      </c>
      <c r="D188" s="157">
        <v>16</v>
      </c>
      <c r="E188" s="157">
        <v>2</v>
      </c>
      <c r="F188" s="157">
        <v>37</v>
      </c>
      <c r="G188" s="157">
        <v>2</v>
      </c>
      <c r="H188" s="202">
        <v>60.124598775600603</v>
      </c>
      <c r="I188" s="202">
        <v>10.338456000000001</v>
      </c>
      <c r="J188" s="202">
        <v>74.502220221939879</v>
      </c>
      <c r="K188" s="202">
        <v>5.1692280000000004</v>
      </c>
      <c r="L188" s="202">
        <v>150.13450299754038</v>
      </c>
      <c r="M188" s="208">
        <v>4.4480914914020626E-4</v>
      </c>
    </row>
    <row r="189" spans="1:13" x14ac:dyDescent="0.25">
      <c r="A189" s="155" t="s">
        <v>225</v>
      </c>
      <c r="B189" s="158">
        <v>21</v>
      </c>
      <c r="C189" s="158">
        <v>63</v>
      </c>
      <c r="D189" s="158">
        <v>16</v>
      </c>
      <c r="E189" s="158">
        <v>2</v>
      </c>
      <c r="F189" s="158">
        <v>37</v>
      </c>
      <c r="G189" s="158">
        <v>2</v>
      </c>
      <c r="H189" s="204">
        <v>60.124598775600603</v>
      </c>
      <c r="I189" s="204">
        <v>10.338456000000001</v>
      </c>
      <c r="J189" s="204">
        <v>74.502220221939879</v>
      </c>
      <c r="K189" s="204">
        <v>5.1692280000000004</v>
      </c>
      <c r="L189" s="204">
        <v>150.13450299754038</v>
      </c>
      <c r="M189" s="209">
        <v>4.4480914914020648E-4</v>
      </c>
    </row>
    <row r="190" spans="1:13" x14ac:dyDescent="0.25">
      <c r="A190" s="156" t="s">
        <v>94</v>
      </c>
      <c r="B190" s="157">
        <v>1109</v>
      </c>
      <c r="C190" s="157">
        <v>2018</v>
      </c>
      <c r="D190" s="157">
        <v>865</v>
      </c>
      <c r="E190" s="157">
        <v>37</v>
      </c>
      <c r="F190" s="157">
        <v>1318</v>
      </c>
      <c r="G190" s="157">
        <v>27</v>
      </c>
      <c r="H190" s="202">
        <v>3246.5652010075046</v>
      </c>
      <c r="I190" s="202">
        <v>168.30176399999991</v>
      </c>
      <c r="J190" s="202">
        <v>2648.3189538613528</v>
      </c>
      <c r="K190" s="202">
        <v>57.320165999999986</v>
      </c>
      <c r="L190" s="202">
        <v>6120.5060848688099</v>
      </c>
      <c r="M190" s="208">
        <v>1.8133453999994602E-2</v>
      </c>
    </row>
    <row r="191" spans="1:13" x14ac:dyDescent="0.25">
      <c r="A191" s="155" t="s">
        <v>224</v>
      </c>
      <c r="B191" s="158">
        <v>1109</v>
      </c>
      <c r="C191" s="158">
        <v>2018</v>
      </c>
      <c r="D191" s="158">
        <v>865</v>
      </c>
      <c r="E191" s="158">
        <v>37</v>
      </c>
      <c r="F191" s="158">
        <v>1318</v>
      </c>
      <c r="G191" s="158">
        <v>27</v>
      </c>
      <c r="H191" s="204">
        <v>3246.5652010075046</v>
      </c>
      <c r="I191" s="204">
        <v>168.30176399999991</v>
      </c>
      <c r="J191" s="204">
        <v>2648.3189538613528</v>
      </c>
      <c r="K191" s="204">
        <v>57.320165999999986</v>
      </c>
      <c r="L191" s="204">
        <v>6120.5060848688099</v>
      </c>
      <c r="M191" s="209">
        <v>1.8133453999994612E-2</v>
      </c>
    </row>
    <row r="192" spans="1:13" x14ac:dyDescent="0.25">
      <c r="A192" s="156" t="s">
        <v>95</v>
      </c>
      <c r="B192" s="157">
        <v>732</v>
      </c>
      <c r="C192" s="157">
        <v>1416</v>
      </c>
      <c r="D192" s="157">
        <v>562</v>
      </c>
      <c r="E192" s="157">
        <v>12</v>
      </c>
      <c r="F192" s="157">
        <v>851</v>
      </c>
      <c r="G192" s="157">
        <v>19</v>
      </c>
      <c r="H192" s="202">
        <v>2161.0611150937425</v>
      </c>
      <c r="I192" s="202">
        <v>59.131022000000002</v>
      </c>
      <c r="J192" s="202">
        <v>1689.8332517790352</v>
      </c>
      <c r="K192" s="202">
        <v>44.990995000000019</v>
      </c>
      <c r="L192" s="202">
        <v>3955.0163838728099</v>
      </c>
      <c r="M192" s="208">
        <v>1.1717676066605828E-2</v>
      </c>
    </row>
    <row r="193" spans="1:13" x14ac:dyDescent="0.25">
      <c r="A193" s="155" t="s">
        <v>222</v>
      </c>
      <c r="B193" s="158">
        <v>732</v>
      </c>
      <c r="C193" s="158">
        <v>1416</v>
      </c>
      <c r="D193" s="158">
        <v>562</v>
      </c>
      <c r="E193" s="158">
        <v>12</v>
      </c>
      <c r="F193" s="158">
        <v>851</v>
      </c>
      <c r="G193" s="158">
        <v>19</v>
      </c>
      <c r="H193" s="204">
        <v>2161.0611150937425</v>
      </c>
      <c r="I193" s="204">
        <v>59.131022000000002</v>
      </c>
      <c r="J193" s="204">
        <v>1689.8332517790352</v>
      </c>
      <c r="K193" s="204">
        <v>44.990995000000019</v>
      </c>
      <c r="L193" s="204">
        <v>3955.0163838728099</v>
      </c>
      <c r="M193" s="209">
        <v>1.1717676066605833E-2</v>
      </c>
    </row>
    <row r="194" spans="1:13" x14ac:dyDescent="0.25">
      <c r="A194" s="156" t="s">
        <v>96</v>
      </c>
      <c r="B194" s="157">
        <v>1584</v>
      </c>
      <c r="C194" s="157">
        <v>2279</v>
      </c>
      <c r="D194" s="157">
        <v>1244</v>
      </c>
      <c r="E194" s="157">
        <v>28</v>
      </c>
      <c r="F194" s="157">
        <v>1281</v>
      </c>
      <c r="G194" s="157">
        <v>23</v>
      </c>
      <c r="H194" s="202">
        <v>4240.80332418746</v>
      </c>
      <c r="I194" s="202">
        <v>127.25172600000003</v>
      </c>
      <c r="J194" s="202">
        <v>2499.9638528204509</v>
      </c>
      <c r="K194" s="202">
        <v>50.640993000000016</v>
      </c>
      <c r="L194" s="202">
        <v>6918.6598960079527</v>
      </c>
      <c r="M194" s="208">
        <v>2.0498174370911816E-2</v>
      </c>
    </row>
    <row r="195" spans="1:13" x14ac:dyDescent="0.25">
      <c r="A195" s="155" t="s">
        <v>221</v>
      </c>
      <c r="B195" s="158">
        <v>1584</v>
      </c>
      <c r="C195" s="158">
        <v>2279</v>
      </c>
      <c r="D195" s="158">
        <v>1244</v>
      </c>
      <c r="E195" s="158">
        <v>28</v>
      </c>
      <c r="F195" s="158">
        <v>1281</v>
      </c>
      <c r="G195" s="158">
        <v>23</v>
      </c>
      <c r="H195" s="204">
        <v>4240.80332418746</v>
      </c>
      <c r="I195" s="204">
        <v>127.25172600000003</v>
      </c>
      <c r="J195" s="204">
        <v>2499.9638528204509</v>
      </c>
      <c r="K195" s="204">
        <v>50.640993000000016</v>
      </c>
      <c r="L195" s="204">
        <v>6918.6598960079527</v>
      </c>
      <c r="M195" s="209">
        <v>2.0498174370911827E-2</v>
      </c>
    </row>
    <row r="196" spans="1:13" x14ac:dyDescent="0.25">
      <c r="A196" s="156" t="s">
        <v>97</v>
      </c>
      <c r="B196" s="157">
        <v>1014</v>
      </c>
      <c r="C196" s="157">
        <v>1837</v>
      </c>
      <c r="D196" s="157">
        <v>817</v>
      </c>
      <c r="E196" s="157">
        <v>31</v>
      </c>
      <c r="F196" s="157">
        <v>1305</v>
      </c>
      <c r="G196" s="157">
        <v>12</v>
      </c>
      <c r="H196" s="202">
        <v>2950.772144775066</v>
      </c>
      <c r="I196" s="202">
        <v>136.82907599999999</v>
      </c>
      <c r="J196" s="202">
        <v>2278.4294094731599</v>
      </c>
      <c r="K196" s="202">
        <v>25.950341999999999</v>
      </c>
      <c r="L196" s="202">
        <v>5391.980972248246</v>
      </c>
      <c r="M196" s="208">
        <v>1.5975025197806907E-2</v>
      </c>
    </row>
    <row r="197" spans="1:13" x14ac:dyDescent="0.25">
      <c r="A197" s="155" t="s">
        <v>220</v>
      </c>
      <c r="B197" s="158">
        <v>1014</v>
      </c>
      <c r="C197" s="158">
        <v>1837</v>
      </c>
      <c r="D197" s="158">
        <v>817</v>
      </c>
      <c r="E197" s="158">
        <v>31</v>
      </c>
      <c r="F197" s="158">
        <v>1305</v>
      </c>
      <c r="G197" s="158">
        <v>12</v>
      </c>
      <c r="H197" s="204">
        <v>2950.772144775066</v>
      </c>
      <c r="I197" s="204">
        <v>136.82907599999999</v>
      </c>
      <c r="J197" s="204">
        <v>2278.4294094731599</v>
      </c>
      <c r="K197" s="204">
        <v>25.950341999999999</v>
      </c>
      <c r="L197" s="204">
        <v>5391.980972248246</v>
      </c>
      <c r="M197" s="209">
        <v>1.5975025197806917E-2</v>
      </c>
    </row>
    <row r="198" spans="1:13" x14ac:dyDescent="0.25">
      <c r="A198" s="156" t="s">
        <v>98</v>
      </c>
      <c r="B198" s="157">
        <v>2119</v>
      </c>
      <c r="C198" s="157">
        <v>3692</v>
      </c>
      <c r="D198" s="157">
        <v>1677</v>
      </c>
      <c r="E198" s="157">
        <v>47</v>
      </c>
      <c r="F198" s="157">
        <v>2282</v>
      </c>
      <c r="G198" s="157">
        <v>22</v>
      </c>
      <c r="H198" s="202">
        <v>6243.208823750635</v>
      </c>
      <c r="I198" s="202">
        <v>206.32249599999994</v>
      </c>
      <c r="J198" s="202">
        <v>4374.5623437666718</v>
      </c>
      <c r="K198" s="202">
        <v>47.806432000000022</v>
      </c>
      <c r="L198" s="202">
        <v>10871.900095517331</v>
      </c>
      <c r="M198" s="208">
        <v>3.2210588069176989E-2</v>
      </c>
    </row>
    <row r="199" spans="1:13" x14ac:dyDescent="0.25">
      <c r="A199" s="155" t="s">
        <v>219</v>
      </c>
      <c r="B199" s="158">
        <v>2119</v>
      </c>
      <c r="C199" s="158">
        <v>3692</v>
      </c>
      <c r="D199" s="158">
        <v>1677</v>
      </c>
      <c r="E199" s="158">
        <v>47</v>
      </c>
      <c r="F199" s="158">
        <v>2282</v>
      </c>
      <c r="G199" s="158">
        <v>22</v>
      </c>
      <c r="H199" s="204">
        <v>6243.208823750635</v>
      </c>
      <c r="I199" s="204">
        <v>206.32249599999994</v>
      </c>
      <c r="J199" s="204">
        <v>4374.5623437666718</v>
      </c>
      <c r="K199" s="204">
        <v>47.806432000000022</v>
      </c>
      <c r="L199" s="204">
        <v>10871.900095517331</v>
      </c>
      <c r="M199" s="209">
        <v>3.2210588069177003E-2</v>
      </c>
    </row>
    <row r="200" spans="1:13" x14ac:dyDescent="0.25">
      <c r="A200" s="156" t="s">
        <v>99</v>
      </c>
      <c r="B200" s="157">
        <v>1801</v>
      </c>
      <c r="C200" s="157">
        <v>2773</v>
      </c>
      <c r="D200" s="157">
        <v>1395</v>
      </c>
      <c r="E200" s="157">
        <v>62</v>
      </c>
      <c r="F200" s="157">
        <v>1709</v>
      </c>
      <c r="G200" s="157">
        <v>37</v>
      </c>
      <c r="H200" s="202">
        <v>5186.4066126335329</v>
      </c>
      <c r="I200" s="202">
        <v>307.36875200000009</v>
      </c>
      <c r="J200" s="202">
        <v>3384.516171635913</v>
      </c>
      <c r="K200" s="202">
        <v>93.218391999999994</v>
      </c>
      <c r="L200" s="202">
        <v>8971.5099282694973</v>
      </c>
      <c r="M200" s="208">
        <v>2.6580230513447298E-2</v>
      </c>
    </row>
    <row r="201" spans="1:13" x14ac:dyDescent="0.25">
      <c r="A201" s="155" t="s">
        <v>218</v>
      </c>
      <c r="B201" s="158">
        <v>1801</v>
      </c>
      <c r="C201" s="158">
        <v>2773</v>
      </c>
      <c r="D201" s="158">
        <v>1395</v>
      </c>
      <c r="E201" s="158">
        <v>62</v>
      </c>
      <c r="F201" s="158">
        <v>1709</v>
      </c>
      <c r="G201" s="158">
        <v>37</v>
      </c>
      <c r="H201" s="204">
        <v>5186.4066126335329</v>
      </c>
      <c r="I201" s="204">
        <v>307.36875200000009</v>
      </c>
      <c r="J201" s="204">
        <v>3384.516171635913</v>
      </c>
      <c r="K201" s="204">
        <v>93.218391999999994</v>
      </c>
      <c r="L201" s="204">
        <v>8971.5099282694973</v>
      </c>
      <c r="M201" s="209">
        <v>2.6580230513447312E-2</v>
      </c>
    </row>
    <row r="202" spans="1:13" x14ac:dyDescent="0.25">
      <c r="A202" s="156" t="s">
        <v>100</v>
      </c>
      <c r="B202" s="157">
        <v>798</v>
      </c>
      <c r="C202" s="157">
        <v>1669</v>
      </c>
      <c r="D202" s="157">
        <v>648</v>
      </c>
      <c r="E202" s="157">
        <v>21</v>
      </c>
      <c r="F202" s="157">
        <v>1092</v>
      </c>
      <c r="G202" s="157">
        <v>14</v>
      </c>
      <c r="H202" s="202">
        <v>2318.5063233019214</v>
      </c>
      <c r="I202" s="202">
        <v>91.187758000000002</v>
      </c>
      <c r="J202" s="202">
        <v>1974.1615680969412</v>
      </c>
      <c r="K202" s="202">
        <v>27.109874000000001</v>
      </c>
      <c r="L202" s="202">
        <v>4410.9655233988551</v>
      </c>
      <c r="M202" s="208">
        <v>1.3068533762568706E-2</v>
      </c>
    </row>
    <row r="203" spans="1:13" x14ac:dyDescent="0.25">
      <c r="A203" s="155" t="s">
        <v>217</v>
      </c>
      <c r="B203" s="158">
        <v>798</v>
      </c>
      <c r="C203" s="158">
        <v>1669</v>
      </c>
      <c r="D203" s="158">
        <v>648</v>
      </c>
      <c r="E203" s="158">
        <v>21</v>
      </c>
      <c r="F203" s="158">
        <v>1092</v>
      </c>
      <c r="G203" s="158">
        <v>14</v>
      </c>
      <c r="H203" s="204">
        <v>2318.5063233019214</v>
      </c>
      <c r="I203" s="204">
        <v>91.187758000000002</v>
      </c>
      <c r="J203" s="204">
        <v>1974.1615680969412</v>
      </c>
      <c r="K203" s="204">
        <v>27.109874000000001</v>
      </c>
      <c r="L203" s="204">
        <v>4410.9655233988551</v>
      </c>
      <c r="M203" s="209">
        <v>1.3068533762568713E-2</v>
      </c>
    </row>
    <row r="204" spans="1:13" x14ac:dyDescent="0.25">
      <c r="A204" s="156" t="s">
        <v>101</v>
      </c>
      <c r="B204" s="157">
        <v>10</v>
      </c>
      <c r="C204" s="157">
        <v>28</v>
      </c>
      <c r="D204" s="157">
        <v>6</v>
      </c>
      <c r="E204" s="157">
        <v>2</v>
      </c>
      <c r="F204" s="157">
        <v>12</v>
      </c>
      <c r="G204" s="157"/>
      <c r="H204" s="202">
        <v>43.187462106656795</v>
      </c>
      <c r="I204" s="202">
        <v>14.476184</v>
      </c>
      <c r="J204" s="202">
        <v>43.187462106656788</v>
      </c>
      <c r="K204" s="202"/>
      <c r="L204" s="202">
        <v>100.85110821331359</v>
      </c>
      <c r="M204" s="208">
        <v>2.9879537840109819E-4</v>
      </c>
    </row>
    <row r="205" spans="1:13" x14ac:dyDescent="0.25">
      <c r="A205" s="155" t="s">
        <v>214</v>
      </c>
      <c r="B205" s="158">
        <v>10</v>
      </c>
      <c r="C205" s="158">
        <v>28</v>
      </c>
      <c r="D205" s="158">
        <v>6</v>
      </c>
      <c r="E205" s="158">
        <v>2</v>
      </c>
      <c r="F205" s="158">
        <v>12</v>
      </c>
      <c r="G205" s="158"/>
      <c r="H205" s="204">
        <v>43.187462106656795</v>
      </c>
      <c r="I205" s="204">
        <v>14.476184</v>
      </c>
      <c r="J205" s="204">
        <v>43.187462106656788</v>
      </c>
      <c r="K205" s="204"/>
      <c r="L205" s="204">
        <v>100.85110821331359</v>
      </c>
      <c r="M205" s="209">
        <v>2.987953784010983E-4</v>
      </c>
    </row>
    <row r="206" spans="1:13" ht="24" x14ac:dyDescent="0.25">
      <c r="A206" s="156" t="s">
        <v>130</v>
      </c>
      <c r="B206" s="157">
        <v>30</v>
      </c>
      <c r="C206" s="157">
        <v>13</v>
      </c>
      <c r="D206" s="157">
        <v>25</v>
      </c>
      <c r="E206" s="157"/>
      <c r="F206" s="157">
        <v>12</v>
      </c>
      <c r="G206" s="157"/>
      <c r="H206" s="202">
        <v>53.451611470555179</v>
      </c>
      <c r="I206" s="202"/>
      <c r="J206" s="202">
        <v>12.828386752933243</v>
      </c>
      <c r="K206" s="202"/>
      <c r="L206" s="202">
        <v>66.279998223488462</v>
      </c>
      <c r="M206" s="208">
        <v>1.9637024818530409E-4</v>
      </c>
    </row>
    <row r="207" spans="1:13" x14ac:dyDescent="0.25">
      <c r="A207" s="155" t="s">
        <v>213</v>
      </c>
      <c r="B207" s="158">
        <v>30</v>
      </c>
      <c r="C207" s="158">
        <v>13</v>
      </c>
      <c r="D207" s="158">
        <v>25</v>
      </c>
      <c r="E207" s="158"/>
      <c r="F207" s="158">
        <v>12</v>
      </c>
      <c r="G207" s="158"/>
      <c r="H207" s="204">
        <v>53.451611470555179</v>
      </c>
      <c r="I207" s="204"/>
      <c r="J207" s="204">
        <v>12.828386752933243</v>
      </c>
      <c r="K207" s="204"/>
      <c r="L207" s="204">
        <v>66.279998223488462</v>
      </c>
      <c r="M207" s="209">
        <v>1.963702481853042E-4</v>
      </c>
    </row>
    <row r="208" spans="1:13" ht="24" x14ac:dyDescent="0.25">
      <c r="A208" s="156" t="s">
        <v>467</v>
      </c>
      <c r="B208" s="157">
        <v>39</v>
      </c>
      <c r="C208" s="157">
        <v>114</v>
      </c>
      <c r="D208" s="157">
        <v>32</v>
      </c>
      <c r="E208" s="157">
        <v>3</v>
      </c>
      <c r="F208" s="157">
        <v>41</v>
      </c>
      <c r="G208" s="157">
        <v>2</v>
      </c>
      <c r="H208" s="202">
        <v>171.70193564976881</v>
      </c>
      <c r="I208" s="202">
        <v>20.175816000000001</v>
      </c>
      <c r="J208" s="202">
        <v>111.10125247926217</v>
      </c>
      <c r="K208" s="202">
        <v>5.0439540000000003</v>
      </c>
      <c r="L208" s="202">
        <v>308.022958129031</v>
      </c>
      <c r="M208" s="208">
        <v>9.1259122443871732E-4</v>
      </c>
    </row>
    <row r="209" spans="1:13" x14ac:dyDescent="0.25">
      <c r="A209" s="155" t="s">
        <v>212</v>
      </c>
      <c r="B209" s="158">
        <v>39</v>
      </c>
      <c r="C209" s="158">
        <v>114</v>
      </c>
      <c r="D209" s="158">
        <v>32</v>
      </c>
      <c r="E209" s="158">
        <v>3</v>
      </c>
      <c r="F209" s="158">
        <v>41</v>
      </c>
      <c r="G209" s="158">
        <v>2</v>
      </c>
      <c r="H209" s="204">
        <v>171.70193564976881</v>
      </c>
      <c r="I209" s="204">
        <v>20.175816000000001</v>
      </c>
      <c r="J209" s="204">
        <v>111.10125247926217</v>
      </c>
      <c r="K209" s="204">
        <v>5.0439540000000003</v>
      </c>
      <c r="L209" s="204">
        <v>308.022958129031</v>
      </c>
      <c r="M209" s="209">
        <v>9.1259122443871775E-4</v>
      </c>
    </row>
    <row r="210" spans="1:13" ht="24" x14ac:dyDescent="0.25">
      <c r="A210" s="156" t="s">
        <v>103</v>
      </c>
      <c r="B210" s="157">
        <v>210</v>
      </c>
      <c r="C210" s="157">
        <v>154</v>
      </c>
      <c r="D210" s="157">
        <v>182</v>
      </c>
      <c r="E210" s="157">
        <v>12</v>
      </c>
      <c r="F210" s="157">
        <v>126</v>
      </c>
      <c r="G210" s="157">
        <v>4</v>
      </c>
      <c r="H210" s="202">
        <v>491.94779231043282</v>
      </c>
      <c r="I210" s="202">
        <v>38.884247999999999</v>
      </c>
      <c r="J210" s="202">
        <v>182.60070893618678</v>
      </c>
      <c r="K210" s="202">
        <v>7.5608259999999987</v>
      </c>
      <c r="L210" s="202">
        <v>720.99357524661809</v>
      </c>
      <c r="M210" s="208">
        <v>2.1361148326195043E-3</v>
      </c>
    </row>
    <row r="211" spans="1:13" x14ac:dyDescent="0.25">
      <c r="A211" s="155" t="s">
        <v>211</v>
      </c>
      <c r="B211" s="158">
        <v>210</v>
      </c>
      <c r="C211" s="158">
        <v>154</v>
      </c>
      <c r="D211" s="158">
        <v>182</v>
      </c>
      <c r="E211" s="158">
        <v>12</v>
      </c>
      <c r="F211" s="158">
        <v>126</v>
      </c>
      <c r="G211" s="158">
        <v>4</v>
      </c>
      <c r="H211" s="204">
        <v>491.94779231043282</v>
      </c>
      <c r="I211" s="204">
        <v>38.884247999999999</v>
      </c>
      <c r="J211" s="204">
        <v>182.60070893618678</v>
      </c>
      <c r="K211" s="204">
        <v>7.5608259999999987</v>
      </c>
      <c r="L211" s="204">
        <v>720.99357524661809</v>
      </c>
      <c r="M211" s="209">
        <v>2.1361148326195056E-3</v>
      </c>
    </row>
    <row r="212" spans="1:13" x14ac:dyDescent="0.25">
      <c r="A212" s="156" t="s">
        <v>104</v>
      </c>
      <c r="B212" s="157">
        <v>165</v>
      </c>
      <c r="C212" s="157">
        <v>65</v>
      </c>
      <c r="D212" s="157">
        <v>141</v>
      </c>
      <c r="E212" s="157">
        <v>3</v>
      </c>
      <c r="F212" s="157">
        <v>56</v>
      </c>
      <c r="G212" s="157">
        <v>1</v>
      </c>
      <c r="H212" s="202">
        <v>347.24318400232221</v>
      </c>
      <c r="I212" s="202">
        <v>6.2727240000000002</v>
      </c>
      <c r="J212" s="202">
        <v>65.497965844749459</v>
      </c>
      <c r="K212" s="202">
        <v>1.0454540000000001</v>
      </c>
      <c r="L212" s="202">
        <v>420.05932784707119</v>
      </c>
      <c r="M212" s="208">
        <v>1.2445255985636008E-3</v>
      </c>
    </row>
    <row r="213" spans="1:13" x14ac:dyDescent="0.25">
      <c r="A213" s="155" t="s">
        <v>210</v>
      </c>
      <c r="B213" s="158">
        <v>165</v>
      </c>
      <c r="C213" s="158">
        <v>65</v>
      </c>
      <c r="D213" s="158">
        <v>141</v>
      </c>
      <c r="E213" s="158">
        <v>3</v>
      </c>
      <c r="F213" s="158">
        <v>56</v>
      </c>
      <c r="G213" s="158">
        <v>1</v>
      </c>
      <c r="H213" s="204">
        <v>347.24318400232221</v>
      </c>
      <c r="I213" s="204">
        <v>6.2727240000000002</v>
      </c>
      <c r="J213" s="204">
        <v>65.497965844749459</v>
      </c>
      <c r="K213" s="204">
        <v>1.0454540000000001</v>
      </c>
      <c r="L213" s="204">
        <v>420.05932784707119</v>
      </c>
      <c r="M213" s="209">
        <v>1.2445255985636015E-3</v>
      </c>
    </row>
    <row r="214" spans="1:13" x14ac:dyDescent="0.25">
      <c r="A214" s="156" t="s">
        <v>433</v>
      </c>
      <c r="B214" s="157">
        <v>646</v>
      </c>
      <c r="C214" s="157">
        <v>573</v>
      </c>
      <c r="D214" s="157">
        <v>557</v>
      </c>
      <c r="E214" s="157">
        <v>7</v>
      </c>
      <c r="F214" s="157">
        <v>445</v>
      </c>
      <c r="G214" s="157">
        <v>8</v>
      </c>
      <c r="H214" s="202">
        <v>1294.6314792909507</v>
      </c>
      <c r="I214" s="202">
        <v>19.264266000000006</v>
      </c>
      <c r="J214" s="202">
        <v>574.46670142170842</v>
      </c>
      <c r="K214" s="202">
        <v>13.913081000000002</v>
      </c>
      <c r="L214" s="202">
        <v>1902.2755277126557</v>
      </c>
      <c r="M214" s="208">
        <v>5.6359433842197186E-3</v>
      </c>
    </row>
    <row r="215" spans="1:13" x14ac:dyDescent="0.25">
      <c r="A215" s="155" t="s">
        <v>209</v>
      </c>
      <c r="B215" s="158">
        <v>646</v>
      </c>
      <c r="C215" s="158">
        <v>573</v>
      </c>
      <c r="D215" s="158">
        <v>557</v>
      </c>
      <c r="E215" s="158">
        <v>7</v>
      </c>
      <c r="F215" s="158">
        <v>445</v>
      </c>
      <c r="G215" s="158">
        <v>8</v>
      </c>
      <c r="H215" s="204">
        <v>1294.6314792909507</v>
      </c>
      <c r="I215" s="204">
        <v>19.264266000000006</v>
      </c>
      <c r="J215" s="204">
        <v>574.46670142170842</v>
      </c>
      <c r="K215" s="204">
        <v>13.913081000000002</v>
      </c>
      <c r="L215" s="204">
        <v>1902.2755277126557</v>
      </c>
      <c r="M215" s="209">
        <v>5.6359433842197212E-3</v>
      </c>
    </row>
    <row r="216" spans="1:13" x14ac:dyDescent="0.25">
      <c r="A216" s="156" t="s">
        <v>105</v>
      </c>
      <c r="B216" s="157">
        <v>126</v>
      </c>
      <c r="C216" s="157">
        <v>285</v>
      </c>
      <c r="D216" s="157">
        <v>75</v>
      </c>
      <c r="E216" s="157">
        <v>15</v>
      </c>
      <c r="F216" s="157">
        <v>146</v>
      </c>
      <c r="G216" s="157">
        <v>9</v>
      </c>
      <c r="H216" s="202">
        <v>366.24079718687449</v>
      </c>
      <c r="I216" s="202">
        <v>82.474860000000007</v>
      </c>
      <c r="J216" s="202">
        <v>335.49795654710061</v>
      </c>
      <c r="K216" s="202">
        <v>21.993296000000001</v>
      </c>
      <c r="L216" s="202">
        <v>806.20690973397541</v>
      </c>
      <c r="M216" s="208">
        <v>2.388579589567094E-3</v>
      </c>
    </row>
    <row r="217" spans="1:13" x14ac:dyDescent="0.25">
      <c r="A217" s="155" t="s">
        <v>208</v>
      </c>
      <c r="B217" s="158">
        <v>126</v>
      </c>
      <c r="C217" s="158">
        <v>285</v>
      </c>
      <c r="D217" s="158">
        <v>75</v>
      </c>
      <c r="E217" s="158">
        <v>15</v>
      </c>
      <c r="F217" s="158">
        <v>146</v>
      </c>
      <c r="G217" s="158">
        <v>9</v>
      </c>
      <c r="H217" s="204">
        <v>366.24079718687449</v>
      </c>
      <c r="I217" s="204">
        <v>82.474860000000007</v>
      </c>
      <c r="J217" s="204">
        <v>335.49795654710061</v>
      </c>
      <c r="K217" s="204">
        <v>21.993296000000001</v>
      </c>
      <c r="L217" s="204">
        <v>806.20690973397541</v>
      </c>
      <c r="M217" s="209">
        <v>2.3885795895670953E-3</v>
      </c>
    </row>
    <row r="218" spans="1:13" ht="24" x14ac:dyDescent="0.25">
      <c r="A218" s="156" t="s">
        <v>106</v>
      </c>
      <c r="B218" s="157">
        <v>282</v>
      </c>
      <c r="C218" s="157">
        <v>601</v>
      </c>
      <c r="D218" s="157">
        <v>174</v>
      </c>
      <c r="E218" s="157">
        <v>33</v>
      </c>
      <c r="F218" s="157">
        <v>348</v>
      </c>
      <c r="G218" s="157">
        <v>22</v>
      </c>
      <c r="H218" s="202">
        <v>878.0979120501222</v>
      </c>
      <c r="I218" s="202">
        <v>176.59996199999995</v>
      </c>
      <c r="J218" s="202">
        <v>795.86334568352231</v>
      </c>
      <c r="K218" s="202">
        <v>60.268240999999996</v>
      </c>
      <c r="L218" s="202">
        <v>1910.8294607336452</v>
      </c>
      <c r="M218" s="208">
        <v>5.6612864438955546E-3</v>
      </c>
    </row>
    <row r="219" spans="1:13" x14ac:dyDescent="0.25">
      <c r="A219" s="155" t="s">
        <v>207</v>
      </c>
      <c r="B219" s="158">
        <v>282</v>
      </c>
      <c r="C219" s="158">
        <v>601</v>
      </c>
      <c r="D219" s="158">
        <v>174</v>
      </c>
      <c r="E219" s="158">
        <v>33</v>
      </c>
      <c r="F219" s="158">
        <v>348</v>
      </c>
      <c r="G219" s="158">
        <v>22</v>
      </c>
      <c r="H219" s="204">
        <v>878.0979120501222</v>
      </c>
      <c r="I219" s="204">
        <v>176.59996199999995</v>
      </c>
      <c r="J219" s="204">
        <v>795.86334568352231</v>
      </c>
      <c r="K219" s="204">
        <v>60.268240999999996</v>
      </c>
      <c r="L219" s="204">
        <v>1910.8294607336452</v>
      </c>
      <c r="M219" s="209">
        <v>5.6612864438955572E-3</v>
      </c>
    </row>
    <row r="220" spans="1:13" ht="24" x14ac:dyDescent="0.25">
      <c r="A220" s="156" t="s">
        <v>107</v>
      </c>
      <c r="B220" s="157">
        <v>561</v>
      </c>
      <c r="C220" s="157">
        <v>964</v>
      </c>
      <c r="D220" s="157">
        <v>475</v>
      </c>
      <c r="E220" s="157">
        <v>35</v>
      </c>
      <c r="F220" s="157">
        <v>704</v>
      </c>
      <c r="G220" s="157">
        <v>14</v>
      </c>
      <c r="H220" s="202">
        <v>1548.0877477431229</v>
      </c>
      <c r="I220" s="202">
        <v>155.92552799999999</v>
      </c>
      <c r="J220" s="202">
        <v>1168.8731697657029</v>
      </c>
      <c r="K220" s="202">
        <v>29.531349999999996</v>
      </c>
      <c r="L220" s="202">
        <v>2902.4177955088444</v>
      </c>
      <c r="M220" s="208">
        <v>8.5991025666553988E-3</v>
      </c>
    </row>
    <row r="221" spans="1:13" x14ac:dyDescent="0.25">
      <c r="A221" s="155" t="s">
        <v>206</v>
      </c>
      <c r="B221" s="158">
        <v>561</v>
      </c>
      <c r="C221" s="158">
        <v>964</v>
      </c>
      <c r="D221" s="158">
        <v>475</v>
      </c>
      <c r="E221" s="158">
        <v>35</v>
      </c>
      <c r="F221" s="158">
        <v>704</v>
      </c>
      <c r="G221" s="158">
        <v>14</v>
      </c>
      <c r="H221" s="204">
        <v>1548.0877477431229</v>
      </c>
      <c r="I221" s="204">
        <v>155.92552799999999</v>
      </c>
      <c r="J221" s="204">
        <v>1168.8731697657029</v>
      </c>
      <c r="K221" s="204">
        <v>29.531349999999996</v>
      </c>
      <c r="L221" s="204">
        <v>2902.4177955088444</v>
      </c>
      <c r="M221" s="209">
        <v>8.599102566655404E-3</v>
      </c>
    </row>
    <row r="222" spans="1:13" x14ac:dyDescent="0.25">
      <c r="A222" s="156" t="s">
        <v>108</v>
      </c>
      <c r="B222" s="157">
        <v>1441</v>
      </c>
      <c r="C222" s="157">
        <v>1845</v>
      </c>
      <c r="D222" s="157">
        <v>1238</v>
      </c>
      <c r="E222" s="157">
        <v>20</v>
      </c>
      <c r="F222" s="157">
        <v>1472</v>
      </c>
      <c r="G222" s="157">
        <v>25</v>
      </c>
      <c r="H222" s="202">
        <v>3281.4358465548235</v>
      </c>
      <c r="I222" s="202">
        <v>57.64910399999998</v>
      </c>
      <c r="J222" s="202">
        <v>2034.2363420131951</v>
      </c>
      <c r="K222" s="202">
        <v>39.500312000000008</v>
      </c>
      <c r="L222" s="202">
        <v>5412.8216045680747</v>
      </c>
      <c r="M222" s="208">
        <v>1.6036770524461626E-2</v>
      </c>
    </row>
    <row r="223" spans="1:13" x14ac:dyDescent="0.25">
      <c r="A223" s="155" t="s">
        <v>205</v>
      </c>
      <c r="B223" s="158">
        <v>1441</v>
      </c>
      <c r="C223" s="158">
        <v>1845</v>
      </c>
      <c r="D223" s="158">
        <v>1238</v>
      </c>
      <c r="E223" s="158">
        <v>20</v>
      </c>
      <c r="F223" s="158">
        <v>1472</v>
      </c>
      <c r="G223" s="158">
        <v>25</v>
      </c>
      <c r="H223" s="204">
        <v>3281.4358465548235</v>
      </c>
      <c r="I223" s="204">
        <v>57.64910399999998</v>
      </c>
      <c r="J223" s="204">
        <v>2034.2363420131951</v>
      </c>
      <c r="K223" s="204">
        <v>39.500312000000008</v>
      </c>
      <c r="L223" s="204">
        <v>5412.8216045680747</v>
      </c>
      <c r="M223" s="209">
        <v>1.6036770524461633E-2</v>
      </c>
    </row>
    <row r="224" spans="1:13" x14ac:dyDescent="0.25">
      <c r="A224" s="156" t="s">
        <v>109</v>
      </c>
      <c r="B224" s="157">
        <v>2946</v>
      </c>
      <c r="C224" s="157">
        <v>6444</v>
      </c>
      <c r="D224" s="157">
        <v>2205</v>
      </c>
      <c r="E224" s="157">
        <v>100</v>
      </c>
      <c r="F224" s="157">
        <v>3645</v>
      </c>
      <c r="G224" s="157">
        <v>88</v>
      </c>
      <c r="H224" s="202">
        <v>9333.4796224369202</v>
      </c>
      <c r="I224" s="202">
        <v>480.03407999999973</v>
      </c>
      <c r="J224" s="202">
        <v>7817.9783304019247</v>
      </c>
      <c r="K224" s="202">
        <v>204.01448399999987</v>
      </c>
      <c r="L224" s="202">
        <v>17835.50651683881</v>
      </c>
      <c r="M224" s="208">
        <v>5.2841927204232635E-2</v>
      </c>
    </row>
    <row r="225" spans="1:13" x14ac:dyDescent="0.25">
      <c r="A225" s="155" t="s">
        <v>204</v>
      </c>
      <c r="B225" s="158">
        <v>2946</v>
      </c>
      <c r="C225" s="158">
        <v>6444</v>
      </c>
      <c r="D225" s="158">
        <v>2205</v>
      </c>
      <c r="E225" s="158">
        <v>100</v>
      </c>
      <c r="F225" s="158">
        <v>3645</v>
      </c>
      <c r="G225" s="158">
        <v>88</v>
      </c>
      <c r="H225" s="204">
        <v>9333.4796224369202</v>
      </c>
      <c r="I225" s="204">
        <v>480.03407999999973</v>
      </c>
      <c r="J225" s="204">
        <v>7817.9783304019247</v>
      </c>
      <c r="K225" s="204">
        <v>204.01448399999987</v>
      </c>
      <c r="L225" s="204">
        <v>17835.50651683881</v>
      </c>
      <c r="M225" s="209">
        <v>5.2841927204232662E-2</v>
      </c>
    </row>
    <row r="226" spans="1:13" x14ac:dyDescent="0.25">
      <c r="A226" s="156" t="s">
        <v>110</v>
      </c>
      <c r="B226" s="157">
        <v>36</v>
      </c>
      <c r="C226" s="157">
        <v>39</v>
      </c>
      <c r="D226" s="157">
        <v>20</v>
      </c>
      <c r="E226" s="157">
        <v>10</v>
      </c>
      <c r="F226" s="157">
        <v>17</v>
      </c>
      <c r="G226" s="157">
        <v>10</v>
      </c>
      <c r="H226" s="202">
        <v>77.97127851458184</v>
      </c>
      <c r="I226" s="202">
        <v>39.344255999999994</v>
      </c>
      <c r="J226" s="202">
        <v>29.239229442968188</v>
      </c>
      <c r="K226" s="202">
        <v>23.360652000000002</v>
      </c>
      <c r="L226" s="202">
        <v>169.91541595754998</v>
      </c>
      <c r="M226" s="208">
        <v>5.0341480531707115E-4</v>
      </c>
    </row>
    <row r="227" spans="1:13" x14ac:dyDescent="0.25">
      <c r="A227" s="155" t="s">
        <v>203</v>
      </c>
      <c r="B227" s="158">
        <v>36</v>
      </c>
      <c r="C227" s="158">
        <v>39</v>
      </c>
      <c r="D227" s="158">
        <v>20</v>
      </c>
      <c r="E227" s="158">
        <v>10</v>
      </c>
      <c r="F227" s="158">
        <v>17</v>
      </c>
      <c r="G227" s="158">
        <v>10</v>
      </c>
      <c r="H227" s="204">
        <v>77.97127851458184</v>
      </c>
      <c r="I227" s="204">
        <v>39.344255999999994</v>
      </c>
      <c r="J227" s="204">
        <v>29.239229442968188</v>
      </c>
      <c r="K227" s="204">
        <v>23.360652000000002</v>
      </c>
      <c r="L227" s="204">
        <v>169.91541595754998</v>
      </c>
      <c r="M227" s="209">
        <v>5.0341480531707148E-4</v>
      </c>
    </row>
    <row r="228" spans="1:13" x14ac:dyDescent="0.25">
      <c r="A228" s="156" t="s">
        <v>111</v>
      </c>
      <c r="B228" s="157">
        <v>51</v>
      </c>
      <c r="C228" s="157">
        <v>57</v>
      </c>
      <c r="D228" s="157">
        <v>40</v>
      </c>
      <c r="E228" s="157">
        <v>6</v>
      </c>
      <c r="F228" s="157">
        <v>36</v>
      </c>
      <c r="G228" s="157">
        <v>1</v>
      </c>
      <c r="H228" s="202">
        <v>153.08385793483782</v>
      </c>
      <c r="I228" s="202">
        <v>21.842694000000002</v>
      </c>
      <c r="J228" s="202">
        <v>71.682123953614536</v>
      </c>
      <c r="K228" s="202">
        <v>1.2134830000000001</v>
      </c>
      <c r="L228" s="202">
        <v>247.82215888845221</v>
      </c>
      <c r="M228" s="208">
        <v>7.3423204814597053E-4</v>
      </c>
    </row>
    <row r="229" spans="1:13" x14ac:dyDescent="0.25">
      <c r="A229" s="155" t="s">
        <v>202</v>
      </c>
      <c r="B229" s="158">
        <v>51</v>
      </c>
      <c r="C229" s="158">
        <v>57</v>
      </c>
      <c r="D229" s="158">
        <v>40</v>
      </c>
      <c r="E229" s="158">
        <v>6</v>
      </c>
      <c r="F229" s="158">
        <v>36</v>
      </c>
      <c r="G229" s="158">
        <v>1</v>
      </c>
      <c r="H229" s="204">
        <v>153.08385793483782</v>
      </c>
      <c r="I229" s="204">
        <v>21.842694000000002</v>
      </c>
      <c r="J229" s="204">
        <v>71.682123953614536</v>
      </c>
      <c r="K229" s="204">
        <v>1.2134830000000001</v>
      </c>
      <c r="L229" s="204">
        <v>247.82215888845221</v>
      </c>
      <c r="M229" s="209">
        <v>7.3423204814597096E-4</v>
      </c>
    </row>
    <row r="230" spans="1:13" x14ac:dyDescent="0.25">
      <c r="A230" s="156" t="s">
        <v>112</v>
      </c>
      <c r="B230" s="157">
        <v>58</v>
      </c>
      <c r="C230" s="157">
        <v>200</v>
      </c>
      <c r="D230" s="157">
        <v>28</v>
      </c>
      <c r="E230" s="157">
        <v>6</v>
      </c>
      <c r="F230" s="157">
        <v>60</v>
      </c>
      <c r="G230" s="157">
        <v>2</v>
      </c>
      <c r="H230" s="202">
        <v>164.62495240172939</v>
      </c>
      <c r="I230" s="202">
        <v>37.941160000000004</v>
      </c>
      <c r="J230" s="202">
        <v>178.02465782977711</v>
      </c>
      <c r="K230" s="202">
        <v>5.6911740000000002</v>
      </c>
      <c r="L230" s="202">
        <v>386.28194423150677</v>
      </c>
      <c r="M230" s="208">
        <v>1.1444520713846573E-3</v>
      </c>
    </row>
    <row r="231" spans="1:13" x14ac:dyDescent="0.25">
      <c r="A231" s="155" t="s">
        <v>198</v>
      </c>
      <c r="B231" s="158">
        <v>58</v>
      </c>
      <c r="C231" s="158">
        <v>200</v>
      </c>
      <c r="D231" s="158">
        <v>28</v>
      </c>
      <c r="E231" s="158">
        <v>6</v>
      </c>
      <c r="F231" s="158">
        <v>60</v>
      </c>
      <c r="G231" s="158">
        <v>2</v>
      </c>
      <c r="H231" s="204">
        <v>164.62495240172939</v>
      </c>
      <c r="I231" s="204">
        <v>37.941160000000004</v>
      </c>
      <c r="J231" s="204">
        <v>178.02465782977711</v>
      </c>
      <c r="K231" s="204">
        <v>5.6911740000000002</v>
      </c>
      <c r="L231" s="204">
        <v>386.28194423150677</v>
      </c>
      <c r="M231" s="209">
        <v>1.144452071384658E-3</v>
      </c>
    </row>
    <row r="232" spans="1:13" x14ac:dyDescent="0.25">
      <c r="A232" s="156" t="s">
        <v>113</v>
      </c>
      <c r="B232" s="157"/>
      <c r="C232" s="157">
        <v>48</v>
      </c>
      <c r="D232" s="157"/>
      <c r="E232" s="157"/>
      <c r="F232" s="157">
        <v>33</v>
      </c>
      <c r="G232" s="157">
        <v>2</v>
      </c>
      <c r="H232" s="202"/>
      <c r="I232" s="202"/>
      <c r="J232" s="202">
        <v>53.699479393360548</v>
      </c>
      <c r="K232" s="202">
        <v>4.1739119999999996</v>
      </c>
      <c r="L232" s="202">
        <v>57.873391393360549</v>
      </c>
      <c r="M232" s="208">
        <v>1.7146367736642506E-4</v>
      </c>
    </row>
    <row r="233" spans="1:13" x14ac:dyDescent="0.25">
      <c r="A233" s="155" t="s">
        <v>199</v>
      </c>
      <c r="B233" s="158"/>
      <c r="C233" s="158">
        <v>48</v>
      </c>
      <c r="D233" s="158"/>
      <c r="E233" s="158"/>
      <c r="F233" s="158">
        <v>33</v>
      </c>
      <c r="G233" s="158">
        <v>2</v>
      </c>
      <c r="H233" s="204"/>
      <c r="I233" s="204"/>
      <c r="J233" s="204">
        <v>53.699479393360548</v>
      </c>
      <c r="K233" s="204">
        <v>4.1739119999999996</v>
      </c>
      <c r="L233" s="204">
        <v>57.873391393360549</v>
      </c>
      <c r="M233" s="209">
        <v>1.7146367736642517E-4</v>
      </c>
    </row>
    <row r="234" spans="1:13" x14ac:dyDescent="0.25">
      <c r="A234" s="156" t="s">
        <v>114</v>
      </c>
      <c r="B234" s="157">
        <v>659</v>
      </c>
      <c r="C234" s="157">
        <v>949</v>
      </c>
      <c r="D234" s="157">
        <v>550</v>
      </c>
      <c r="E234" s="157">
        <v>7</v>
      </c>
      <c r="F234" s="157">
        <v>692</v>
      </c>
      <c r="G234" s="157">
        <v>17</v>
      </c>
      <c r="H234" s="202">
        <v>1511.5845829189416</v>
      </c>
      <c r="I234" s="202">
        <v>23.967459999999999</v>
      </c>
      <c r="J234" s="202">
        <v>982.31526517814757</v>
      </c>
      <c r="K234" s="202">
        <v>34.861759999999997</v>
      </c>
      <c r="L234" s="202">
        <v>2552.729068097075</v>
      </c>
      <c r="M234" s="208">
        <v>7.5630665975850589E-3</v>
      </c>
    </row>
    <row r="235" spans="1:13" x14ac:dyDescent="0.25">
      <c r="A235" s="155" t="s">
        <v>196</v>
      </c>
      <c r="B235" s="158">
        <v>659</v>
      </c>
      <c r="C235" s="158">
        <v>949</v>
      </c>
      <c r="D235" s="158">
        <v>550</v>
      </c>
      <c r="E235" s="158">
        <v>7</v>
      </c>
      <c r="F235" s="158">
        <v>692</v>
      </c>
      <c r="G235" s="158">
        <v>17</v>
      </c>
      <c r="H235" s="204">
        <v>1511.5845829189416</v>
      </c>
      <c r="I235" s="204">
        <v>23.967459999999999</v>
      </c>
      <c r="J235" s="204">
        <v>982.31526517814757</v>
      </c>
      <c r="K235" s="204">
        <v>34.861759999999997</v>
      </c>
      <c r="L235" s="204">
        <v>2552.729068097075</v>
      </c>
      <c r="M235" s="209">
        <v>7.5630665975850624E-3</v>
      </c>
    </row>
    <row r="236" spans="1:13" x14ac:dyDescent="0.25">
      <c r="A236" s="156" t="s">
        <v>115</v>
      </c>
      <c r="B236" s="157">
        <v>83</v>
      </c>
      <c r="C236" s="157">
        <v>241</v>
      </c>
      <c r="D236" s="157">
        <v>57</v>
      </c>
      <c r="E236" s="157">
        <v>2</v>
      </c>
      <c r="F236" s="157">
        <v>125</v>
      </c>
      <c r="G236" s="157">
        <v>3</v>
      </c>
      <c r="H236" s="202">
        <v>234.14069593050647</v>
      </c>
      <c r="I236" s="202">
        <v>8.1000000000000014</v>
      </c>
      <c r="J236" s="202">
        <v>239.46207538347284</v>
      </c>
      <c r="K236" s="202">
        <v>5.4</v>
      </c>
      <c r="L236" s="202">
        <v>487.10277131398027</v>
      </c>
      <c r="M236" s="208">
        <v>1.4431577347384142E-3</v>
      </c>
    </row>
    <row r="237" spans="1:13" x14ac:dyDescent="0.25">
      <c r="A237" s="155" t="s">
        <v>195</v>
      </c>
      <c r="B237" s="158">
        <v>83</v>
      </c>
      <c r="C237" s="158">
        <v>241</v>
      </c>
      <c r="D237" s="158">
        <v>57</v>
      </c>
      <c r="E237" s="158">
        <v>2</v>
      </c>
      <c r="F237" s="158">
        <v>125</v>
      </c>
      <c r="G237" s="158">
        <v>3</v>
      </c>
      <c r="H237" s="204">
        <v>234.14069593050647</v>
      </c>
      <c r="I237" s="204">
        <v>8.1000000000000014</v>
      </c>
      <c r="J237" s="204">
        <v>239.46207538347284</v>
      </c>
      <c r="K237" s="204">
        <v>5.4</v>
      </c>
      <c r="L237" s="204">
        <v>487.10277131398027</v>
      </c>
      <c r="M237" s="209">
        <v>1.4431577347384149E-3</v>
      </c>
    </row>
    <row r="238" spans="1:13" x14ac:dyDescent="0.25">
      <c r="A238" s="156" t="s">
        <v>116</v>
      </c>
      <c r="B238" s="157">
        <v>1669</v>
      </c>
      <c r="C238" s="157">
        <v>3134</v>
      </c>
      <c r="D238" s="157">
        <v>1292</v>
      </c>
      <c r="E238" s="157">
        <v>50</v>
      </c>
      <c r="F238" s="157">
        <v>1712</v>
      </c>
      <c r="G238" s="157">
        <v>31</v>
      </c>
      <c r="H238" s="202">
        <v>5276.4290413552117</v>
      </c>
      <c r="I238" s="202">
        <v>248.66403999999989</v>
      </c>
      <c r="J238" s="202">
        <v>3882.0773991798151</v>
      </c>
      <c r="K238" s="202">
        <v>77.031794999999974</v>
      </c>
      <c r="L238" s="202">
        <v>9484.2022755350026</v>
      </c>
      <c r="M238" s="208">
        <v>2.8099203449079561E-2</v>
      </c>
    </row>
    <row r="239" spans="1:13" x14ac:dyDescent="0.25">
      <c r="A239" s="155" t="s">
        <v>194</v>
      </c>
      <c r="B239" s="158">
        <v>1669</v>
      </c>
      <c r="C239" s="158">
        <v>3134</v>
      </c>
      <c r="D239" s="158">
        <v>1292</v>
      </c>
      <c r="E239" s="158">
        <v>50</v>
      </c>
      <c r="F239" s="158">
        <v>1712</v>
      </c>
      <c r="G239" s="158">
        <v>31</v>
      </c>
      <c r="H239" s="204">
        <v>5276.4290413552117</v>
      </c>
      <c r="I239" s="204">
        <v>248.66403999999989</v>
      </c>
      <c r="J239" s="204">
        <v>3882.0773991798151</v>
      </c>
      <c r="K239" s="204">
        <v>77.031794999999974</v>
      </c>
      <c r="L239" s="204">
        <v>9484.2022755350026</v>
      </c>
      <c r="M239" s="209">
        <v>2.8099203449079575E-2</v>
      </c>
    </row>
    <row r="240" spans="1:13" x14ac:dyDescent="0.25">
      <c r="A240" s="156" t="s">
        <v>538</v>
      </c>
      <c r="B240" s="157">
        <v>42</v>
      </c>
      <c r="C240" s="157">
        <v>87</v>
      </c>
      <c r="D240" s="157">
        <v>24</v>
      </c>
      <c r="E240" s="157">
        <v>10</v>
      </c>
      <c r="F240" s="157">
        <v>44</v>
      </c>
      <c r="G240" s="157">
        <v>11</v>
      </c>
      <c r="H240" s="202">
        <v>67.027864996450816</v>
      </c>
      <c r="I240" s="202">
        <v>42.21817200000001</v>
      </c>
      <c r="J240" s="202">
        <v>73.961782065049178</v>
      </c>
      <c r="K240" s="202">
        <v>21.109086000000001</v>
      </c>
      <c r="L240" s="202">
        <v>204.31690506150002</v>
      </c>
      <c r="M240" s="208">
        <v>6.0533739334292145E-4</v>
      </c>
    </row>
    <row r="241" spans="1:13" x14ac:dyDescent="0.25">
      <c r="A241" s="155" t="s">
        <v>381</v>
      </c>
      <c r="B241" s="158">
        <v>42</v>
      </c>
      <c r="C241" s="158">
        <v>87</v>
      </c>
      <c r="D241" s="158">
        <v>24</v>
      </c>
      <c r="E241" s="158">
        <v>10</v>
      </c>
      <c r="F241" s="158">
        <v>44</v>
      </c>
      <c r="G241" s="158">
        <v>11</v>
      </c>
      <c r="H241" s="204">
        <v>67.027864996450816</v>
      </c>
      <c r="I241" s="204">
        <v>42.21817200000001</v>
      </c>
      <c r="J241" s="204">
        <v>73.961782065049178</v>
      </c>
      <c r="K241" s="204">
        <v>21.109086000000001</v>
      </c>
      <c r="L241" s="204">
        <v>204.31690506150002</v>
      </c>
      <c r="M241" s="209">
        <v>6.0533739334292177E-4</v>
      </c>
    </row>
    <row r="242" spans="1:13" x14ac:dyDescent="0.25">
      <c r="A242" s="156" t="s">
        <v>117</v>
      </c>
      <c r="B242" s="157">
        <v>117</v>
      </c>
      <c r="C242" s="157">
        <v>186</v>
      </c>
      <c r="D242" s="157">
        <v>95</v>
      </c>
      <c r="E242" s="157">
        <v>3</v>
      </c>
      <c r="F242" s="157">
        <v>138</v>
      </c>
      <c r="G242" s="157">
        <v>6</v>
      </c>
      <c r="H242" s="202">
        <v>332.77788007298642</v>
      </c>
      <c r="I242" s="202">
        <v>9.2519039999999997</v>
      </c>
      <c r="J242" s="202">
        <v>209.6956504569502</v>
      </c>
      <c r="K242" s="202">
        <v>8.0954160000000002</v>
      </c>
      <c r="L242" s="202">
        <v>559.82085052993739</v>
      </c>
      <c r="M242" s="208">
        <v>1.6586023280687689E-3</v>
      </c>
    </row>
    <row r="243" spans="1:13" x14ac:dyDescent="0.25">
      <c r="A243" s="155" t="s">
        <v>193</v>
      </c>
      <c r="B243" s="158">
        <v>117</v>
      </c>
      <c r="C243" s="158">
        <v>186</v>
      </c>
      <c r="D243" s="158">
        <v>95</v>
      </c>
      <c r="E243" s="158">
        <v>3</v>
      </c>
      <c r="F243" s="158">
        <v>138</v>
      </c>
      <c r="G243" s="158">
        <v>6</v>
      </c>
      <c r="H243" s="204">
        <v>332.77788007298642</v>
      </c>
      <c r="I243" s="204">
        <v>9.2519039999999997</v>
      </c>
      <c r="J243" s="204">
        <v>209.6956504569502</v>
      </c>
      <c r="K243" s="204">
        <v>8.0954160000000002</v>
      </c>
      <c r="L243" s="204">
        <v>559.82085052993739</v>
      </c>
      <c r="M243" s="209">
        <v>1.6586023280687698E-3</v>
      </c>
    </row>
    <row r="244" spans="1:13" x14ac:dyDescent="0.25">
      <c r="A244" s="156" t="s">
        <v>131</v>
      </c>
      <c r="B244" s="157">
        <v>29</v>
      </c>
      <c r="C244" s="157">
        <v>8</v>
      </c>
      <c r="D244" s="157">
        <v>23</v>
      </c>
      <c r="E244" s="157">
        <v>1</v>
      </c>
      <c r="F244" s="157">
        <v>7</v>
      </c>
      <c r="G244" s="157"/>
      <c r="H244" s="202">
        <v>64.083496473092708</v>
      </c>
      <c r="I244" s="202">
        <v>4.4848480000000004</v>
      </c>
      <c r="J244" s="202">
        <v>11.048878702257365</v>
      </c>
      <c r="K244" s="202"/>
      <c r="L244" s="202">
        <v>79.617223175350091</v>
      </c>
      <c r="M244" s="208">
        <v>2.3588494710049141E-4</v>
      </c>
    </row>
    <row r="245" spans="1:13" x14ac:dyDescent="0.25">
      <c r="A245" s="155" t="s">
        <v>252</v>
      </c>
      <c r="B245" s="158">
        <v>29</v>
      </c>
      <c r="C245" s="158">
        <v>8</v>
      </c>
      <c r="D245" s="158">
        <v>23</v>
      </c>
      <c r="E245" s="158">
        <v>1</v>
      </c>
      <c r="F245" s="158">
        <v>7</v>
      </c>
      <c r="G245" s="158"/>
      <c r="H245" s="204">
        <v>64.083496473092708</v>
      </c>
      <c r="I245" s="204">
        <v>4.4848480000000004</v>
      </c>
      <c r="J245" s="204">
        <v>11.048878702257365</v>
      </c>
      <c r="K245" s="204"/>
      <c r="L245" s="204">
        <v>79.617223175350091</v>
      </c>
      <c r="M245" s="209">
        <v>2.3588494710049155E-4</v>
      </c>
    </row>
    <row r="246" spans="1:13" ht="24" x14ac:dyDescent="0.25">
      <c r="A246" s="156" t="s">
        <v>439</v>
      </c>
      <c r="B246" s="157">
        <v>463</v>
      </c>
      <c r="C246" s="157">
        <v>1185</v>
      </c>
      <c r="D246" s="157">
        <v>404</v>
      </c>
      <c r="E246" s="157">
        <v>2</v>
      </c>
      <c r="F246" s="157">
        <v>915</v>
      </c>
      <c r="G246" s="157">
        <v>6</v>
      </c>
      <c r="H246" s="202">
        <v>1075.2587424949222</v>
      </c>
      <c r="I246" s="202">
        <v>4.3511519999999999</v>
      </c>
      <c r="J246" s="202">
        <v>1347.859550451386</v>
      </c>
      <c r="K246" s="202">
        <v>7.6145160000000001</v>
      </c>
      <c r="L246" s="202">
        <v>2435.0839609463314</v>
      </c>
      <c r="M246" s="208">
        <v>7.2145150057295344E-3</v>
      </c>
    </row>
    <row r="247" spans="1:13" x14ac:dyDescent="0.25">
      <c r="A247" s="155" t="s">
        <v>192</v>
      </c>
      <c r="B247" s="158">
        <v>463</v>
      </c>
      <c r="C247" s="158">
        <v>1185</v>
      </c>
      <c r="D247" s="158">
        <v>404</v>
      </c>
      <c r="E247" s="158">
        <v>2</v>
      </c>
      <c r="F247" s="158">
        <v>915</v>
      </c>
      <c r="G247" s="158">
        <v>6</v>
      </c>
      <c r="H247" s="204">
        <v>1075.2587424949222</v>
      </c>
      <c r="I247" s="204">
        <v>4.3511519999999999</v>
      </c>
      <c r="J247" s="204">
        <v>1347.859550451386</v>
      </c>
      <c r="K247" s="204">
        <v>7.6145160000000001</v>
      </c>
      <c r="L247" s="204">
        <v>2435.0839609463314</v>
      </c>
      <c r="M247" s="209">
        <v>7.2145150057295387E-3</v>
      </c>
    </row>
    <row r="248" spans="1:13" x14ac:dyDescent="0.25">
      <c r="A248" s="156" t="s">
        <v>119</v>
      </c>
      <c r="B248" s="157">
        <v>960</v>
      </c>
      <c r="C248" s="157">
        <v>1695</v>
      </c>
      <c r="D248" s="157">
        <v>730</v>
      </c>
      <c r="E248" s="157">
        <v>44</v>
      </c>
      <c r="F248" s="157">
        <v>1059</v>
      </c>
      <c r="G248" s="157">
        <v>19</v>
      </c>
      <c r="H248" s="202">
        <v>2723.7230706816526</v>
      </c>
      <c r="I248" s="202">
        <v>210.44939199999999</v>
      </c>
      <c r="J248" s="202">
        <v>2017.348270767327</v>
      </c>
      <c r="K248" s="202">
        <v>42.346523999999988</v>
      </c>
      <c r="L248" s="202">
        <v>4993.867257448981</v>
      </c>
      <c r="M248" s="208">
        <v>1.4795518693936782E-2</v>
      </c>
    </row>
    <row r="249" spans="1:13" x14ac:dyDescent="0.25">
      <c r="A249" s="155" t="s">
        <v>191</v>
      </c>
      <c r="B249" s="158">
        <v>960</v>
      </c>
      <c r="C249" s="158">
        <v>1695</v>
      </c>
      <c r="D249" s="158">
        <v>730</v>
      </c>
      <c r="E249" s="158">
        <v>44</v>
      </c>
      <c r="F249" s="158">
        <v>1059</v>
      </c>
      <c r="G249" s="158">
        <v>19</v>
      </c>
      <c r="H249" s="204">
        <v>2723.7230706816526</v>
      </c>
      <c r="I249" s="204">
        <v>210.44939199999999</v>
      </c>
      <c r="J249" s="204">
        <v>2017.348270767327</v>
      </c>
      <c r="K249" s="204">
        <v>42.346523999999988</v>
      </c>
      <c r="L249" s="204">
        <v>4993.867257448981</v>
      </c>
      <c r="M249" s="209">
        <v>1.4795518693936789E-2</v>
      </c>
    </row>
    <row r="250" spans="1:13" ht="24" x14ac:dyDescent="0.25">
      <c r="A250" s="156" t="s">
        <v>120</v>
      </c>
      <c r="B250" s="157">
        <v>373</v>
      </c>
      <c r="C250" s="157">
        <v>592</v>
      </c>
      <c r="D250" s="157">
        <v>283</v>
      </c>
      <c r="E250" s="157">
        <v>12</v>
      </c>
      <c r="F250" s="157">
        <v>314</v>
      </c>
      <c r="G250" s="157">
        <v>9</v>
      </c>
      <c r="H250" s="202">
        <v>1199.5291690973306</v>
      </c>
      <c r="I250" s="202">
        <v>55.749624000000004</v>
      </c>
      <c r="J250" s="202">
        <v>685.25734331108526</v>
      </c>
      <c r="K250" s="202">
        <v>18.583208000000003</v>
      </c>
      <c r="L250" s="202">
        <v>1959.1193444084083</v>
      </c>
      <c r="M250" s="208">
        <v>5.8043567018348828E-3</v>
      </c>
    </row>
    <row r="251" spans="1:13" x14ac:dyDescent="0.25">
      <c r="A251" s="155" t="s">
        <v>190</v>
      </c>
      <c r="B251" s="158">
        <v>373</v>
      </c>
      <c r="C251" s="158">
        <v>592</v>
      </c>
      <c r="D251" s="158">
        <v>283</v>
      </c>
      <c r="E251" s="158">
        <v>12</v>
      </c>
      <c r="F251" s="158">
        <v>314</v>
      </c>
      <c r="G251" s="158">
        <v>9</v>
      </c>
      <c r="H251" s="204">
        <v>1199.5291690973306</v>
      </c>
      <c r="I251" s="204">
        <v>55.749624000000004</v>
      </c>
      <c r="J251" s="204">
        <v>685.25734331108526</v>
      </c>
      <c r="K251" s="204">
        <v>18.583208000000003</v>
      </c>
      <c r="L251" s="204">
        <v>1959.1193444084083</v>
      </c>
      <c r="M251" s="209">
        <v>5.8043567018348854E-3</v>
      </c>
    </row>
    <row r="252" spans="1:13" ht="24" x14ac:dyDescent="0.25">
      <c r="A252" s="156" t="s">
        <v>499</v>
      </c>
      <c r="B252" s="157">
        <v>13</v>
      </c>
      <c r="C252" s="157">
        <v>8</v>
      </c>
      <c r="D252" s="157">
        <v>9</v>
      </c>
      <c r="E252" s="157"/>
      <c r="F252" s="157">
        <v>7</v>
      </c>
      <c r="G252" s="157"/>
      <c r="H252" s="202">
        <v>29.172744487003435</v>
      </c>
      <c r="I252" s="202"/>
      <c r="J252" s="202">
        <v>10.09825770703965</v>
      </c>
      <c r="K252" s="202"/>
      <c r="L252" s="202">
        <v>39.271002194043078</v>
      </c>
      <c r="M252" s="208">
        <v>1.1634967794246236E-4</v>
      </c>
    </row>
    <row r="253" spans="1:13" x14ac:dyDescent="0.25">
      <c r="A253" s="155" t="s">
        <v>189</v>
      </c>
      <c r="B253" s="158">
        <v>13</v>
      </c>
      <c r="C253" s="158">
        <v>8</v>
      </c>
      <c r="D253" s="158">
        <v>9</v>
      </c>
      <c r="E253" s="158"/>
      <c r="F253" s="158">
        <v>7</v>
      </c>
      <c r="G253" s="158"/>
      <c r="H253" s="204">
        <v>29.172744487003435</v>
      </c>
      <c r="I253" s="204"/>
      <c r="J253" s="204">
        <v>10.09825770703965</v>
      </c>
      <c r="K253" s="204"/>
      <c r="L253" s="204">
        <v>39.271002194043078</v>
      </c>
      <c r="M253" s="209">
        <v>1.1634967794246243E-4</v>
      </c>
    </row>
    <row r="254" spans="1:13" x14ac:dyDescent="0.25">
      <c r="A254" s="156" t="s">
        <v>122</v>
      </c>
      <c r="B254" s="157">
        <v>1029</v>
      </c>
      <c r="C254" s="157">
        <v>2470</v>
      </c>
      <c r="D254" s="157">
        <v>814</v>
      </c>
      <c r="E254" s="157">
        <v>28</v>
      </c>
      <c r="F254" s="157">
        <v>1353</v>
      </c>
      <c r="G254" s="157">
        <v>17</v>
      </c>
      <c r="H254" s="202">
        <v>3403.9896182069838</v>
      </c>
      <c r="I254" s="202">
        <v>146.583324</v>
      </c>
      <c r="J254" s="202">
        <v>3073.3086283335865</v>
      </c>
      <c r="K254" s="202">
        <v>40.717590000000001</v>
      </c>
      <c r="L254" s="202">
        <v>6664.5991605404843</v>
      </c>
      <c r="M254" s="208">
        <v>1.9745459056863909E-2</v>
      </c>
    </row>
    <row r="255" spans="1:13" x14ac:dyDescent="0.25">
      <c r="A255" s="155" t="s">
        <v>185</v>
      </c>
      <c r="B255" s="158">
        <v>1029</v>
      </c>
      <c r="C255" s="158">
        <v>2470</v>
      </c>
      <c r="D255" s="158">
        <v>814</v>
      </c>
      <c r="E255" s="158">
        <v>28</v>
      </c>
      <c r="F255" s="158">
        <v>1353</v>
      </c>
      <c r="G255" s="158">
        <v>17</v>
      </c>
      <c r="H255" s="204">
        <v>3403.9896182069838</v>
      </c>
      <c r="I255" s="204">
        <v>146.583324</v>
      </c>
      <c r="J255" s="204">
        <v>3073.3086283335865</v>
      </c>
      <c r="K255" s="204">
        <v>40.717590000000001</v>
      </c>
      <c r="L255" s="204">
        <v>6664.5991605404843</v>
      </c>
      <c r="M255" s="209">
        <v>1.974545905686392E-2</v>
      </c>
    </row>
    <row r="256" spans="1:13" x14ac:dyDescent="0.25">
      <c r="A256" s="156" t="s">
        <v>123</v>
      </c>
      <c r="B256" s="157">
        <v>118</v>
      </c>
      <c r="C256" s="157">
        <v>48</v>
      </c>
      <c r="D256" s="157">
        <v>104</v>
      </c>
      <c r="E256" s="157">
        <v>3</v>
      </c>
      <c r="F256" s="157">
        <v>40</v>
      </c>
      <c r="G256" s="157">
        <v>1</v>
      </c>
      <c r="H256" s="202">
        <v>284.68877668800451</v>
      </c>
      <c r="I256" s="202">
        <v>12.769224000000001</v>
      </c>
      <c r="J256" s="202">
        <v>68.536186980445521</v>
      </c>
      <c r="K256" s="202">
        <v>1.0641020000000001</v>
      </c>
      <c r="L256" s="202">
        <v>367.05828966844996</v>
      </c>
      <c r="M256" s="208">
        <v>1.087497425658094E-3</v>
      </c>
    </row>
    <row r="257" spans="1:13" x14ac:dyDescent="0.25">
      <c r="A257" s="155" t="s">
        <v>184</v>
      </c>
      <c r="B257" s="158">
        <v>118</v>
      </c>
      <c r="C257" s="158">
        <v>48</v>
      </c>
      <c r="D257" s="158">
        <v>104</v>
      </c>
      <c r="E257" s="158">
        <v>3</v>
      </c>
      <c r="F257" s="158">
        <v>40</v>
      </c>
      <c r="G257" s="158">
        <v>1</v>
      </c>
      <c r="H257" s="204">
        <v>284.68877668800451</v>
      </c>
      <c r="I257" s="204">
        <v>12.769224000000001</v>
      </c>
      <c r="J257" s="204">
        <v>68.536186980445521</v>
      </c>
      <c r="K257" s="204">
        <v>1.0641020000000001</v>
      </c>
      <c r="L257" s="204">
        <v>367.05828966844996</v>
      </c>
      <c r="M257" s="209">
        <v>1.0874974256580947E-3</v>
      </c>
    </row>
    <row r="258" spans="1:13" x14ac:dyDescent="0.25">
      <c r="A258" s="156" t="s">
        <v>124</v>
      </c>
      <c r="B258" s="157">
        <v>618</v>
      </c>
      <c r="C258" s="157">
        <v>1020</v>
      </c>
      <c r="D258" s="157">
        <v>483</v>
      </c>
      <c r="E258" s="157">
        <v>15</v>
      </c>
      <c r="F258" s="157">
        <v>591</v>
      </c>
      <c r="G258" s="157">
        <v>10</v>
      </c>
      <c r="H258" s="202">
        <v>1758.5047613393265</v>
      </c>
      <c r="I258" s="202">
        <v>69.812117999999998</v>
      </c>
      <c r="J258" s="202">
        <v>1138.8536028555136</v>
      </c>
      <c r="K258" s="202">
        <v>20.685072000000002</v>
      </c>
      <c r="L258" s="202">
        <v>2987.8555541948544</v>
      </c>
      <c r="M258" s="208">
        <v>8.8522322336327033E-3</v>
      </c>
    </row>
    <row r="259" spans="1:13" x14ac:dyDescent="0.25">
      <c r="A259" s="155" t="s">
        <v>179</v>
      </c>
      <c r="B259" s="158">
        <v>618</v>
      </c>
      <c r="C259" s="158">
        <v>1020</v>
      </c>
      <c r="D259" s="158">
        <v>483</v>
      </c>
      <c r="E259" s="158">
        <v>15</v>
      </c>
      <c r="F259" s="158">
        <v>591</v>
      </c>
      <c r="G259" s="158">
        <v>10</v>
      </c>
      <c r="H259" s="204">
        <v>1758.5047613393265</v>
      </c>
      <c r="I259" s="204">
        <v>69.812117999999998</v>
      </c>
      <c r="J259" s="204">
        <v>1138.8536028555136</v>
      </c>
      <c r="K259" s="204">
        <v>20.685072000000002</v>
      </c>
      <c r="L259" s="204">
        <v>2987.8555541948544</v>
      </c>
      <c r="M259" s="209">
        <v>8.8522322336327067E-3</v>
      </c>
    </row>
    <row r="260" spans="1:13" ht="24" x14ac:dyDescent="0.25">
      <c r="A260" s="156" t="s">
        <v>125</v>
      </c>
      <c r="B260" s="157">
        <v>579</v>
      </c>
      <c r="C260" s="157">
        <v>1095</v>
      </c>
      <c r="D260" s="157">
        <v>430</v>
      </c>
      <c r="E260" s="157">
        <v>14</v>
      </c>
      <c r="F260" s="157">
        <v>635</v>
      </c>
      <c r="G260" s="157">
        <v>4</v>
      </c>
      <c r="H260" s="202">
        <v>1745.9051474362709</v>
      </c>
      <c r="I260" s="202">
        <v>69.588882000000012</v>
      </c>
      <c r="J260" s="202">
        <v>1313.4210217375007</v>
      </c>
      <c r="K260" s="202">
        <v>9.0207809999999995</v>
      </c>
      <c r="L260" s="202">
        <v>3137.9358321738005</v>
      </c>
      <c r="M260" s="208">
        <v>9.296880728267105E-3</v>
      </c>
    </row>
    <row r="261" spans="1:13" x14ac:dyDescent="0.25">
      <c r="A261" s="155" t="s">
        <v>177</v>
      </c>
      <c r="B261" s="158">
        <v>579</v>
      </c>
      <c r="C261" s="158">
        <v>1095</v>
      </c>
      <c r="D261" s="158">
        <v>430</v>
      </c>
      <c r="E261" s="158">
        <v>14</v>
      </c>
      <c r="F261" s="158">
        <v>635</v>
      </c>
      <c r="G261" s="158">
        <v>4</v>
      </c>
      <c r="H261" s="204">
        <v>1745.9051474362709</v>
      </c>
      <c r="I261" s="204">
        <v>69.588882000000012</v>
      </c>
      <c r="J261" s="204">
        <v>1313.4210217375007</v>
      </c>
      <c r="K261" s="204">
        <v>9.0207809999999995</v>
      </c>
      <c r="L261" s="204">
        <v>3137.9358321738005</v>
      </c>
      <c r="M261" s="209">
        <v>9.2968807282671102E-3</v>
      </c>
    </row>
    <row r="262" spans="1:13" x14ac:dyDescent="0.25">
      <c r="A262" s="37" t="s">
        <v>13</v>
      </c>
      <c r="B262" s="159">
        <v>67983</v>
      </c>
      <c r="C262" s="159">
        <v>113597</v>
      </c>
      <c r="D262" s="159">
        <v>52500</v>
      </c>
      <c r="E262" s="159">
        <v>2062</v>
      </c>
      <c r="F262" s="159">
        <v>67183</v>
      </c>
      <c r="G262" s="159">
        <v>1405</v>
      </c>
      <c r="H262" s="206">
        <v>192234.31070529154</v>
      </c>
      <c r="I262" s="206">
        <v>9407.4019460000018</v>
      </c>
      <c r="J262" s="206">
        <v>132780.74864009616</v>
      </c>
      <c r="K262" s="206">
        <v>3103.2017659999992</v>
      </c>
      <c r="L262" s="206">
        <v>337525.66305738711</v>
      </c>
      <c r="M262" s="210">
        <v>1</v>
      </c>
    </row>
    <row r="263" spans="1:13" s="144" customFormat="1" x14ac:dyDescent="0.25"/>
    <row r="264" spans="1:13" s="144" customFormat="1" x14ac:dyDescent="0.25"/>
    <row r="265" spans="1:13" x14ac:dyDescent="0.25">
      <c r="A265" t="s">
        <v>485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17">
    <tabColor theme="9" tint="0.59999389629810485"/>
  </sheetPr>
  <dimension ref="A1:I265"/>
  <sheetViews>
    <sheetView zoomScale="90" zoomScaleNormal="90" workbookViewId="0">
      <pane xSplit="1" ySplit="3" topLeftCell="B24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5" x14ac:dyDescent="0.25"/>
  <cols>
    <col min="1" max="1" width="48.5703125" customWidth="1"/>
    <col min="2" max="9" width="17.42578125" customWidth="1"/>
  </cols>
  <sheetData>
    <row r="1" spans="1:9" x14ac:dyDescent="0.25">
      <c r="A1" s="198"/>
      <c r="B1" s="199" t="s">
        <v>12</v>
      </c>
      <c r="C1" s="199"/>
      <c r="D1" s="199"/>
      <c r="E1" s="199"/>
      <c r="F1" s="199"/>
      <c r="G1" s="199"/>
      <c r="H1" s="199"/>
      <c r="I1" s="199"/>
    </row>
    <row r="2" spans="1:9" ht="15" customHeight="1" x14ac:dyDescent="0.25">
      <c r="A2" s="200"/>
      <c r="B2" s="284" t="s">
        <v>14</v>
      </c>
      <c r="C2" s="284"/>
      <c r="D2" s="284"/>
      <c r="E2" s="284"/>
      <c r="F2" s="284"/>
      <c r="G2" s="284"/>
      <c r="H2" s="284"/>
      <c r="I2" s="284"/>
    </row>
    <row r="3" spans="1:9" ht="24" x14ac:dyDescent="0.25">
      <c r="A3" s="201" t="s">
        <v>12</v>
      </c>
      <c r="B3" s="201" t="s">
        <v>405</v>
      </c>
      <c r="C3" s="201" t="s">
        <v>406</v>
      </c>
      <c r="D3" s="201" t="s">
        <v>407</v>
      </c>
      <c r="E3" s="201" t="s">
        <v>408</v>
      </c>
      <c r="F3" s="201" t="s">
        <v>409</v>
      </c>
      <c r="G3" s="201" t="s">
        <v>410</v>
      </c>
      <c r="H3" s="201" t="s">
        <v>411</v>
      </c>
      <c r="I3" s="201" t="s">
        <v>412</v>
      </c>
    </row>
    <row r="4" spans="1:9" ht="15" customHeight="1" x14ac:dyDescent="0.25">
      <c r="A4" s="156" t="s">
        <v>380</v>
      </c>
      <c r="B4" s="157">
        <v>4265</v>
      </c>
      <c r="C4" s="157">
        <v>1560</v>
      </c>
      <c r="D4" s="216">
        <v>0.36576787807737399</v>
      </c>
      <c r="E4" s="217">
        <v>2.1104049572935857</v>
      </c>
      <c r="F4" s="217">
        <v>4.3402240000000001</v>
      </c>
      <c r="G4" s="157">
        <v>27083</v>
      </c>
      <c r="H4" s="157">
        <v>57156.097458382181</v>
      </c>
      <c r="I4" s="208">
        <v>3.2873831758044994E-2</v>
      </c>
    </row>
    <row r="5" spans="1:9" ht="15" customHeight="1" x14ac:dyDescent="0.25">
      <c r="A5" s="155" t="s">
        <v>379</v>
      </c>
      <c r="B5" s="158">
        <v>4265</v>
      </c>
      <c r="C5" s="158">
        <v>1560</v>
      </c>
      <c r="D5" s="218">
        <v>0.36576787807737399</v>
      </c>
      <c r="E5" s="219">
        <v>2.1104049572935857</v>
      </c>
      <c r="F5" s="219">
        <v>4.3402240000000001</v>
      </c>
      <c r="G5" s="158">
        <v>27083</v>
      </c>
      <c r="H5" s="158">
        <v>57156.097458382181</v>
      </c>
      <c r="I5" s="209">
        <v>3.2873831758044994E-2</v>
      </c>
    </row>
    <row r="6" spans="1:9" ht="15" customHeight="1" x14ac:dyDescent="0.25">
      <c r="A6" s="156" t="s">
        <v>15</v>
      </c>
      <c r="B6" s="157">
        <v>362</v>
      </c>
      <c r="C6" s="157">
        <v>184</v>
      </c>
      <c r="D6" s="216">
        <v>0.50828729281767959</v>
      </c>
      <c r="E6" s="217">
        <v>1.8196653512233623</v>
      </c>
      <c r="F6" s="217">
        <v>4.5584235000000008</v>
      </c>
      <c r="G6" s="157">
        <v>3355</v>
      </c>
      <c r="H6" s="157">
        <v>6104.9772533543801</v>
      </c>
      <c r="I6" s="208">
        <v>3.5113313196303763E-3</v>
      </c>
    </row>
    <row r="7" spans="1:9" ht="15" customHeight="1" x14ac:dyDescent="0.25">
      <c r="A7" s="155" t="s">
        <v>321</v>
      </c>
      <c r="B7" s="158">
        <v>362</v>
      </c>
      <c r="C7" s="158">
        <v>184</v>
      </c>
      <c r="D7" s="218">
        <v>0.50828729281767959</v>
      </c>
      <c r="E7" s="219">
        <v>1.8196653512233623</v>
      </c>
      <c r="F7" s="219">
        <v>4.5584235000000008</v>
      </c>
      <c r="G7" s="158">
        <v>3355</v>
      </c>
      <c r="H7" s="158">
        <v>6104.9772533543801</v>
      </c>
      <c r="I7" s="209">
        <v>3.5113313196303763E-3</v>
      </c>
    </row>
    <row r="8" spans="1:9" ht="15" customHeight="1" x14ac:dyDescent="0.25">
      <c r="A8" s="156" t="s">
        <v>16</v>
      </c>
      <c r="B8" s="157">
        <v>21</v>
      </c>
      <c r="C8" s="157">
        <v>21</v>
      </c>
      <c r="D8" s="216">
        <v>1</v>
      </c>
      <c r="E8" s="217">
        <v>1</v>
      </c>
      <c r="F8" s="217">
        <v>4.3809519999999997</v>
      </c>
      <c r="G8" s="157">
        <v>368</v>
      </c>
      <c r="H8" s="157">
        <v>368</v>
      </c>
      <c r="I8" s="208">
        <v>2.1165843409391832E-4</v>
      </c>
    </row>
    <row r="9" spans="1:9" ht="15" customHeight="1" x14ac:dyDescent="0.25">
      <c r="A9" s="155" t="s">
        <v>320</v>
      </c>
      <c r="B9" s="158">
        <v>21</v>
      </c>
      <c r="C9" s="158">
        <v>21</v>
      </c>
      <c r="D9" s="218">
        <v>1</v>
      </c>
      <c r="E9" s="219">
        <v>1</v>
      </c>
      <c r="F9" s="219">
        <v>4.3809519999999997</v>
      </c>
      <c r="G9" s="158">
        <v>368</v>
      </c>
      <c r="H9" s="158">
        <v>368</v>
      </c>
      <c r="I9" s="209">
        <v>2.1165843409391832E-4</v>
      </c>
    </row>
    <row r="10" spans="1:9" ht="15" customHeight="1" x14ac:dyDescent="0.25">
      <c r="A10" s="156" t="s">
        <v>488</v>
      </c>
      <c r="B10" s="157">
        <v>483</v>
      </c>
      <c r="C10" s="157">
        <v>331</v>
      </c>
      <c r="D10" s="216">
        <v>0.68530020703933747</v>
      </c>
      <c r="E10" s="217">
        <v>1.4585590062111802</v>
      </c>
      <c r="F10" s="217">
        <v>4.2877637499999999</v>
      </c>
      <c r="G10" s="157">
        <v>5677</v>
      </c>
      <c r="H10" s="157">
        <v>8280.2394782608699</v>
      </c>
      <c r="I10" s="208">
        <v>4.7624525051395078E-3</v>
      </c>
    </row>
    <row r="11" spans="1:9" ht="15" customHeight="1" x14ac:dyDescent="0.25">
      <c r="A11" s="155" t="s">
        <v>487</v>
      </c>
      <c r="B11" s="158">
        <v>483</v>
      </c>
      <c r="C11" s="158">
        <v>331</v>
      </c>
      <c r="D11" s="218">
        <v>0.68530020703933747</v>
      </c>
      <c r="E11" s="219">
        <v>1.4585590062111802</v>
      </c>
      <c r="F11" s="219">
        <v>4.2877637499999999</v>
      </c>
      <c r="G11" s="158">
        <v>5677</v>
      </c>
      <c r="H11" s="158">
        <v>8280.2394782608699</v>
      </c>
      <c r="I11" s="209">
        <v>4.7624525051395078E-3</v>
      </c>
    </row>
    <row r="12" spans="1:9" ht="15" customHeight="1" x14ac:dyDescent="0.25">
      <c r="A12" s="156" t="s">
        <v>17</v>
      </c>
      <c r="B12" s="157">
        <v>343</v>
      </c>
      <c r="C12" s="157">
        <v>234</v>
      </c>
      <c r="D12" s="216">
        <v>0.68221574344023328</v>
      </c>
      <c r="E12" s="217">
        <v>1.4648513119533528</v>
      </c>
      <c r="F12" s="217">
        <v>4.3076919999999994</v>
      </c>
      <c r="G12" s="157">
        <v>4032</v>
      </c>
      <c r="H12" s="157">
        <v>5906.2804897959186</v>
      </c>
      <c r="I12" s="208">
        <v>3.3970491298632201E-3</v>
      </c>
    </row>
    <row r="13" spans="1:9" ht="15" customHeight="1" x14ac:dyDescent="0.25">
      <c r="A13" s="155" t="s">
        <v>319</v>
      </c>
      <c r="B13" s="158">
        <v>343</v>
      </c>
      <c r="C13" s="158">
        <v>234</v>
      </c>
      <c r="D13" s="218">
        <v>0.68221574344023328</v>
      </c>
      <c r="E13" s="219">
        <v>1.4648513119533528</v>
      </c>
      <c r="F13" s="219">
        <v>4.3076919999999994</v>
      </c>
      <c r="G13" s="158">
        <v>4032</v>
      </c>
      <c r="H13" s="158">
        <v>5906.2804897959186</v>
      </c>
      <c r="I13" s="209">
        <v>3.3970491298632201E-3</v>
      </c>
    </row>
    <row r="14" spans="1:9" ht="15" customHeight="1" x14ac:dyDescent="0.25">
      <c r="A14" s="156" t="s">
        <v>493</v>
      </c>
      <c r="B14" s="157">
        <v>143</v>
      </c>
      <c r="C14" s="157">
        <v>122</v>
      </c>
      <c r="D14" s="216">
        <v>0.85314685314685312</v>
      </c>
      <c r="E14" s="217">
        <v>1.1721311475409837</v>
      </c>
      <c r="F14" s="217">
        <v>4.6413927500000005</v>
      </c>
      <c r="G14" s="157">
        <v>2265</v>
      </c>
      <c r="H14" s="157">
        <v>2654.877049180328</v>
      </c>
      <c r="I14" s="208">
        <v>1.5269758666885619E-3</v>
      </c>
    </row>
    <row r="15" spans="1:9" ht="15" customHeight="1" x14ac:dyDescent="0.25">
      <c r="A15" s="155" t="s">
        <v>317</v>
      </c>
      <c r="B15" s="158">
        <v>143</v>
      </c>
      <c r="C15" s="158">
        <v>122</v>
      </c>
      <c r="D15" s="218">
        <v>0.85314685314685312</v>
      </c>
      <c r="E15" s="219">
        <v>1.1721311475409837</v>
      </c>
      <c r="F15" s="219">
        <v>4.6413927500000005</v>
      </c>
      <c r="G15" s="158">
        <v>2265</v>
      </c>
      <c r="H15" s="158">
        <v>2654.877049180328</v>
      </c>
      <c r="I15" s="209">
        <v>1.5269758666885619E-3</v>
      </c>
    </row>
    <row r="16" spans="1:9" ht="15" customHeight="1" x14ac:dyDescent="0.25">
      <c r="A16" s="156" t="s">
        <v>19</v>
      </c>
      <c r="B16" s="157">
        <v>1331</v>
      </c>
      <c r="C16" s="157">
        <v>398</v>
      </c>
      <c r="D16" s="216">
        <v>0.29902329075882794</v>
      </c>
      <c r="E16" s="217">
        <v>2.2465639154234194</v>
      </c>
      <c r="F16" s="217">
        <v>4.1388185000000002</v>
      </c>
      <c r="G16" s="157">
        <v>6589</v>
      </c>
      <c r="H16" s="157">
        <v>14802.609638724911</v>
      </c>
      <c r="I16" s="208">
        <v>8.513851023467545E-3</v>
      </c>
    </row>
    <row r="17" spans="1:9" ht="15" customHeight="1" x14ac:dyDescent="0.25">
      <c r="A17" s="155" t="s">
        <v>316</v>
      </c>
      <c r="B17" s="158">
        <v>1331</v>
      </c>
      <c r="C17" s="158">
        <v>398</v>
      </c>
      <c r="D17" s="218">
        <v>0.29902329075882794</v>
      </c>
      <c r="E17" s="219">
        <v>2.2465639154234194</v>
      </c>
      <c r="F17" s="219">
        <v>4.1388185000000002</v>
      </c>
      <c r="G17" s="158">
        <v>6589</v>
      </c>
      <c r="H17" s="158">
        <v>14802.609638724911</v>
      </c>
      <c r="I17" s="209">
        <v>8.513851023467545E-3</v>
      </c>
    </row>
    <row r="18" spans="1:9" ht="15" customHeight="1" x14ac:dyDescent="0.25">
      <c r="A18" s="156" t="s">
        <v>148</v>
      </c>
      <c r="B18" s="157">
        <v>2705</v>
      </c>
      <c r="C18" s="157">
        <v>965</v>
      </c>
      <c r="D18" s="216">
        <v>0.35674676524953791</v>
      </c>
      <c r="E18" s="217">
        <v>2.1288080274623713</v>
      </c>
      <c r="F18" s="217">
        <v>4.4458545000000003</v>
      </c>
      <c r="G18" s="157">
        <v>17161</v>
      </c>
      <c r="H18" s="157">
        <v>36532.474559281756</v>
      </c>
      <c r="I18" s="208">
        <v>2.1011973801069252E-2</v>
      </c>
    </row>
    <row r="19" spans="1:9" ht="15" customHeight="1" x14ac:dyDescent="0.25">
      <c r="A19" s="155" t="s">
        <v>175</v>
      </c>
      <c r="B19" s="158">
        <v>2705</v>
      </c>
      <c r="C19" s="158">
        <v>965</v>
      </c>
      <c r="D19" s="218">
        <v>0.35674676524953791</v>
      </c>
      <c r="E19" s="219">
        <v>2.1288080274623713</v>
      </c>
      <c r="F19" s="219">
        <v>4.4458545000000003</v>
      </c>
      <c r="G19" s="158">
        <v>17161</v>
      </c>
      <c r="H19" s="158">
        <v>36532.474559281756</v>
      </c>
      <c r="I19" s="209">
        <v>2.1011973801069252E-2</v>
      </c>
    </row>
    <row r="20" spans="1:9" ht="15" customHeight="1" x14ac:dyDescent="0.25">
      <c r="A20" s="156" t="s">
        <v>20</v>
      </c>
      <c r="B20" s="157">
        <v>12</v>
      </c>
      <c r="C20" s="157">
        <v>8</v>
      </c>
      <c r="D20" s="216">
        <v>0.66666666666666663</v>
      </c>
      <c r="E20" s="217">
        <v>1.4965714285714287</v>
      </c>
      <c r="F20" s="217">
        <v>3.40625</v>
      </c>
      <c r="G20" s="157">
        <v>109</v>
      </c>
      <c r="H20" s="157">
        <v>163.12628571428573</v>
      </c>
      <c r="I20" s="208">
        <v>9.3823516831094658E-5</v>
      </c>
    </row>
    <row r="21" spans="1:9" ht="15" customHeight="1" x14ac:dyDescent="0.25">
      <c r="A21" s="155" t="s">
        <v>315</v>
      </c>
      <c r="B21" s="158">
        <v>12</v>
      </c>
      <c r="C21" s="158">
        <v>8</v>
      </c>
      <c r="D21" s="218">
        <v>0.66666666666666663</v>
      </c>
      <c r="E21" s="219">
        <v>1.4965714285714287</v>
      </c>
      <c r="F21" s="219">
        <v>3.40625</v>
      </c>
      <c r="G21" s="158">
        <v>109</v>
      </c>
      <c r="H21" s="158">
        <v>163.12628571428573</v>
      </c>
      <c r="I21" s="209">
        <v>9.3823516831094658E-5</v>
      </c>
    </row>
    <row r="22" spans="1:9" ht="15" customHeight="1" x14ac:dyDescent="0.25">
      <c r="A22" s="156" t="s">
        <v>21</v>
      </c>
      <c r="B22" s="157">
        <v>4786</v>
      </c>
      <c r="C22" s="157">
        <v>2563</v>
      </c>
      <c r="D22" s="216">
        <v>0.53552026744671954</v>
      </c>
      <c r="E22" s="217">
        <v>1.7641100829801206</v>
      </c>
      <c r="F22" s="217">
        <v>4.3210099999999994</v>
      </c>
      <c r="G22" s="157">
        <v>44299</v>
      </c>
      <c r="H22" s="157">
        <v>78148.312565936358</v>
      </c>
      <c r="I22" s="208">
        <v>4.4947688763011327E-2</v>
      </c>
    </row>
    <row r="23" spans="1:9" ht="15" customHeight="1" x14ac:dyDescent="0.25">
      <c r="A23" s="155" t="s">
        <v>314</v>
      </c>
      <c r="B23" s="158">
        <v>4786</v>
      </c>
      <c r="C23" s="158">
        <v>2563</v>
      </c>
      <c r="D23" s="218">
        <v>0.53552026744671954</v>
      </c>
      <c r="E23" s="219">
        <v>1.7641100829801206</v>
      </c>
      <c r="F23" s="219">
        <v>4.3210099999999994</v>
      </c>
      <c r="G23" s="158">
        <v>44299</v>
      </c>
      <c r="H23" s="158">
        <v>78148.312565936358</v>
      </c>
      <c r="I23" s="209">
        <v>4.4947688763011327E-2</v>
      </c>
    </row>
    <row r="24" spans="1:9" ht="15" customHeight="1" x14ac:dyDescent="0.25">
      <c r="A24" s="156" t="s">
        <v>22</v>
      </c>
      <c r="B24" s="157">
        <v>1616</v>
      </c>
      <c r="C24" s="157">
        <v>673</v>
      </c>
      <c r="D24" s="216">
        <v>0.41646039603960394</v>
      </c>
      <c r="E24" s="217">
        <v>2.0069922206506368</v>
      </c>
      <c r="F24" s="217">
        <v>4.2756309999999997</v>
      </c>
      <c r="G24" s="157">
        <v>11510</v>
      </c>
      <c r="H24" s="157">
        <v>23100.480459688828</v>
      </c>
      <c r="I24" s="208">
        <v>1.3286444350312216E-2</v>
      </c>
    </row>
    <row r="25" spans="1:9" ht="15" customHeight="1" x14ac:dyDescent="0.25">
      <c r="A25" s="155" t="s">
        <v>313</v>
      </c>
      <c r="B25" s="158">
        <v>1616</v>
      </c>
      <c r="C25" s="158">
        <v>673</v>
      </c>
      <c r="D25" s="218">
        <v>0.41646039603960394</v>
      </c>
      <c r="E25" s="219">
        <v>2.0069922206506368</v>
      </c>
      <c r="F25" s="219">
        <v>4.2756309999999997</v>
      </c>
      <c r="G25" s="158">
        <v>11510</v>
      </c>
      <c r="H25" s="158">
        <v>23100.480459688828</v>
      </c>
      <c r="I25" s="209">
        <v>1.3286444350312216E-2</v>
      </c>
    </row>
    <row r="26" spans="1:9" ht="15" customHeight="1" x14ac:dyDescent="0.25">
      <c r="A26" s="156" t="s">
        <v>23</v>
      </c>
      <c r="B26" s="157">
        <v>1828</v>
      </c>
      <c r="C26" s="157">
        <v>860</v>
      </c>
      <c r="D26" s="216">
        <v>0.47045951859956237</v>
      </c>
      <c r="E26" s="217">
        <v>1.8968340106283215</v>
      </c>
      <c r="F26" s="217">
        <v>4.3587205000000004</v>
      </c>
      <c r="G26" s="157">
        <v>14994</v>
      </c>
      <c r="H26" s="157">
        <v>28441.129155361054</v>
      </c>
      <c r="I26" s="208">
        <v>1.6358165382844039E-2</v>
      </c>
    </row>
    <row r="27" spans="1:9" ht="15" customHeight="1" x14ac:dyDescent="0.25">
      <c r="A27" s="155" t="s">
        <v>311</v>
      </c>
      <c r="B27" s="158">
        <v>1828</v>
      </c>
      <c r="C27" s="158">
        <v>860</v>
      </c>
      <c r="D27" s="218">
        <v>0.47045951859956237</v>
      </c>
      <c r="E27" s="219">
        <v>1.8968340106283215</v>
      </c>
      <c r="F27" s="219">
        <v>4.3587205000000004</v>
      </c>
      <c r="G27" s="158">
        <v>14994</v>
      </c>
      <c r="H27" s="158">
        <v>28441.129155361054</v>
      </c>
      <c r="I27" s="209">
        <v>1.6358165382844039E-2</v>
      </c>
    </row>
    <row r="28" spans="1:9" ht="15" customHeight="1" x14ac:dyDescent="0.25">
      <c r="A28" s="156" t="s">
        <v>24</v>
      </c>
      <c r="B28" s="157">
        <v>12</v>
      </c>
      <c r="C28" s="157">
        <v>10</v>
      </c>
      <c r="D28" s="216">
        <v>0.83333333333333337</v>
      </c>
      <c r="E28" s="217">
        <v>1.2</v>
      </c>
      <c r="F28" s="217">
        <v>4.9000000000000004</v>
      </c>
      <c r="G28" s="157">
        <v>196</v>
      </c>
      <c r="H28" s="157">
        <v>235.2</v>
      </c>
      <c r="I28" s="208">
        <v>1.3527734700785214E-4</v>
      </c>
    </row>
    <row r="29" spans="1:9" ht="15" customHeight="1" x14ac:dyDescent="0.25">
      <c r="A29" s="155" t="s">
        <v>310</v>
      </c>
      <c r="B29" s="158">
        <v>12</v>
      </c>
      <c r="C29" s="158">
        <v>10</v>
      </c>
      <c r="D29" s="218">
        <v>0.83333333333333337</v>
      </c>
      <c r="E29" s="219">
        <v>1.2</v>
      </c>
      <c r="F29" s="219">
        <v>4.9000000000000004</v>
      </c>
      <c r="G29" s="158">
        <v>196</v>
      </c>
      <c r="H29" s="158">
        <v>235.2</v>
      </c>
      <c r="I29" s="209">
        <v>1.3527734700785214E-4</v>
      </c>
    </row>
    <row r="30" spans="1:9" ht="15" customHeight="1" x14ac:dyDescent="0.25">
      <c r="A30" s="156" t="s">
        <v>25</v>
      </c>
      <c r="B30" s="157">
        <v>36</v>
      </c>
      <c r="C30" s="157">
        <v>23</v>
      </c>
      <c r="D30" s="216">
        <v>0.63888888888888884</v>
      </c>
      <c r="E30" s="217">
        <v>1.5532380952380953</v>
      </c>
      <c r="F30" s="217">
        <v>4.3369562500000001</v>
      </c>
      <c r="G30" s="157">
        <v>399</v>
      </c>
      <c r="H30" s="157">
        <v>619.74200000000008</v>
      </c>
      <c r="I30" s="208">
        <v>3.5645005777780746E-4</v>
      </c>
    </row>
    <row r="31" spans="1:9" ht="15" customHeight="1" x14ac:dyDescent="0.25">
      <c r="A31" s="155" t="s">
        <v>309</v>
      </c>
      <c r="B31" s="158">
        <v>36</v>
      </c>
      <c r="C31" s="158">
        <v>23</v>
      </c>
      <c r="D31" s="218">
        <v>0.63888888888888884</v>
      </c>
      <c r="E31" s="219">
        <v>1.5532380952380953</v>
      </c>
      <c r="F31" s="219">
        <v>4.3369562500000001</v>
      </c>
      <c r="G31" s="158">
        <v>399</v>
      </c>
      <c r="H31" s="158">
        <v>619.74200000000008</v>
      </c>
      <c r="I31" s="209">
        <v>3.5645005777780746E-4</v>
      </c>
    </row>
    <row r="32" spans="1:9" ht="15" customHeight="1" x14ac:dyDescent="0.25">
      <c r="A32" s="156" t="s">
        <v>383</v>
      </c>
      <c r="B32" s="157">
        <v>8</v>
      </c>
      <c r="C32" s="157">
        <v>6</v>
      </c>
      <c r="D32" s="216">
        <v>0.75</v>
      </c>
      <c r="E32" s="217">
        <v>1.3333333333333333</v>
      </c>
      <c r="F32" s="217">
        <v>3.0833330000000001</v>
      </c>
      <c r="G32" s="157">
        <v>74</v>
      </c>
      <c r="H32" s="157">
        <v>98.666666666666657</v>
      </c>
      <c r="I32" s="208">
        <v>5.6749000445470844E-5</v>
      </c>
    </row>
    <row r="33" spans="1:9" ht="15" customHeight="1" x14ac:dyDescent="0.25">
      <c r="A33" s="155" t="s">
        <v>308</v>
      </c>
      <c r="B33" s="158">
        <v>8</v>
      </c>
      <c r="C33" s="158">
        <v>6</v>
      </c>
      <c r="D33" s="218">
        <v>0.75</v>
      </c>
      <c r="E33" s="219">
        <v>1.3333333333333333</v>
      </c>
      <c r="F33" s="219">
        <v>3.0833330000000001</v>
      </c>
      <c r="G33" s="158">
        <v>74</v>
      </c>
      <c r="H33" s="158">
        <v>98.666666666666657</v>
      </c>
      <c r="I33" s="209">
        <v>5.6749000445470844E-5</v>
      </c>
    </row>
    <row r="34" spans="1:9" ht="15" customHeight="1" x14ac:dyDescent="0.25">
      <c r="A34" s="156" t="s">
        <v>128</v>
      </c>
      <c r="B34" s="157">
        <v>69</v>
      </c>
      <c r="C34" s="157">
        <v>44</v>
      </c>
      <c r="D34" s="216">
        <v>0.6376811594202898</v>
      </c>
      <c r="E34" s="217">
        <v>1.5557018633540374</v>
      </c>
      <c r="F34" s="217">
        <v>3.9545452500000007</v>
      </c>
      <c r="G34" s="157">
        <v>696</v>
      </c>
      <c r="H34" s="157">
        <v>1082.76849689441</v>
      </c>
      <c r="I34" s="208">
        <v>6.2276381668178386E-4</v>
      </c>
    </row>
    <row r="35" spans="1:9" ht="15" customHeight="1" x14ac:dyDescent="0.25">
      <c r="A35" s="155" t="s">
        <v>307</v>
      </c>
      <c r="B35" s="158">
        <v>69</v>
      </c>
      <c r="C35" s="158">
        <v>44</v>
      </c>
      <c r="D35" s="218">
        <v>0.6376811594202898</v>
      </c>
      <c r="E35" s="219">
        <v>1.5557018633540374</v>
      </c>
      <c r="F35" s="219">
        <v>3.9545452500000007</v>
      </c>
      <c r="G35" s="158">
        <v>696</v>
      </c>
      <c r="H35" s="158">
        <v>1082.76849689441</v>
      </c>
      <c r="I35" s="209">
        <v>6.2276381668178386E-4</v>
      </c>
    </row>
    <row r="36" spans="1:9" ht="15" customHeight="1" x14ac:dyDescent="0.25">
      <c r="A36" s="156" t="s">
        <v>494</v>
      </c>
      <c r="B36" s="157">
        <v>72</v>
      </c>
      <c r="C36" s="157">
        <v>39</v>
      </c>
      <c r="D36" s="216">
        <v>0.54166666666666663</v>
      </c>
      <c r="E36" s="217">
        <v>1.7515714285714286</v>
      </c>
      <c r="F36" s="217">
        <v>4.3333327500000003</v>
      </c>
      <c r="G36" s="157">
        <v>676</v>
      </c>
      <c r="H36" s="157">
        <v>1184.0622857142857</v>
      </c>
      <c r="I36" s="208">
        <v>6.8102382952160711E-4</v>
      </c>
    </row>
    <row r="37" spans="1:9" ht="15" customHeight="1" x14ac:dyDescent="0.25">
      <c r="A37" s="155" t="s">
        <v>306</v>
      </c>
      <c r="B37" s="158">
        <v>72</v>
      </c>
      <c r="C37" s="158">
        <v>39</v>
      </c>
      <c r="D37" s="218">
        <v>0.54166666666666663</v>
      </c>
      <c r="E37" s="219">
        <v>1.7515714285714286</v>
      </c>
      <c r="F37" s="219">
        <v>4.3333327500000003</v>
      </c>
      <c r="G37" s="158">
        <v>676</v>
      </c>
      <c r="H37" s="158">
        <v>1184.0622857142857</v>
      </c>
      <c r="I37" s="209">
        <v>6.8102382952160711E-4</v>
      </c>
    </row>
    <row r="38" spans="1:9" ht="15" customHeight="1" x14ac:dyDescent="0.25">
      <c r="A38" s="156" t="s">
        <v>27</v>
      </c>
      <c r="B38" s="157">
        <v>151</v>
      </c>
      <c r="C38" s="157">
        <v>53</v>
      </c>
      <c r="D38" s="216">
        <v>0.35099337748344372</v>
      </c>
      <c r="E38" s="217">
        <v>2.1405449385052036</v>
      </c>
      <c r="F38" s="217">
        <v>4.0613204999999999</v>
      </c>
      <c r="G38" s="157">
        <v>861</v>
      </c>
      <c r="H38" s="157">
        <v>1843.0091920529803</v>
      </c>
      <c r="I38" s="208">
        <v>1.0600229337245418E-3</v>
      </c>
    </row>
    <row r="39" spans="1:9" ht="15" customHeight="1" x14ac:dyDescent="0.25">
      <c r="A39" s="155" t="s">
        <v>305</v>
      </c>
      <c r="B39" s="158">
        <v>151</v>
      </c>
      <c r="C39" s="158">
        <v>53</v>
      </c>
      <c r="D39" s="218">
        <v>0.35099337748344372</v>
      </c>
      <c r="E39" s="219">
        <v>2.1405449385052036</v>
      </c>
      <c r="F39" s="219">
        <v>4.0613204999999999</v>
      </c>
      <c r="G39" s="158">
        <v>861</v>
      </c>
      <c r="H39" s="158">
        <v>1843.0091920529803</v>
      </c>
      <c r="I39" s="209">
        <v>1.0600229337245418E-3</v>
      </c>
    </row>
    <row r="40" spans="1:9" ht="15" customHeight="1" x14ac:dyDescent="0.25">
      <c r="A40" s="156" t="s">
        <v>143</v>
      </c>
      <c r="B40" s="157">
        <v>28</v>
      </c>
      <c r="C40" s="157">
        <v>10</v>
      </c>
      <c r="D40" s="216">
        <v>0.35714285714285715</v>
      </c>
      <c r="E40" s="217">
        <v>2.1280000000000001</v>
      </c>
      <c r="F40" s="217">
        <v>4.5250000000000004</v>
      </c>
      <c r="G40" s="157">
        <v>181</v>
      </c>
      <c r="H40" s="157">
        <v>385.16800000000001</v>
      </c>
      <c r="I40" s="208">
        <v>2.2153276017143026E-4</v>
      </c>
    </row>
    <row r="41" spans="1:9" ht="15" customHeight="1" x14ac:dyDescent="0.25">
      <c r="A41" s="155" t="s">
        <v>304</v>
      </c>
      <c r="B41" s="158">
        <v>28</v>
      </c>
      <c r="C41" s="158">
        <v>10</v>
      </c>
      <c r="D41" s="218">
        <v>0.35714285714285715</v>
      </c>
      <c r="E41" s="219">
        <v>2.1280000000000001</v>
      </c>
      <c r="F41" s="219">
        <v>4.5250000000000004</v>
      </c>
      <c r="G41" s="158">
        <v>181</v>
      </c>
      <c r="H41" s="158">
        <v>385.16800000000001</v>
      </c>
      <c r="I41" s="209">
        <v>2.2153276017143026E-4</v>
      </c>
    </row>
    <row r="42" spans="1:9" ht="15" customHeight="1" x14ac:dyDescent="0.25">
      <c r="A42" s="156" t="s">
        <v>28</v>
      </c>
      <c r="B42" s="157">
        <v>6077</v>
      </c>
      <c r="C42" s="157">
        <v>1783</v>
      </c>
      <c r="D42" s="216">
        <v>0.29340134935000822</v>
      </c>
      <c r="E42" s="217">
        <v>2.2580326758974119</v>
      </c>
      <c r="F42" s="217">
        <v>4.2139647500000006</v>
      </c>
      <c r="G42" s="157">
        <v>30054</v>
      </c>
      <c r="H42" s="157">
        <v>67862.914041420823</v>
      </c>
      <c r="I42" s="208">
        <v>3.9031951410481831E-2</v>
      </c>
    </row>
    <row r="43" spans="1:9" ht="15" customHeight="1" x14ac:dyDescent="0.25">
      <c r="A43" s="155" t="s">
        <v>303</v>
      </c>
      <c r="B43" s="158">
        <v>6077</v>
      </c>
      <c r="C43" s="158">
        <v>1783</v>
      </c>
      <c r="D43" s="218">
        <v>0.29340134935000822</v>
      </c>
      <c r="E43" s="219">
        <v>2.2580326758974119</v>
      </c>
      <c r="F43" s="219">
        <v>4.2139647500000006</v>
      </c>
      <c r="G43" s="158">
        <v>30054</v>
      </c>
      <c r="H43" s="158">
        <v>67862.914041420823</v>
      </c>
      <c r="I43" s="209">
        <v>3.9031951410481831E-2</v>
      </c>
    </row>
    <row r="44" spans="1:9" ht="15" customHeight="1" x14ac:dyDescent="0.25">
      <c r="A44" s="156" t="s">
        <v>29</v>
      </c>
      <c r="B44" s="157">
        <v>40</v>
      </c>
      <c r="C44" s="157">
        <v>30</v>
      </c>
      <c r="D44" s="216">
        <v>0.75</v>
      </c>
      <c r="E44" s="217">
        <v>1.3333333333333333</v>
      </c>
      <c r="F44" s="217">
        <v>4.3916662500000001</v>
      </c>
      <c r="G44" s="157">
        <v>527</v>
      </c>
      <c r="H44" s="157">
        <v>702.66666666666663</v>
      </c>
      <c r="I44" s="208">
        <v>4.0414490857788025E-4</v>
      </c>
    </row>
    <row r="45" spans="1:9" ht="15" customHeight="1" x14ac:dyDescent="0.25">
      <c r="A45" s="155" t="s">
        <v>300</v>
      </c>
      <c r="B45" s="158">
        <v>40</v>
      </c>
      <c r="C45" s="158">
        <v>30</v>
      </c>
      <c r="D45" s="218">
        <v>0.75</v>
      </c>
      <c r="E45" s="219">
        <v>1.3333333333333333</v>
      </c>
      <c r="F45" s="219">
        <v>4.3916662500000001</v>
      </c>
      <c r="G45" s="158">
        <v>527</v>
      </c>
      <c r="H45" s="158">
        <v>702.66666666666663</v>
      </c>
      <c r="I45" s="209">
        <v>4.0414490857788025E-4</v>
      </c>
    </row>
    <row r="46" spans="1:9" ht="15" customHeight="1" x14ac:dyDescent="0.25">
      <c r="A46" s="156" t="s">
        <v>30</v>
      </c>
      <c r="B46" s="157">
        <v>1233</v>
      </c>
      <c r="C46" s="157">
        <v>471</v>
      </c>
      <c r="D46" s="216">
        <v>0.38199513381995132</v>
      </c>
      <c r="E46" s="217">
        <v>2.0773013555787276</v>
      </c>
      <c r="F46" s="217">
        <v>4.3110397499999999</v>
      </c>
      <c r="G46" s="157">
        <v>8122</v>
      </c>
      <c r="H46" s="157">
        <v>16871.841610010426</v>
      </c>
      <c r="I46" s="208">
        <v>9.7039879767810335E-3</v>
      </c>
    </row>
    <row r="47" spans="1:9" ht="15" customHeight="1" x14ac:dyDescent="0.25">
      <c r="A47" s="155" t="s">
        <v>302</v>
      </c>
      <c r="B47" s="158">
        <v>1233</v>
      </c>
      <c r="C47" s="158">
        <v>471</v>
      </c>
      <c r="D47" s="218">
        <v>0.38199513381995132</v>
      </c>
      <c r="E47" s="219">
        <v>2.0773013555787276</v>
      </c>
      <c r="F47" s="219">
        <v>4.3110397499999999</v>
      </c>
      <c r="G47" s="158">
        <v>8122</v>
      </c>
      <c r="H47" s="158">
        <v>16871.841610010426</v>
      </c>
      <c r="I47" s="209">
        <v>9.7039879767810335E-3</v>
      </c>
    </row>
    <row r="48" spans="1:9" ht="15" customHeight="1" x14ac:dyDescent="0.25">
      <c r="A48" s="156" t="s">
        <v>31</v>
      </c>
      <c r="B48" s="157">
        <v>162</v>
      </c>
      <c r="C48" s="157">
        <v>50</v>
      </c>
      <c r="D48" s="216">
        <v>0.30864197530864196</v>
      </c>
      <c r="E48" s="217">
        <v>2.226941798941799</v>
      </c>
      <c r="F48" s="217">
        <v>4.0599999999999996</v>
      </c>
      <c r="G48" s="157">
        <v>812</v>
      </c>
      <c r="H48" s="157">
        <v>1808.2767407407407</v>
      </c>
      <c r="I48" s="208">
        <v>1.0400462591131508E-3</v>
      </c>
    </row>
    <row r="49" spans="1:9" ht="15" customHeight="1" x14ac:dyDescent="0.25">
      <c r="A49" s="155" t="s">
        <v>301</v>
      </c>
      <c r="B49" s="158">
        <v>162</v>
      </c>
      <c r="C49" s="158">
        <v>50</v>
      </c>
      <c r="D49" s="218">
        <v>0.30864197530864196</v>
      </c>
      <c r="E49" s="219">
        <v>2.226941798941799</v>
      </c>
      <c r="F49" s="219">
        <v>4.0599999999999996</v>
      </c>
      <c r="G49" s="158">
        <v>812</v>
      </c>
      <c r="H49" s="158">
        <v>1808.2767407407407</v>
      </c>
      <c r="I49" s="209">
        <v>1.0400462591131508E-3</v>
      </c>
    </row>
    <row r="50" spans="1:9" ht="15" customHeight="1" x14ac:dyDescent="0.25">
      <c r="A50" s="156" t="s">
        <v>32</v>
      </c>
      <c r="B50" s="157">
        <v>2736</v>
      </c>
      <c r="C50" s="157">
        <v>800</v>
      </c>
      <c r="D50" s="216">
        <v>0.29239766081871343</v>
      </c>
      <c r="E50" s="217">
        <v>2.2600802005012532</v>
      </c>
      <c r="F50" s="217">
        <v>4.0968749999999998</v>
      </c>
      <c r="G50" s="157">
        <v>13110</v>
      </c>
      <c r="H50" s="157">
        <v>29629.651428571429</v>
      </c>
      <c r="I50" s="208">
        <v>1.7041754413369723E-2</v>
      </c>
    </row>
    <row r="51" spans="1:9" ht="15" customHeight="1" x14ac:dyDescent="0.25">
      <c r="A51" s="155" t="s">
        <v>298</v>
      </c>
      <c r="B51" s="158">
        <v>2736</v>
      </c>
      <c r="C51" s="158">
        <v>800</v>
      </c>
      <c r="D51" s="218">
        <v>0.29239766081871343</v>
      </c>
      <c r="E51" s="219">
        <v>2.2600802005012532</v>
      </c>
      <c r="F51" s="219">
        <v>4.0968749999999998</v>
      </c>
      <c r="G51" s="158">
        <v>13110</v>
      </c>
      <c r="H51" s="158">
        <v>29629.651428571429</v>
      </c>
      <c r="I51" s="209">
        <v>1.7041754413369723E-2</v>
      </c>
    </row>
    <row r="52" spans="1:9" ht="15" customHeight="1" x14ac:dyDescent="0.25">
      <c r="A52" s="156" t="s">
        <v>33</v>
      </c>
      <c r="B52" s="157">
        <v>358</v>
      </c>
      <c r="C52" s="157">
        <v>124</v>
      </c>
      <c r="D52" s="216">
        <v>0.34636871508379891</v>
      </c>
      <c r="E52" s="217">
        <v>2.1499792498004791</v>
      </c>
      <c r="F52" s="217">
        <v>4.286290000000001</v>
      </c>
      <c r="G52" s="157">
        <v>2126</v>
      </c>
      <c r="H52" s="157">
        <v>4570.8558850758182</v>
      </c>
      <c r="I52" s="208">
        <v>2.6289679323481486E-3</v>
      </c>
    </row>
    <row r="53" spans="1:9" ht="15" customHeight="1" x14ac:dyDescent="0.25">
      <c r="A53" s="155" t="s">
        <v>297</v>
      </c>
      <c r="B53" s="158">
        <v>358</v>
      </c>
      <c r="C53" s="158">
        <v>124</v>
      </c>
      <c r="D53" s="218">
        <v>0.34636871508379891</v>
      </c>
      <c r="E53" s="219">
        <v>2.1499792498004791</v>
      </c>
      <c r="F53" s="219">
        <v>4.286290000000001</v>
      </c>
      <c r="G53" s="158">
        <v>2126</v>
      </c>
      <c r="H53" s="158">
        <v>4570.8558850758182</v>
      </c>
      <c r="I53" s="209">
        <v>2.6289679323481486E-3</v>
      </c>
    </row>
    <row r="54" spans="1:9" ht="15" customHeight="1" x14ac:dyDescent="0.25">
      <c r="A54" s="156" t="s">
        <v>34</v>
      </c>
      <c r="B54" s="157">
        <v>23</v>
      </c>
      <c r="C54" s="157">
        <v>7</v>
      </c>
      <c r="D54" s="216">
        <v>0.30434782608695654</v>
      </c>
      <c r="E54" s="217">
        <v>2.2357018633540373</v>
      </c>
      <c r="F54" s="217">
        <v>4.8571425000000001</v>
      </c>
      <c r="G54" s="157">
        <v>136</v>
      </c>
      <c r="H54" s="157">
        <v>304.05545341614908</v>
      </c>
      <c r="I54" s="208">
        <v>1.7488016616244142E-4</v>
      </c>
    </row>
    <row r="55" spans="1:9" ht="15" customHeight="1" x14ac:dyDescent="0.25">
      <c r="A55" s="155" t="s">
        <v>295</v>
      </c>
      <c r="B55" s="158">
        <v>23</v>
      </c>
      <c r="C55" s="158">
        <v>7</v>
      </c>
      <c r="D55" s="218">
        <v>0.30434782608695654</v>
      </c>
      <c r="E55" s="219">
        <v>2.2357018633540373</v>
      </c>
      <c r="F55" s="219">
        <v>4.8571425000000001</v>
      </c>
      <c r="G55" s="158">
        <v>136</v>
      </c>
      <c r="H55" s="158">
        <v>304.05545341614908</v>
      </c>
      <c r="I55" s="209">
        <v>1.7488016616244142E-4</v>
      </c>
    </row>
    <row r="56" spans="1:9" ht="15" customHeight="1" x14ac:dyDescent="0.25">
      <c r="A56" s="156" t="s">
        <v>35</v>
      </c>
      <c r="B56" s="157">
        <v>1089</v>
      </c>
      <c r="C56" s="157">
        <v>774</v>
      </c>
      <c r="D56" s="216">
        <v>0.71074380165289253</v>
      </c>
      <c r="E56" s="217">
        <v>1.4069767441860466</v>
      </c>
      <c r="F56" s="217">
        <v>4.47448275</v>
      </c>
      <c r="G56" s="157">
        <v>13853</v>
      </c>
      <c r="H56" s="157">
        <v>19490.848837209302</v>
      </c>
      <c r="I56" s="208">
        <v>1.1210333000122254E-2</v>
      </c>
    </row>
    <row r="57" spans="1:9" ht="15" customHeight="1" x14ac:dyDescent="0.25">
      <c r="A57" s="155" t="s">
        <v>294</v>
      </c>
      <c r="B57" s="158">
        <v>1089</v>
      </c>
      <c r="C57" s="158">
        <v>774</v>
      </c>
      <c r="D57" s="218">
        <v>0.71074380165289253</v>
      </c>
      <c r="E57" s="219">
        <v>1.4069767441860466</v>
      </c>
      <c r="F57" s="219">
        <v>4.47448275</v>
      </c>
      <c r="G57" s="158">
        <v>13853</v>
      </c>
      <c r="H57" s="158">
        <v>19490.848837209302</v>
      </c>
      <c r="I57" s="209">
        <v>1.1210333000122254E-2</v>
      </c>
    </row>
    <row r="58" spans="1:9" ht="15" customHeight="1" x14ac:dyDescent="0.25">
      <c r="A58" s="156" t="s">
        <v>36</v>
      </c>
      <c r="B58" s="157">
        <v>95</v>
      </c>
      <c r="C58" s="157">
        <v>63</v>
      </c>
      <c r="D58" s="216">
        <v>0.66315789473684206</v>
      </c>
      <c r="E58" s="217">
        <v>1.5037293233082707</v>
      </c>
      <c r="F58" s="217">
        <v>4.6031740000000001</v>
      </c>
      <c r="G58" s="157">
        <v>1160</v>
      </c>
      <c r="H58" s="157">
        <v>1744.3260150375941</v>
      </c>
      <c r="I58" s="208">
        <v>1.003264437206907E-3</v>
      </c>
    </row>
    <row r="59" spans="1:9" ht="15" customHeight="1" x14ac:dyDescent="0.25">
      <c r="A59" s="155" t="s">
        <v>293</v>
      </c>
      <c r="B59" s="158">
        <v>95</v>
      </c>
      <c r="C59" s="158">
        <v>63</v>
      </c>
      <c r="D59" s="218">
        <v>0.66315789473684206</v>
      </c>
      <c r="E59" s="219">
        <v>1.5037293233082707</v>
      </c>
      <c r="F59" s="219">
        <v>4.6031740000000001</v>
      </c>
      <c r="G59" s="158">
        <v>1160</v>
      </c>
      <c r="H59" s="158">
        <v>1744.3260150375941</v>
      </c>
      <c r="I59" s="209">
        <v>1.003264437206907E-3</v>
      </c>
    </row>
    <row r="60" spans="1:9" ht="15" customHeight="1" x14ac:dyDescent="0.25">
      <c r="A60" s="156" t="s">
        <v>37</v>
      </c>
      <c r="B60" s="157">
        <v>33</v>
      </c>
      <c r="C60" s="157">
        <v>19</v>
      </c>
      <c r="D60" s="216">
        <v>0.5757575757575758</v>
      </c>
      <c r="E60" s="217">
        <v>1.682025974025974</v>
      </c>
      <c r="F60" s="217">
        <v>4.3157889999999997</v>
      </c>
      <c r="G60" s="157">
        <v>328</v>
      </c>
      <c r="H60" s="157">
        <v>551.70451948051948</v>
      </c>
      <c r="I60" s="208">
        <v>3.173177029233272E-4</v>
      </c>
    </row>
    <row r="61" spans="1:9" ht="15" customHeight="1" x14ac:dyDescent="0.25">
      <c r="A61" s="155" t="s">
        <v>290</v>
      </c>
      <c r="B61" s="158">
        <v>33</v>
      </c>
      <c r="C61" s="158">
        <v>19</v>
      </c>
      <c r="D61" s="218">
        <v>0.5757575757575758</v>
      </c>
      <c r="E61" s="219">
        <v>1.682025974025974</v>
      </c>
      <c r="F61" s="219">
        <v>4.3157889999999997</v>
      </c>
      <c r="G61" s="158">
        <v>328</v>
      </c>
      <c r="H61" s="158">
        <v>551.70451948051948</v>
      </c>
      <c r="I61" s="209">
        <v>3.173177029233272E-4</v>
      </c>
    </row>
    <row r="62" spans="1:9" ht="15" customHeight="1" x14ac:dyDescent="0.25">
      <c r="A62" s="156" t="s">
        <v>38</v>
      </c>
      <c r="B62" s="157">
        <v>1915</v>
      </c>
      <c r="C62" s="157">
        <v>1085</v>
      </c>
      <c r="D62" s="216">
        <v>0.56657963446475201</v>
      </c>
      <c r="E62" s="217">
        <v>1.7007489742633346</v>
      </c>
      <c r="F62" s="217">
        <v>4.2281102500000003</v>
      </c>
      <c r="G62" s="157">
        <v>18350</v>
      </c>
      <c r="H62" s="157">
        <v>31208.743677732189</v>
      </c>
      <c r="I62" s="208">
        <v>1.7949983198008883E-2</v>
      </c>
    </row>
    <row r="63" spans="1:9" ht="15" customHeight="1" x14ac:dyDescent="0.25">
      <c r="A63" s="155" t="s">
        <v>289</v>
      </c>
      <c r="B63" s="158">
        <v>1915</v>
      </c>
      <c r="C63" s="158">
        <v>1085</v>
      </c>
      <c r="D63" s="218">
        <v>0.56657963446475201</v>
      </c>
      <c r="E63" s="219">
        <v>1.7007489742633346</v>
      </c>
      <c r="F63" s="219">
        <v>4.2281102500000003</v>
      </c>
      <c r="G63" s="158">
        <v>18350</v>
      </c>
      <c r="H63" s="158">
        <v>31208.743677732189</v>
      </c>
      <c r="I63" s="209">
        <v>1.7949983198008883E-2</v>
      </c>
    </row>
    <row r="64" spans="1:9" ht="15" customHeight="1" x14ac:dyDescent="0.25">
      <c r="A64" s="156" t="s">
        <v>39</v>
      </c>
      <c r="B64" s="157">
        <v>239</v>
      </c>
      <c r="C64" s="157">
        <v>205</v>
      </c>
      <c r="D64" s="216">
        <v>0.85774058577405854</v>
      </c>
      <c r="E64" s="217">
        <v>1.1658536585365855</v>
      </c>
      <c r="F64" s="217">
        <v>4.5585362500000004</v>
      </c>
      <c r="G64" s="157">
        <v>3738</v>
      </c>
      <c r="H64" s="157">
        <v>4357.960975609757</v>
      </c>
      <c r="I64" s="208">
        <v>2.5065195541846895E-3</v>
      </c>
    </row>
    <row r="65" spans="1:9" ht="15" customHeight="1" x14ac:dyDescent="0.25">
      <c r="A65" s="155" t="s">
        <v>288</v>
      </c>
      <c r="B65" s="158">
        <v>239</v>
      </c>
      <c r="C65" s="158">
        <v>205</v>
      </c>
      <c r="D65" s="218">
        <v>0.85774058577405854</v>
      </c>
      <c r="E65" s="219">
        <v>1.1658536585365855</v>
      </c>
      <c r="F65" s="219">
        <v>4.5585362500000004</v>
      </c>
      <c r="G65" s="158">
        <v>3738</v>
      </c>
      <c r="H65" s="158">
        <v>4357.960975609757</v>
      </c>
      <c r="I65" s="209">
        <v>2.5065195541846895E-3</v>
      </c>
    </row>
    <row r="66" spans="1:9" ht="15" customHeight="1" x14ac:dyDescent="0.25">
      <c r="A66" s="156" t="s">
        <v>440</v>
      </c>
      <c r="B66" s="157">
        <v>4024</v>
      </c>
      <c r="C66" s="157">
        <v>1530</v>
      </c>
      <c r="D66" s="216">
        <v>0.38021868787276342</v>
      </c>
      <c r="E66" s="217">
        <v>2.0809253053109913</v>
      </c>
      <c r="F66" s="217">
        <v>4.3209145000000007</v>
      </c>
      <c r="G66" s="157">
        <v>26444</v>
      </c>
      <c r="H66" s="157">
        <v>55027.988773643854</v>
      </c>
      <c r="I66" s="208">
        <v>3.1649831345562977E-2</v>
      </c>
    </row>
    <row r="67" spans="1:9" ht="15" customHeight="1" x14ac:dyDescent="0.25">
      <c r="A67" s="155" t="s">
        <v>287</v>
      </c>
      <c r="B67" s="158">
        <v>4024</v>
      </c>
      <c r="C67" s="158">
        <v>1530</v>
      </c>
      <c r="D67" s="218">
        <v>0.38021868787276342</v>
      </c>
      <c r="E67" s="219">
        <v>2.0809253053109913</v>
      </c>
      <c r="F67" s="219">
        <v>4.3209145000000007</v>
      </c>
      <c r="G67" s="158">
        <v>26444</v>
      </c>
      <c r="H67" s="158">
        <v>55027.988773643854</v>
      </c>
      <c r="I67" s="209">
        <v>3.1649831345562977E-2</v>
      </c>
    </row>
    <row r="68" spans="1:9" ht="15" customHeight="1" x14ac:dyDescent="0.25">
      <c r="A68" s="156" t="s">
        <v>40</v>
      </c>
      <c r="B68" s="157">
        <v>154</v>
      </c>
      <c r="C68" s="157">
        <v>86</v>
      </c>
      <c r="D68" s="216">
        <v>0.55844155844155841</v>
      </c>
      <c r="E68" s="217">
        <v>1.7173506493506494</v>
      </c>
      <c r="F68" s="217">
        <v>4.5465110000000006</v>
      </c>
      <c r="G68" s="157">
        <v>1564</v>
      </c>
      <c r="H68" s="157">
        <v>2685.9364155844155</v>
      </c>
      <c r="I68" s="208">
        <v>1.5448399342348619E-3</v>
      </c>
    </row>
    <row r="69" spans="1:9" ht="15" customHeight="1" x14ac:dyDescent="0.25">
      <c r="A69" s="155" t="s">
        <v>292</v>
      </c>
      <c r="B69" s="158">
        <v>154</v>
      </c>
      <c r="C69" s="158">
        <v>86</v>
      </c>
      <c r="D69" s="218">
        <v>0.55844155844155841</v>
      </c>
      <c r="E69" s="219">
        <v>1.7173506493506494</v>
      </c>
      <c r="F69" s="219">
        <v>4.5465110000000006</v>
      </c>
      <c r="G69" s="158">
        <v>1564</v>
      </c>
      <c r="H69" s="158">
        <v>2685.9364155844155</v>
      </c>
      <c r="I69" s="209">
        <v>1.5448399342348619E-3</v>
      </c>
    </row>
    <row r="70" spans="1:9" ht="15" customHeight="1" x14ac:dyDescent="0.25">
      <c r="A70" s="156" t="s">
        <v>41</v>
      </c>
      <c r="B70" s="157">
        <v>105</v>
      </c>
      <c r="C70" s="157">
        <v>97</v>
      </c>
      <c r="D70" s="216">
        <v>0.92380952380952386</v>
      </c>
      <c r="E70" s="217">
        <v>1.0824742268041236</v>
      </c>
      <c r="F70" s="217">
        <v>4.5695872499999997</v>
      </c>
      <c r="G70" s="157">
        <v>1773</v>
      </c>
      <c r="H70" s="157">
        <v>1919.2268041237112</v>
      </c>
      <c r="I70" s="208">
        <v>1.1038601631301629E-3</v>
      </c>
    </row>
    <row r="71" spans="1:9" ht="15" customHeight="1" x14ac:dyDescent="0.25">
      <c r="A71" s="155" t="s">
        <v>291</v>
      </c>
      <c r="B71" s="158">
        <v>105</v>
      </c>
      <c r="C71" s="158">
        <v>97</v>
      </c>
      <c r="D71" s="218">
        <v>0.92380952380952386</v>
      </c>
      <c r="E71" s="219">
        <v>1.0824742268041236</v>
      </c>
      <c r="F71" s="219">
        <v>4.5695872499999997</v>
      </c>
      <c r="G71" s="158">
        <v>1773</v>
      </c>
      <c r="H71" s="158">
        <v>1919.2268041237112</v>
      </c>
      <c r="I71" s="209">
        <v>1.1038601631301629E-3</v>
      </c>
    </row>
    <row r="72" spans="1:9" ht="15" customHeight="1" x14ac:dyDescent="0.25">
      <c r="A72" s="156" t="s">
        <v>42</v>
      </c>
      <c r="B72" s="157">
        <v>354</v>
      </c>
      <c r="C72" s="157">
        <v>106</v>
      </c>
      <c r="D72" s="216">
        <v>0.29943502824858759</v>
      </c>
      <c r="E72" s="217">
        <v>2.2457239709443102</v>
      </c>
      <c r="F72" s="217">
        <v>4.2240562499999994</v>
      </c>
      <c r="G72" s="157">
        <v>1791</v>
      </c>
      <c r="H72" s="157">
        <v>4022.0916319612597</v>
      </c>
      <c r="I72" s="208">
        <v>2.313341349465143E-3</v>
      </c>
    </row>
    <row r="73" spans="1:9" ht="15" customHeight="1" x14ac:dyDescent="0.25">
      <c r="A73" s="155" t="s">
        <v>286</v>
      </c>
      <c r="B73" s="158">
        <v>354</v>
      </c>
      <c r="C73" s="158">
        <v>106</v>
      </c>
      <c r="D73" s="218">
        <v>0.29943502824858759</v>
      </c>
      <c r="E73" s="219">
        <v>2.2457239709443102</v>
      </c>
      <c r="F73" s="219">
        <v>4.2240562499999994</v>
      </c>
      <c r="G73" s="158">
        <v>1791</v>
      </c>
      <c r="H73" s="158">
        <v>4022.0916319612597</v>
      </c>
      <c r="I73" s="209">
        <v>2.313341349465143E-3</v>
      </c>
    </row>
    <row r="74" spans="1:9" ht="15" customHeight="1" x14ac:dyDescent="0.25">
      <c r="A74" s="156" t="s">
        <v>43</v>
      </c>
      <c r="B74" s="157">
        <v>1728</v>
      </c>
      <c r="C74" s="157">
        <v>660</v>
      </c>
      <c r="D74" s="216">
        <v>0.38194444444444442</v>
      </c>
      <c r="E74" s="217">
        <v>2.077404761904762</v>
      </c>
      <c r="F74" s="217">
        <v>4.3734845</v>
      </c>
      <c r="G74" s="157">
        <v>11546</v>
      </c>
      <c r="H74" s="157">
        <v>23985.715380952381</v>
      </c>
      <c r="I74" s="208">
        <v>1.3795594994985848E-2</v>
      </c>
    </row>
    <row r="75" spans="1:9" ht="15" customHeight="1" x14ac:dyDescent="0.25">
      <c r="A75" s="155" t="s">
        <v>285</v>
      </c>
      <c r="B75" s="158">
        <v>1728</v>
      </c>
      <c r="C75" s="158">
        <v>660</v>
      </c>
      <c r="D75" s="218">
        <v>0.38194444444444442</v>
      </c>
      <c r="E75" s="219">
        <v>2.077404761904762</v>
      </c>
      <c r="F75" s="219">
        <v>4.3734845</v>
      </c>
      <c r="G75" s="158">
        <v>11546</v>
      </c>
      <c r="H75" s="158">
        <v>23985.715380952381</v>
      </c>
      <c r="I75" s="209">
        <v>1.3795594994985848E-2</v>
      </c>
    </row>
    <row r="76" spans="1:9" ht="15" customHeight="1" x14ac:dyDescent="0.25">
      <c r="A76" s="156" t="s">
        <v>149</v>
      </c>
      <c r="B76" s="157">
        <v>95</v>
      </c>
      <c r="C76" s="157">
        <v>59</v>
      </c>
      <c r="D76" s="216">
        <v>0.62105263157894741</v>
      </c>
      <c r="E76" s="217">
        <v>1.5896240601503759</v>
      </c>
      <c r="F76" s="217">
        <v>4.4872875000000008</v>
      </c>
      <c r="G76" s="157">
        <v>1059</v>
      </c>
      <c r="H76" s="157">
        <v>1683.4118796992482</v>
      </c>
      <c r="I76" s="208">
        <v>9.6822913693544142E-4</v>
      </c>
    </row>
    <row r="77" spans="1:9" ht="15" customHeight="1" x14ac:dyDescent="0.25">
      <c r="A77" s="155" t="s">
        <v>284</v>
      </c>
      <c r="B77" s="158">
        <v>95</v>
      </c>
      <c r="C77" s="158">
        <v>59</v>
      </c>
      <c r="D77" s="218">
        <v>0.62105263157894741</v>
      </c>
      <c r="E77" s="219">
        <v>1.5896240601503759</v>
      </c>
      <c r="F77" s="219">
        <v>4.4872875000000008</v>
      </c>
      <c r="G77" s="158">
        <v>1059</v>
      </c>
      <c r="H77" s="158">
        <v>1683.4118796992482</v>
      </c>
      <c r="I77" s="209">
        <v>9.6822913693544142E-4</v>
      </c>
    </row>
    <row r="78" spans="1:9" ht="15" customHeight="1" x14ac:dyDescent="0.25">
      <c r="A78" s="156" t="s">
        <v>539</v>
      </c>
      <c r="B78" s="157">
        <v>58</v>
      </c>
      <c r="C78" s="157">
        <v>7</v>
      </c>
      <c r="D78" s="216">
        <v>0.1206896551724138</v>
      </c>
      <c r="E78" s="217">
        <v>2.4485709999999998</v>
      </c>
      <c r="F78" s="217">
        <v>4.3571422499999999</v>
      </c>
      <c r="G78" s="157">
        <v>122</v>
      </c>
      <c r="H78" s="157">
        <v>298.725662</v>
      </c>
      <c r="I78" s="208">
        <v>1.7181468978964435E-4</v>
      </c>
    </row>
    <row r="79" spans="1:9" ht="15" customHeight="1" x14ac:dyDescent="0.25">
      <c r="A79" s="155" t="s">
        <v>283</v>
      </c>
      <c r="B79" s="158">
        <v>58</v>
      </c>
      <c r="C79" s="158">
        <v>7</v>
      </c>
      <c r="D79" s="218">
        <v>0.1206896551724138</v>
      </c>
      <c r="E79" s="219">
        <v>2.4485709999999998</v>
      </c>
      <c r="F79" s="219">
        <v>4.3571422499999999</v>
      </c>
      <c r="G79" s="158">
        <v>122</v>
      </c>
      <c r="H79" s="158">
        <v>298.725662</v>
      </c>
      <c r="I79" s="209">
        <v>1.7181468978964435E-4</v>
      </c>
    </row>
    <row r="80" spans="1:9" ht="15" customHeight="1" x14ac:dyDescent="0.25">
      <c r="A80" s="156" t="s">
        <v>46</v>
      </c>
      <c r="B80" s="157">
        <v>14</v>
      </c>
      <c r="C80" s="157">
        <v>10</v>
      </c>
      <c r="D80" s="216">
        <v>0.7142857142857143</v>
      </c>
      <c r="E80" s="217">
        <v>1.4000000000000001</v>
      </c>
      <c r="F80" s="217">
        <v>4.8499999999999996</v>
      </c>
      <c r="G80" s="157">
        <v>194</v>
      </c>
      <c r="H80" s="157">
        <v>271.60000000000002</v>
      </c>
      <c r="I80" s="208">
        <v>1.5621312690192451E-4</v>
      </c>
    </row>
    <row r="81" spans="1:9" ht="15" customHeight="1" x14ac:dyDescent="0.25">
      <c r="A81" s="155" t="s">
        <v>282</v>
      </c>
      <c r="B81" s="158">
        <v>14</v>
      </c>
      <c r="C81" s="158">
        <v>10</v>
      </c>
      <c r="D81" s="218">
        <v>0.7142857142857143</v>
      </c>
      <c r="E81" s="219">
        <v>1.4000000000000001</v>
      </c>
      <c r="F81" s="219">
        <v>4.8499999999999996</v>
      </c>
      <c r="G81" s="158">
        <v>194</v>
      </c>
      <c r="H81" s="158">
        <v>271.60000000000002</v>
      </c>
      <c r="I81" s="209">
        <v>1.5621312690192451E-4</v>
      </c>
    </row>
    <row r="82" spans="1:9" ht="15" customHeight="1" x14ac:dyDescent="0.25">
      <c r="A82" s="156" t="s">
        <v>495</v>
      </c>
      <c r="B82" s="157">
        <v>21</v>
      </c>
      <c r="C82" s="157">
        <v>10</v>
      </c>
      <c r="D82" s="216">
        <v>0.47619047619047616</v>
      </c>
      <c r="E82" s="217">
        <v>1.8851428571428572</v>
      </c>
      <c r="F82" s="217">
        <v>4.5750000000000002</v>
      </c>
      <c r="G82" s="157">
        <v>183</v>
      </c>
      <c r="H82" s="157">
        <v>344.98114285714286</v>
      </c>
      <c r="I82" s="208">
        <v>1.9841893611161193E-4</v>
      </c>
    </row>
    <row r="83" spans="1:9" ht="15" customHeight="1" x14ac:dyDescent="0.25">
      <c r="A83" s="155" t="s">
        <v>281</v>
      </c>
      <c r="B83" s="158">
        <v>21</v>
      </c>
      <c r="C83" s="158">
        <v>10</v>
      </c>
      <c r="D83" s="218">
        <v>0.47619047619047616</v>
      </c>
      <c r="E83" s="219">
        <v>1.8851428571428572</v>
      </c>
      <c r="F83" s="219">
        <v>4.5750000000000002</v>
      </c>
      <c r="G83" s="158">
        <v>183</v>
      </c>
      <c r="H83" s="158">
        <v>344.98114285714286</v>
      </c>
      <c r="I83" s="209">
        <v>1.9841893611161193E-4</v>
      </c>
    </row>
    <row r="84" spans="1:9" ht="15" customHeight="1" x14ac:dyDescent="0.25">
      <c r="A84" s="156" t="s">
        <v>48</v>
      </c>
      <c r="B84" s="157">
        <v>31</v>
      </c>
      <c r="C84" s="157">
        <v>28</v>
      </c>
      <c r="D84" s="216">
        <v>0.90322580645161288</v>
      </c>
      <c r="E84" s="217">
        <v>1.1071428571428572</v>
      </c>
      <c r="F84" s="217">
        <v>4.5267854999999999</v>
      </c>
      <c r="G84" s="157">
        <v>507</v>
      </c>
      <c r="H84" s="157">
        <v>561.32142857142856</v>
      </c>
      <c r="I84" s="208">
        <v>3.2284895270323313E-4</v>
      </c>
    </row>
    <row r="85" spans="1:9" ht="15" customHeight="1" x14ac:dyDescent="0.25">
      <c r="A85" s="155" t="s">
        <v>279</v>
      </c>
      <c r="B85" s="158">
        <v>31</v>
      </c>
      <c r="C85" s="158">
        <v>28</v>
      </c>
      <c r="D85" s="218">
        <v>0.90322580645161288</v>
      </c>
      <c r="E85" s="219">
        <v>1.1071428571428572</v>
      </c>
      <c r="F85" s="219">
        <v>4.5267854999999999</v>
      </c>
      <c r="G85" s="158">
        <v>507</v>
      </c>
      <c r="H85" s="158">
        <v>561.32142857142856</v>
      </c>
      <c r="I85" s="209">
        <v>3.2284895270323313E-4</v>
      </c>
    </row>
    <row r="86" spans="1:9" ht="15" customHeight="1" x14ac:dyDescent="0.25">
      <c r="A86" s="156" t="s">
        <v>49</v>
      </c>
      <c r="B86" s="157">
        <v>1601</v>
      </c>
      <c r="C86" s="157">
        <v>708</v>
      </c>
      <c r="D86" s="216">
        <v>0.44222361024359774</v>
      </c>
      <c r="E86" s="217">
        <v>1.9544352636744893</v>
      </c>
      <c r="F86" s="217">
        <v>4.3714682500000004</v>
      </c>
      <c r="G86" s="157">
        <v>12380</v>
      </c>
      <c r="H86" s="157">
        <v>24195.908564290177</v>
      </c>
      <c r="I86" s="208">
        <v>1.3916489451623061E-2</v>
      </c>
    </row>
    <row r="87" spans="1:9" ht="15" customHeight="1" x14ac:dyDescent="0.25">
      <c r="A87" s="155" t="s">
        <v>278</v>
      </c>
      <c r="B87" s="158">
        <v>1601</v>
      </c>
      <c r="C87" s="158">
        <v>708</v>
      </c>
      <c r="D87" s="218">
        <v>0.44222361024359774</v>
      </c>
      <c r="E87" s="219">
        <v>1.9544352636744893</v>
      </c>
      <c r="F87" s="219">
        <v>4.3714682500000004</v>
      </c>
      <c r="G87" s="158">
        <v>12380</v>
      </c>
      <c r="H87" s="158">
        <v>24195.908564290177</v>
      </c>
      <c r="I87" s="209">
        <v>1.3916489451623061E-2</v>
      </c>
    </row>
    <row r="88" spans="1:9" ht="15" customHeight="1" x14ac:dyDescent="0.25">
      <c r="A88" s="156" t="s">
        <v>434</v>
      </c>
      <c r="B88" s="157">
        <v>27</v>
      </c>
      <c r="C88" s="157">
        <v>16</v>
      </c>
      <c r="D88" s="216">
        <v>0.59259259259259256</v>
      </c>
      <c r="E88" s="217">
        <v>1.6476825396825399</v>
      </c>
      <c r="F88" s="217">
        <v>4.703125</v>
      </c>
      <c r="G88" s="157">
        <v>301</v>
      </c>
      <c r="H88" s="157">
        <v>495.9524444444445</v>
      </c>
      <c r="I88" s="208">
        <v>2.852514070004406E-4</v>
      </c>
    </row>
    <row r="89" spans="1:9" ht="15" customHeight="1" x14ac:dyDescent="0.25">
      <c r="A89" s="155" t="s">
        <v>268</v>
      </c>
      <c r="B89" s="158">
        <v>27</v>
      </c>
      <c r="C89" s="158">
        <v>16</v>
      </c>
      <c r="D89" s="218">
        <v>0.59259259259259256</v>
      </c>
      <c r="E89" s="219">
        <v>1.6476825396825399</v>
      </c>
      <c r="F89" s="219">
        <v>4.703125</v>
      </c>
      <c r="G89" s="158">
        <v>301</v>
      </c>
      <c r="H89" s="158">
        <v>495.9524444444445</v>
      </c>
      <c r="I89" s="209">
        <v>2.852514070004406E-4</v>
      </c>
    </row>
    <row r="90" spans="1:9" ht="15" customHeight="1" x14ac:dyDescent="0.25">
      <c r="A90" s="156" t="s">
        <v>51</v>
      </c>
      <c r="B90" s="157">
        <v>1810</v>
      </c>
      <c r="C90" s="157">
        <v>815</v>
      </c>
      <c r="D90" s="216">
        <v>0.45027624309392267</v>
      </c>
      <c r="E90" s="217">
        <v>1.9380078926598263</v>
      </c>
      <c r="F90" s="217">
        <v>4.40276025</v>
      </c>
      <c r="G90" s="157">
        <v>14353</v>
      </c>
      <c r="H90" s="157">
        <v>27816.227283346489</v>
      </c>
      <c r="I90" s="208">
        <v>1.5998747579330556E-2</v>
      </c>
    </row>
    <row r="91" spans="1:9" ht="15" customHeight="1" x14ac:dyDescent="0.25">
      <c r="A91" s="155" t="s">
        <v>267</v>
      </c>
      <c r="B91" s="158">
        <v>1810</v>
      </c>
      <c r="C91" s="158">
        <v>815</v>
      </c>
      <c r="D91" s="218">
        <v>0.45027624309392267</v>
      </c>
      <c r="E91" s="219">
        <v>1.9380078926598263</v>
      </c>
      <c r="F91" s="219">
        <v>4.40276025</v>
      </c>
      <c r="G91" s="158">
        <v>14353</v>
      </c>
      <c r="H91" s="158">
        <v>27816.227283346489</v>
      </c>
      <c r="I91" s="209">
        <v>1.5998747579330556E-2</v>
      </c>
    </row>
    <row r="92" spans="1:9" ht="15" customHeight="1" x14ac:dyDescent="0.25">
      <c r="A92" s="156" t="s">
        <v>52</v>
      </c>
      <c r="B92" s="157">
        <v>5330</v>
      </c>
      <c r="C92" s="157">
        <v>2228</v>
      </c>
      <c r="D92" s="216">
        <v>0.41801125703564729</v>
      </c>
      <c r="E92" s="217">
        <v>2.0038284642187083</v>
      </c>
      <c r="F92" s="217">
        <v>4.3879034999999993</v>
      </c>
      <c r="G92" s="157">
        <v>39105</v>
      </c>
      <c r="H92" s="157">
        <v>78359.712093272581</v>
      </c>
      <c r="I92" s="208">
        <v>4.5069277059000948E-2</v>
      </c>
    </row>
    <row r="93" spans="1:9" ht="15" customHeight="1" x14ac:dyDescent="0.25">
      <c r="A93" s="155" t="s">
        <v>261</v>
      </c>
      <c r="B93" s="158">
        <v>5330</v>
      </c>
      <c r="C93" s="158">
        <v>2228</v>
      </c>
      <c r="D93" s="218">
        <v>0.41801125703564729</v>
      </c>
      <c r="E93" s="219">
        <v>2.0038284642187083</v>
      </c>
      <c r="F93" s="219">
        <v>4.3879034999999993</v>
      </c>
      <c r="G93" s="158">
        <v>39105</v>
      </c>
      <c r="H93" s="158">
        <v>78359.712093272581</v>
      </c>
      <c r="I93" s="209">
        <v>4.5069277059000948E-2</v>
      </c>
    </row>
    <row r="94" spans="1:9" ht="15" customHeight="1" x14ac:dyDescent="0.25">
      <c r="A94" s="156" t="s">
        <v>53</v>
      </c>
      <c r="B94" s="157">
        <v>193</v>
      </c>
      <c r="C94" s="157">
        <v>60</v>
      </c>
      <c r="D94" s="216">
        <v>0.31088082901554404</v>
      </c>
      <c r="E94" s="217">
        <v>2.2223745373797188</v>
      </c>
      <c r="F94" s="217">
        <v>4.4541665000000004</v>
      </c>
      <c r="G94" s="157">
        <v>1069</v>
      </c>
      <c r="H94" s="157">
        <v>2375.7183804589195</v>
      </c>
      <c r="I94" s="208">
        <v>1.3664153050436808E-3</v>
      </c>
    </row>
    <row r="95" spans="1:9" ht="15" customHeight="1" x14ac:dyDescent="0.25">
      <c r="A95" s="155" t="s">
        <v>277</v>
      </c>
      <c r="B95" s="158">
        <v>193</v>
      </c>
      <c r="C95" s="158">
        <v>60</v>
      </c>
      <c r="D95" s="218">
        <v>0.31088082901554404</v>
      </c>
      <c r="E95" s="219">
        <v>2.2223745373797188</v>
      </c>
      <c r="F95" s="219">
        <v>4.4541665000000004</v>
      </c>
      <c r="G95" s="158">
        <v>1069</v>
      </c>
      <c r="H95" s="158">
        <v>2375.7183804589195</v>
      </c>
      <c r="I95" s="209">
        <v>1.3664153050436808E-3</v>
      </c>
    </row>
    <row r="96" spans="1:9" ht="15" customHeight="1" x14ac:dyDescent="0.25">
      <c r="A96" s="156" t="s">
        <v>54</v>
      </c>
      <c r="B96" s="157">
        <v>247</v>
      </c>
      <c r="C96" s="157">
        <v>180</v>
      </c>
      <c r="D96" s="216">
        <v>0.72874493927125505</v>
      </c>
      <c r="E96" s="217">
        <v>1.3722222222222222</v>
      </c>
      <c r="F96" s="217">
        <v>4.3124997499999997</v>
      </c>
      <c r="G96" s="157">
        <v>3105</v>
      </c>
      <c r="H96" s="157">
        <v>4260.75</v>
      </c>
      <c r="I96" s="208">
        <v>2.4506078072436478E-3</v>
      </c>
    </row>
    <row r="97" spans="1:9" ht="15" customHeight="1" x14ac:dyDescent="0.25">
      <c r="A97" s="155" t="s">
        <v>276</v>
      </c>
      <c r="B97" s="158">
        <v>247</v>
      </c>
      <c r="C97" s="158">
        <v>180</v>
      </c>
      <c r="D97" s="218">
        <v>0.72874493927125505</v>
      </c>
      <c r="E97" s="219">
        <v>1.3722222222222222</v>
      </c>
      <c r="F97" s="219">
        <v>4.3124997499999997</v>
      </c>
      <c r="G97" s="158">
        <v>3105</v>
      </c>
      <c r="H97" s="158">
        <v>4260.75</v>
      </c>
      <c r="I97" s="209">
        <v>2.4506078072436478E-3</v>
      </c>
    </row>
    <row r="98" spans="1:9" ht="15" customHeight="1" x14ac:dyDescent="0.25">
      <c r="A98" s="156" t="s">
        <v>55</v>
      </c>
      <c r="B98" s="157">
        <v>1416</v>
      </c>
      <c r="C98" s="157">
        <v>485</v>
      </c>
      <c r="D98" s="216">
        <v>0.3425141242937853</v>
      </c>
      <c r="E98" s="217">
        <v>2.1578426150121066</v>
      </c>
      <c r="F98" s="217">
        <v>4.2814430000000003</v>
      </c>
      <c r="G98" s="157">
        <v>8306</v>
      </c>
      <c r="H98" s="157">
        <v>17923.040760290558</v>
      </c>
      <c r="I98" s="208">
        <v>1.0308594406316767E-2</v>
      </c>
    </row>
    <row r="99" spans="1:9" ht="15" customHeight="1" x14ac:dyDescent="0.25">
      <c r="A99" s="155" t="s">
        <v>275</v>
      </c>
      <c r="B99" s="158">
        <v>1416</v>
      </c>
      <c r="C99" s="158">
        <v>485</v>
      </c>
      <c r="D99" s="218">
        <v>0.3425141242937853</v>
      </c>
      <c r="E99" s="219">
        <v>2.1578426150121066</v>
      </c>
      <c r="F99" s="219">
        <v>4.2814430000000003</v>
      </c>
      <c r="G99" s="158">
        <v>8306</v>
      </c>
      <c r="H99" s="158">
        <v>17923.040760290558</v>
      </c>
      <c r="I99" s="209">
        <v>1.0308594406316767E-2</v>
      </c>
    </row>
    <row r="100" spans="1:9" ht="15" customHeight="1" x14ac:dyDescent="0.25">
      <c r="A100" s="156" t="s">
        <v>56</v>
      </c>
      <c r="B100" s="157">
        <v>28</v>
      </c>
      <c r="C100" s="157">
        <v>14</v>
      </c>
      <c r="D100" s="216">
        <v>0.5</v>
      </c>
      <c r="E100" s="217">
        <v>1.8365714285714285</v>
      </c>
      <c r="F100" s="217">
        <v>4.3571425000000001</v>
      </c>
      <c r="G100" s="157">
        <v>244</v>
      </c>
      <c r="H100" s="157">
        <v>448.12342857142858</v>
      </c>
      <c r="I100" s="208">
        <v>2.5774212818539788E-4</v>
      </c>
    </row>
    <row r="101" spans="1:9" ht="15" customHeight="1" x14ac:dyDescent="0.25">
      <c r="A101" s="155" t="s">
        <v>274</v>
      </c>
      <c r="B101" s="158">
        <v>28</v>
      </c>
      <c r="C101" s="158">
        <v>14</v>
      </c>
      <c r="D101" s="218">
        <v>0.5</v>
      </c>
      <c r="E101" s="219">
        <v>1.8365714285714285</v>
      </c>
      <c r="F101" s="219">
        <v>4.3571425000000001</v>
      </c>
      <c r="G101" s="158">
        <v>244</v>
      </c>
      <c r="H101" s="158">
        <v>448.12342857142858</v>
      </c>
      <c r="I101" s="209">
        <v>2.5774212818539788E-4</v>
      </c>
    </row>
    <row r="102" spans="1:9" ht="15" customHeight="1" x14ac:dyDescent="0.25">
      <c r="A102" s="156" t="s">
        <v>491</v>
      </c>
      <c r="B102" s="157">
        <v>182</v>
      </c>
      <c r="C102" s="157">
        <v>42</v>
      </c>
      <c r="D102" s="216">
        <v>0.23076923076923078</v>
      </c>
      <c r="E102" s="217">
        <v>2.3858021978021977</v>
      </c>
      <c r="F102" s="217">
        <v>4.39285675</v>
      </c>
      <c r="G102" s="157">
        <v>738</v>
      </c>
      <c r="H102" s="157">
        <v>1760.722021978022</v>
      </c>
      <c r="I102" s="208">
        <v>1.0126947446917004E-3</v>
      </c>
    </row>
    <row r="103" spans="1:9" ht="15" customHeight="1" x14ac:dyDescent="0.25">
      <c r="A103" s="155" t="s">
        <v>489</v>
      </c>
      <c r="B103" s="158">
        <v>182</v>
      </c>
      <c r="C103" s="158">
        <v>42</v>
      </c>
      <c r="D103" s="218">
        <v>0.23076923076923078</v>
      </c>
      <c r="E103" s="219">
        <v>2.3858021978021977</v>
      </c>
      <c r="F103" s="219">
        <v>4.39285675</v>
      </c>
      <c r="G103" s="158">
        <v>738</v>
      </c>
      <c r="H103" s="158">
        <v>1760.722021978022</v>
      </c>
      <c r="I103" s="209">
        <v>1.0126947446917004E-3</v>
      </c>
    </row>
    <row r="104" spans="1:9" ht="15" customHeight="1" x14ac:dyDescent="0.25">
      <c r="A104" s="156" t="s">
        <v>129</v>
      </c>
      <c r="B104" s="157">
        <v>23</v>
      </c>
      <c r="C104" s="157">
        <v>18</v>
      </c>
      <c r="D104" s="216">
        <v>0.78260869565217395</v>
      </c>
      <c r="E104" s="217">
        <v>1.2777777777777779</v>
      </c>
      <c r="F104" s="217">
        <v>4.7222217499999992</v>
      </c>
      <c r="G104" s="157">
        <v>340</v>
      </c>
      <c r="H104" s="157">
        <v>434.44444444444451</v>
      </c>
      <c r="I104" s="208">
        <v>2.4987454024976471E-4</v>
      </c>
    </row>
    <row r="105" spans="1:9" ht="15" customHeight="1" x14ac:dyDescent="0.25">
      <c r="A105" s="155" t="s">
        <v>273</v>
      </c>
      <c r="B105" s="158">
        <v>23</v>
      </c>
      <c r="C105" s="158">
        <v>18</v>
      </c>
      <c r="D105" s="218">
        <v>0.78260869565217395</v>
      </c>
      <c r="E105" s="219">
        <v>1.2777777777777779</v>
      </c>
      <c r="F105" s="219">
        <v>4.7222217499999992</v>
      </c>
      <c r="G105" s="158">
        <v>340</v>
      </c>
      <c r="H105" s="158">
        <v>434.44444444444451</v>
      </c>
      <c r="I105" s="209">
        <v>2.4987454024976471E-4</v>
      </c>
    </row>
    <row r="106" spans="1:9" ht="15" customHeight="1" x14ac:dyDescent="0.25">
      <c r="A106" s="156" t="s">
        <v>57</v>
      </c>
      <c r="B106" s="157">
        <v>67</v>
      </c>
      <c r="C106" s="157">
        <v>29</v>
      </c>
      <c r="D106" s="216">
        <v>0.43283582089552236</v>
      </c>
      <c r="E106" s="217">
        <v>1.9735863539445631</v>
      </c>
      <c r="F106" s="217">
        <v>4.4396550000000001</v>
      </c>
      <c r="G106" s="157">
        <v>515</v>
      </c>
      <c r="H106" s="157">
        <v>1016.39697228145</v>
      </c>
      <c r="I106" s="208">
        <v>5.8458965100785705E-4</v>
      </c>
    </row>
    <row r="107" spans="1:9" ht="15" customHeight="1" x14ac:dyDescent="0.25">
      <c r="A107" s="155" t="s">
        <v>272</v>
      </c>
      <c r="B107" s="158">
        <v>67</v>
      </c>
      <c r="C107" s="158">
        <v>29</v>
      </c>
      <c r="D107" s="218">
        <v>0.43283582089552236</v>
      </c>
      <c r="E107" s="219">
        <v>1.9735863539445631</v>
      </c>
      <c r="F107" s="219">
        <v>4.4396550000000001</v>
      </c>
      <c r="G107" s="158">
        <v>515</v>
      </c>
      <c r="H107" s="158">
        <v>1016.39697228145</v>
      </c>
      <c r="I107" s="209">
        <v>5.8458965100785705E-4</v>
      </c>
    </row>
    <row r="108" spans="1:9" ht="15" customHeight="1" x14ac:dyDescent="0.25">
      <c r="A108" s="156" t="s">
        <v>58</v>
      </c>
      <c r="B108" s="157">
        <v>1615</v>
      </c>
      <c r="C108" s="157">
        <v>535</v>
      </c>
      <c r="D108" s="216">
        <v>0.33126934984520123</v>
      </c>
      <c r="E108" s="217">
        <v>2.1807819548872183</v>
      </c>
      <c r="F108" s="217">
        <v>4.2383172499999997</v>
      </c>
      <c r="G108" s="157">
        <v>9070</v>
      </c>
      <c r="H108" s="157">
        <v>19779.692330827071</v>
      </c>
      <c r="I108" s="208">
        <v>1.1376463873919411E-2</v>
      </c>
    </row>
    <row r="109" spans="1:9" ht="15" customHeight="1" x14ac:dyDescent="0.25">
      <c r="A109" s="155" t="s">
        <v>271</v>
      </c>
      <c r="B109" s="158">
        <v>1615</v>
      </c>
      <c r="C109" s="158">
        <v>535</v>
      </c>
      <c r="D109" s="218">
        <v>0.33126934984520123</v>
      </c>
      <c r="E109" s="219">
        <v>2.1807819548872183</v>
      </c>
      <c r="F109" s="219">
        <v>4.2383172499999997</v>
      </c>
      <c r="G109" s="158">
        <v>9070</v>
      </c>
      <c r="H109" s="158">
        <v>19779.692330827071</v>
      </c>
      <c r="I109" s="209">
        <v>1.1376463873919411E-2</v>
      </c>
    </row>
    <row r="110" spans="1:9" ht="15" customHeight="1" x14ac:dyDescent="0.25">
      <c r="A110" s="156" t="s">
        <v>59</v>
      </c>
      <c r="B110" s="157">
        <v>4008</v>
      </c>
      <c r="C110" s="157">
        <v>1959</v>
      </c>
      <c r="D110" s="216">
        <v>0.48877245508982037</v>
      </c>
      <c r="E110" s="217">
        <v>1.859475620188195</v>
      </c>
      <c r="F110" s="217">
        <v>4.2946652500000004</v>
      </c>
      <c r="G110" s="157">
        <v>33653</v>
      </c>
      <c r="H110" s="157">
        <v>62576.933046193328</v>
      </c>
      <c r="I110" s="208">
        <v>3.5991672986296873E-2</v>
      </c>
    </row>
    <row r="111" spans="1:9" ht="15" customHeight="1" x14ac:dyDescent="0.25">
      <c r="A111" s="155" t="s">
        <v>270</v>
      </c>
      <c r="B111" s="158">
        <v>4008</v>
      </c>
      <c r="C111" s="158">
        <v>1959</v>
      </c>
      <c r="D111" s="218">
        <v>0.48877245508982037</v>
      </c>
      <c r="E111" s="219">
        <v>1.859475620188195</v>
      </c>
      <c r="F111" s="219">
        <v>4.2946652500000004</v>
      </c>
      <c r="G111" s="158">
        <v>33653</v>
      </c>
      <c r="H111" s="158">
        <v>62576.933046193328</v>
      </c>
      <c r="I111" s="209">
        <v>3.5991672986296873E-2</v>
      </c>
    </row>
    <row r="112" spans="1:9" ht="15" customHeight="1" x14ac:dyDescent="0.25">
      <c r="A112" s="156" t="s">
        <v>469</v>
      </c>
      <c r="B112" s="157">
        <v>620</v>
      </c>
      <c r="C112" s="157">
        <v>386</v>
      </c>
      <c r="D112" s="216">
        <v>0.6225806451612903</v>
      </c>
      <c r="E112" s="217">
        <v>1.5865069124423963</v>
      </c>
      <c r="F112" s="217">
        <v>4.4384712500000001</v>
      </c>
      <c r="G112" s="157">
        <v>6853</v>
      </c>
      <c r="H112" s="157">
        <v>10872.331870967742</v>
      </c>
      <c r="I112" s="208">
        <v>6.2533172248870478E-3</v>
      </c>
    </row>
    <row r="113" spans="1:9" ht="15" customHeight="1" x14ac:dyDescent="0.25">
      <c r="A113" s="155" t="s">
        <v>230</v>
      </c>
      <c r="B113" s="158">
        <v>620</v>
      </c>
      <c r="C113" s="158">
        <v>386</v>
      </c>
      <c r="D113" s="218">
        <v>0.6225806451612903</v>
      </c>
      <c r="E113" s="219">
        <v>1.5865069124423963</v>
      </c>
      <c r="F113" s="219">
        <v>4.4384712500000001</v>
      </c>
      <c r="G113" s="158">
        <v>6853</v>
      </c>
      <c r="H113" s="158">
        <v>10872.331870967742</v>
      </c>
      <c r="I113" s="209">
        <v>6.2533172248870478E-3</v>
      </c>
    </row>
    <row r="114" spans="1:9" ht="15" customHeight="1" x14ac:dyDescent="0.25">
      <c r="A114" s="156" t="s">
        <v>438</v>
      </c>
      <c r="B114" s="157">
        <v>4065</v>
      </c>
      <c r="C114" s="157">
        <v>1084</v>
      </c>
      <c r="D114" s="216">
        <v>0.26666666666666666</v>
      </c>
      <c r="E114" s="217">
        <v>2.3125714285714287</v>
      </c>
      <c r="F114" s="217">
        <v>4.3115769999999989</v>
      </c>
      <c r="G114" s="157">
        <v>18695</v>
      </c>
      <c r="H114" s="157">
        <v>43233.52285714286</v>
      </c>
      <c r="I114" s="208">
        <v>2.4866140620398051E-2</v>
      </c>
    </row>
    <row r="115" spans="1:9" ht="15" customHeight="1" x14ac:dyDescent="0.25">
      <c r="A115" s="155" t="s">
        <v>244</v>
      </c>
      <c r="B115" s="158">
        <v>4065</v>
      </c>
      <c r="C115" s="158">
        <v>1084</v>
      </c>
      <c r="D115" s="218">
        <v>0.26666666666666666</v>
      </c>
      <c r="E115" s="219">
        <v>2.3125714285714287</v>
      </c>
      <c r="F115" s="219">
        <v>4.3115769999999989</v>
      </c>
      <c r="G115" s="158">
        <v>18695</v>
      </c>
      <c r="H115" s="158">
        <v>43233.52285714286</v>
      </c>
      <c r="I115" s="209">
        <v>2.4866140620398051E-2</v>
      </c>
    </row>
    <row r="116" spans="1:9" ht="15" customHeight="1" x14ac:dyDescent="0.25">
      <c r="A116" s="156" t="s">
        <v>60</v>
      </c>
      <c r="B116" s="157">
        <v>1376</v>
      </c>
      <c r="C116" s="157">
        <v>607</v>
      </c>
      <c r="D116" s="216">
        <v>0.44113372093023256</v>
      </c>
      <c r="E116" s="217">
        <v>1.9566586378737543</v>
      </c>
      <c r="F116" s="217">
        <v>4.2565892500000002</v>
      </c>
      <c r="G116" s="157">
        <v>10335</v>
      </c>
      <c r="H116" s="157">
        <v>20222.06702242525</v>
      </c>
      <c r="I116" s="208">
        <v>1.1630899565513027E-2</v>
      </c>
    </row>
    <row r="117" spans="1:9" ht="15" customHeight="1" x14ac:dyDescent="0.25">
      <c r="A117" s="155" t="s">
        <v>269</v>
      </c>
      <c r="B117" s="158">
        <v>1376</v>
      </c>
      <c r="C117" s="158">
        <v>607</v>
      </c>
      <c r="D117" s="218">
        <v>0.44113372093023256</v>
      </c>
      <c r="E117" s="219">
        <v>1.9566586378737543</v>
      </c>
      <c r="F117" s="219">
        <v>4.2565892500000002</v>
      </c>
      <c r="G117" s="158">
        <v>10335</v>
      </c>
      <c r="H117" s="158">
        <v>20222.06702242525</v>
      </c>
      <c r="I117" s="209">
        <v>1.1630899565513027E-2</v>
      </c>
    </row>
    <row r="118" spans="1:9" ht="15" customHeight="1" x14ac:dyDescent="0.25">
      <c r="A118" s="156" t="s">
        <v>473</v>
      </c>
      <c r="B118" s="157">
        <v>1349</v>
      </c>
      <c r="C118" s="157">
        <v>626</v>
      </c>
      <c r="D118" s="216">
        <v>0.46404744255003705</v>
      </c>
      <c r="E118" s="217">
        <v>1.909914645769353</v>
      </c>
      <c r="F118" s="217">
        <v>4.2527949999999999</v>
      </c>
      <c r="G118" s="157">
        <v>10649</v>
      </c>
      <c r="H118" s="157">
        <v>20338.681062797841</v>
      </c>
      <c r="I118" s="208">
        <v>1.1697971155672341E-2</v>
      </c>
    </row>
    <row r="119" spans="1:9" ht="15" customHeight="1" x14ac:dyDescent="0.25">
      <c r="A119" s="155" t="s">
        <v>472</v>
      </c>
      <c r="B119" s="158">
        <v>1349</v>
      </c>
      <c r="C119" s="158">
        <v>626</v>
      </c>
      <c r="D119" s="218">
        <v>0.46404744255003705</v>
      </c>
      <c r="E119" s="219">
        <v>1.909914645769353</v>
      </c>
      <c r="F119" s="219">
        <v>4.2527949999999999</v>
      </c>
      <c r="G119" s="158">
        <v>10649</v>
      </c>
      <c r="H119" s="158">
        <v>20338.681062797841</v>
      </c>
      <c r="I119" s="209">
        <v>1.1697971155672341E-2</v>
      </c>
    </row>
    <row r="120" spans="1:9" ht="15" customHeight="1" x14ac:dyDescent="0.25">
      <c r="A120" s="156" t="s">
        <v>61</v>
      </c>
      <c r="B120" s="157">
        <v>155</v>
      </c>
      <c r="C120" s="157">
        <v>57</v>
      </c>
      <c r="D120" s="216">
        <v>0.36774193548387096</v>
      </c>
      <c r="E120" s="217">
        <v>2.1063778801843318</v>
      </c>
      <c r="F120" s="217">
        <v>4.447368</v>
      </c>
      <c r="G120" s="157">
        <v>1014</v>
      </c>
      <c r="H120" s="157">
        <v>2135.8671705069123</v>
      </c>
      <c r="I120" s="208">
        <v>1.2284627737557095E-3</v>
      </c>
    </row>
    <row r="121" spans="1:9" ht="15" customHeight="1" x14ac:dyDescent="0.25">
      <c r="A121" s="155" t="s">
        <v>265</v>
      </c>
      <c r="B121" s="158">
        <v>155</v>
      </c>
      <c r="C121" s="158">
        <v>57</v>
      </c>
      <c r="D121" s="218">
        <v>0.36774193548387096</v>
      </c>
      <c r="E121" s="219">
        <v>2.1063778801843318</v>
      </c>
      <c r="F121" s="219">
        <v>4.447368</v>
      </c>
      <c r="G121" s="158">
        <v>1014</v>
      </c>
      <c r="H121" s="158">
        <v>2135.8671705069123</v>
      </c>
      <c r="I121" s="209">
        <v>1.2284627737557095E-3</v>
      </c>
    </row>
    <row r="122" spans="1:9" ht="15" customHeight="1" x14ac:dyDescent="0.25">
      <c r="A122" s="156" t="s">
        <v>496</v>
      </c>
      <c r="B122" s="157">
        <v>27</v>
      </c>
      <c r="C122" s="157">
        <v>15</v>
      </c>
      <c r="D122" s="216">
        <v>0.55555555555555558</v>
      </c>
      <c r="E122" s="217">
        <v>1.7232380952380952</v>
      </c>
      <c r="F122" s="217">
        <v>4.1333329999999995</v>
      </c>
      <c r="G122" s="157">
        <v>248</v>
      </c>
      <c r="H122" s="157">
        <v>427.36304761904762</v>
      </c>
      <c r="I122" s="208">
        <v>2.4580161263220725E-4</v>
      </c>
    </row>
    <row r="123" spans="1:9" ht="15" customHeight="1" x14ac:dyDescent="0.25">
      <c r="A123" s="155" t="s">
        <v>264</v>
      </c>
      <c r="B123" s="158">
        <v>27</v>
      </c>
      <c r="C123" s="158">
        <v>15</v>
      </c>
      <c r="D123" s="218">
        <v>0.55555555555555558</v>
      </c>
      <c r="E123" s="219">
        <v>1.7232380952380952</v>
      </c>
      <c r="F123" s="219">
        <v>4.1333329999999995</v>
      </c>
      <c r="G123" s="158">
        <v>248</v>
      </c>
      <c r="H123" s="158">
        <v>427.36304761904762</v>
      </c>
      <c r="I123" s="209">
        <v>2.4580161263220725E-4</v>
      </c>
    </row>
    <row r="124" spans="1:9" ht="15" customHeight="1" x14ac:dyDescent="0.25">
      <c r="A124" s="156" t="s">
        <v>359</v>
      </c>
      <c r="B124" s="157">
        <v>71</v>
      </c>
      <c r="C124" s="157">
        <v>54</v>
      </c>
      <c r="D124" s="216">
        <v>0.76056338028169013</v>
      </c>
      <c r="E124" s="217">
        <v>1.3148148148148149</v>
      </c>
      <c r="F124" s="217">
        <v>4.6712957499999996</v>
      </c>
      <c r="G124" s="157">
        <v>1009</v>
      </c>
      <c r="H124" s="157">
        <v>1326.6481481481483</v>
      </c>
      <c r="I124" s="208">
        <v>7.6303334138759136E-4</v>
      </c>
    </row>
    <row r="125" spans="1:9" ht="15" customHeight="1" x14ac:dyDescent="0.25">
      <c r="A125" s="155" t="s">
        <v>263</v>
      </c>
      <c r="B125" s="158">
        <v>71</v>
      </c>
      <c r="C125" s="158">
        <v>54</v>
      </c>
      <c r="D125" s="218">
        <v>0.76056338028169013</v>
      </c>
      <c r="E125" s="219">
        <v>1.3148148148148149</v>
      </c>
      <c r="F125" s="219">
        <v>4.6712957499999996</v>
      </c>
      <c r="G125" s="158">
        <v>1009</v>
      </c>
      <c r="H125" s="158">
        <v>1326.6481481481483</v>
      </c>
      <c r="I125" s="209">
        <v>7.6303334138759136E-4</v>
      </c>
    </row>
    <row r="126" spans="1:9" ht="15" customHeight="1" x14ac:dyDescent="0.25">
      <c r="A126" s="156" t="s">
        <v>64</v>
      </c>
      <c r="B126" s="157">
        <v>113</v>
      </c>
      <c r="C126" s="157">
        <v>36</v>
      </c>
      <c r="D126" s="216">
        <v>0.31858407079646017</v>
      </c>
      <c r="E126" s="217">
        <v>2.20665992414665</v>
      </c>
      <c r="F126" s="217">
        <v>4.4374994999999995</v>
      </c>
      <c r="G126" s="157">
        <v>639</v>
      </c>
      <c r="H126" s="157">
        <v>1410.0556915297093</v>
      </c>
      <c r="I126" s="208">
        <v>8.1100592297390049E-4</v>
      </c>
    </row>
    <row r="127" spans="1:9" ht="15" customHeight="1" x14ac:dyDescent="0.25">
      <c r="A127" s="155" t="s">
        <v>262</v>
      </c>
      <c r="B127" s="158">
        <v>113</v>
      </c>
      <c r="C127" s="158">
        <v>36</v>
      </c>
      <c r="D127" s="218">
        <v>0.31858407079646017</v>
      </c>
      <c r="E127" s="219">
        <v>2.20665992414665</v>
      </c>
      <c r="F127" s="219">
        <v>4.4374994999999995</v>
      </c>
      <c r="G127" s="158">
        <v>639</v>
      </c>
      <c r="H127" s="158">
        <v>1410.0556915297093</v>
      </c>
      <c r="I127" s="209">
        <v>8.1100592297390049E-4</v>
      </c>
    </row>
    <row r="128" spans="1:9" ht="15" customHeight="1" x14ac:dyDescent="0.25">
      <c r="A128" s="156" t="s">
        <v>144</v>
      </c>
      <c r="B128" s="157">
        <v>16</v>
      </c>
      <c r="C128" s="157">
        <v>15</v>
      </c>
      <c r="D128" s="216">
        <v>0.9375</v>
      </c>
      <c r="E128" s="217">
        <v>1.0666666666666667</v>
      </c>
      <c r="F128" s="217">
        <v>4.233333</v>
      </c>
      <c r="G128" s="157">
        <v>254</v>
      </c>
      <c r="H128" s="157">
        <v>270.93333333333334</v>
      </c>
      <c r="I128" s="208">
        <v>1.5582968770972536E-4</v>
      </c>
    </row>
    <row r="129" spans="1:9" ht="15" customHeight="1" x14ac:dyDescent="0.25">
      <c r="A129" s="155" t="s">
        <v>260</v>
      </c>
      <c r="B129" s="158">
        <v>16</v>
      </c>
      <c r="C129" s="158">
        <v>15</v>
      </c>
      <c r="D129" s="218">
        <v>0.9375</v>
      </c>
      <c r="E129" s="219">
        <v>1.0666666666666667</v>
      </c>
      <c r="F129" s="219">
        <v>4.233333</v>
      </c>
      <c r="G129" s="158">
        <v>254</v>
      </c>
      <c r="H129" s="158">
        <v>270.93333333333334</v>
      </c>
      <c r="I129" s="209">
        <v>1.5582968770972536E-4</v>
      </c>
    </row>
    <row r="130" spans="1:9" ht="15" customHeight="1" x14ac:dyDescent="0.25">
      <c r="A130" s="156" t="s">
        <v>65</v>
      </c>
      <c r="B130" s="157">
        <v>40</v>
      </c>
      <c r="C130" s="157">
        <v>11</v>
      </c>
      <c r="D130" s="216">
        <v>0.27500000000000002</v>
      </c>
      <c r="E130" s="217">
        <v>2.2955714285714284</v>
      </c>
      <c r="F130" s="217">
        <v>4.3636359999999996</v>
      </c>
      <c r="G130" s="157">
        <v>192</v>
      </c>
      <c r="H130" s="157">
        <v>440.74971428571428</v>
      </c>
      <c r="I130" s="208">
        <v>2.5350107161156569E-4</v>
      </c>
    </row>
    <row r="131" spans="1:9" ht="15" customHeight="1" x14ac:dyDescent="0.25">
      <c r="A131" s="155" t="s">
        <v>299</v>
      </c>
      <c r="B131" s="158">
        <v>40</v>
      </c>
      <c r="C131" s="158">
        <v>11</v>
      </c>
      <c r="D131" s="218">
        <v>0.27500000000000002</v>
      </c>
      <c r="E131" s="219">
        <v>2.2955714285714284</v>
      </c>
      <c r="F131" s="219">
        <v>4.3636359999999996</v>
      </c>
      <c r="G131" s="158">
        <v>192</v>
      </c>
      <c r="H131" s="158">
        <v>440.74971428571428</v>
      </c>
      <c r="I131" s="209">
        <v>2.5350107161156569E-4</v>
      </c>
    </row>
    <row r="132" spans="1:9" ht="15" customHeight="1" x14ac:dyDescent="0.25">
      <c r="A132" s="156" t="s">
        <v>66</v>
      </c>
      <c r="B132" s="157">
        <v>27</v>
      </c>
      <c r="C132" s="157">
        <v>27</v>
      </c>
      <c r="D132" s="216">
        <v>1</v>
      </c>
      <c r="E132" s="217">
        <v>1</v>
      </c>
      <c r="F132" s="217">
        <v>4.7407400000000006</v>
      </c>
      <c r="G132" s="157">
        <v>512</v>
      </c>
      <c r="H132" s="157">
        <v>512</v>
      </c>
      <c r="I132" s="208">
        <v>2.9448129960892982E-4</v>
      </c>
    </row>
    <row r="133" spans="1:9" ht="15" customHeight="1" x14ac:dyDescent="0.25">
      <c r="A133" s="155" t="s">
        <v>259</v>
      </c>
      <c r="B133" s="158">
        <v>27</v>
      </c>
      <c r="C133" s="158">
        <v>27</v>
      </c>
      <c r="D133" s="218">
        <v>1</v>
      </c>
      <c r="E133" s="219">
        <v>1</v>
      </c>
      <c r="F133" s="219">
        <v>4.7407400000000006</v>
      </c>
      <c r="G133" s="158">
        <v>512</v>
      </c>
      <c r="H133" s="158">
        <v>512</v>
      </c>
      <c r="I133" s="209">
        <v>2.9448129960892982E-4</v>
      </c>
    </row>
    <row r="134" spans="1:9" ht="15" customHeight="1" x14ac:dyDescent="0.25">
      <c r="A134" s="156" t="s">
        <v>67</v>
      </c>
      <c r="B134" s="157">
        <v>22</v>
      </c>
      <c r="C134" s="157">
        <v>15</v>
      </c>
      <c r="D134" s="216">
        <v>0.68181818181818177</v>
      </c>
      <c r="E134" s="217">
        <v>1.4656623376623377</v>
      </c>
      <c r="F134" s="217">
        <v>4.5166662499999992</v>
      </c>
      <c r="G134" s="157">
        <v>271</v>
      </c>
      <c r="H134" s="157">
        <v>397.19449350649353</v>
      </c>
      <c r="I134" s="208">
        <v>2.2844990360410713E-4</v>
      </c>
    </row>
    <row r="135" spans="1:9" ht="15" customHeight="1" x14ac:dyDescent="0.25">
      <c r="A135" s="155" t="s">
        <v>258</v>
      </c>
      <c r="B135" s="158">
        <v>22</v>
      </c>
      <c r="C135" s="158">
        <v>15</v>
      </c>
      <c r="D135" s="218">
        <v>0.68181818181818177</v>
      </c>
      <c r="E135" s="219">
        <v>1.4656623376623377</v>
      </c>
      <c r="F135" s="219">
        <v>4.5166662499999992</v>
      </c>
      <c r="G135" s="158">
        <v>271</v>
      </c>
      <c r="H135" s="158">
        <v>397.19449350649353</v>
      </c>
      <c r="I135" s="209">
        <v>2.2844990360410713E-4</v>
      </c>
    </row>
    <row r="136" spans="1:9" ht="15" customHeight="1" x14ac:dyDescent="0.25">
      <c r="A136" s="156" t="s">
        <v>468</v>
      </c>
      <c r="B136" s="157">
        <v>301</v>
      </c>
      <c r="C136" s="157">
        <v>182</v>
      </c>
      <c r="D136" s="216">
        <v>0.60465116279069764</v>
      </c>
      <c r="E136" s="217">
        <v>1.6230830564784053</v>
      </c>
      <c r="F136" s="217">
        <v>4.2980764999999996</v>
      </c>
      <c r="G136" s="157">
        <v>3129</v>
      </c>
      <c r="H136" s="157">
        <v>5078.62688372093</v>
      </c>
      <c r="I136" s="208">
        <v>2.9210168846620873E-3</v>
      </c>
    </row>
    <row r="137" spans="1:9" ht="15" customHeight="1" x14ac:dyDescent="0.25">
      <c r="A137" s="155" t="s">
        <v>296</v>
      </c>
      <c r="B137" s="158">
        <v>301</v>
      </c>
      <c r="C137" s="158">
        <v>182</v>
      </c>
      <c r="D137" s="218">
        <v>0.60465116279069764</v>
      </c>
      <c r="E137" s="219">
        <v>1.6230830564784053</v>
      </c>
      <c r="F137" s="219">
        <v>4.2980764999999996</v>
      </c>
      <c r="G137" s="158">
        <v>3129</v>
      </c>
      <c r="H137" s="158">
        <v>5078.62688372093</v>
      </c>
      <c r="I137" s="209">
        <v>2.9210168846620873E-3</v>
      </c>
    </row>
    <row r="138" spans="1:9" ht="15" customHeight="1" x14ac:dyDescent="0.25">
      <c r="A138" s="156" t="s">
        <v>68</v>
      </c>
      <c r="B138" s="157">
        <v>880</v>
      </c>
      <c r="C138" s="157">
        <v>355</v>
      </c>
      <c r="D138" s="216">
        <v>0.40340909090909088</v>
      </c>
      <c r="E138" s="217">
        <v>2.033616883116883</v>
      </c>
      <c r="F138" s="217">
        <v>4.2802812499999998</v>
      </c>
      <c r="G138" s="157">
        <v>6078</v>
      </c>
      <c r="H138" s="157">
        <v>12360.323415584415</v>
      </c>
      <c r="I138" s="208">
        <v>7.1091486386874701E-3</v>
      </c>
    </row>
    <row r="139" spans="1:9" ht="15" customHeight="1" x14ac:dyDescent="0.25">
      <c r="A139" s="155" t="s">
        <v>257</v>
      </c>
      <c r="B139" s="158">
        <v>880</v>
      </c>
      <c r="C139" s="158">
        <v>355</v>
      </c>
      <c r="D139" s="218">
        <v>0.40340909090909088</v>
      </c>
      <c r="E139" s="219">
        <v>2.033616883116883</v>
      </c>
      <c r="F139" s="219">
        <v>4.2802812499999998</v>
      </c>
      <c r="G139" s="158">
        <v>6078</v>
      </c>
      <c r="H139" s="158">
        <v>12360.323415584415</v>
      </c>
      <c r="I139" s="209">
        <v>7.1091486386874701E-3</v>
      </c>
    </row>
    <row r="140" spans="1:9" ht="15" customHeight="1" x14ac:dyDescent="0.25">
      <c r="A140" s="156" t="s">
        <v>69</v>
      </c>
      <c r="B140" s="157">
        <v>1160</v>
      </c>
      <c r="C140" s="157">
        <v>547</v>
      </c>
      <c r="D140" s="216">
        <v>0.47155172413793106</v>
      </c>
      <c r="E140" s="217">
        <v>1.8946059113300493</v>
      </c>
      <c r="F140" s="217">
        <v>4.3555752500000002</v>
      </c>
      <c r="G140" s="157">
        <v>9530</v>
      </c>
      <c r="H140" s="157">
        <v>18055.594334975369</v>
      </c>
      <c r="I140" s="208">
        <v>1.0384833759717145E-2</v>
      </c>
    </row>
    <row r="141" spans="1:9" ht="15" customHeight="1" x14ac:dyDescent="0.25">
      <c r="A141" s="155" t="s">
        <v>255</v>
      </c>
      <c r="B141" s="158">
        <v>1160</v>
      </c>
      <c r="C141" s="158">
        <v>547</v>
      </c>
      <c r="D141" s="218">
        <v>0.47155172413793106</v>
      </c>
      <c r="E141" s="219">
        <v>1.8946059113300493</v>
      </c>
      <c r="F141" s="219">
        <v>4.3555752500000002</v>
      </c>
      <c r="G141" s="158">
        <v>9530</v>
      </c>
      <c r="H141" s="158">
        <v>18055.594334975369</v>
      </c>
      <c r="I141" s="209">
        <v>1.0384833759717145E-2</v>
      </c>
    </row>
    <row r="142" spans="1:9" ht="15" customHeight="1" x14ac:dyDescent="0.25">
      <c r="A142" s="156" t="s">
        <v>70</v>
      </c>
      <c r="B142" s="157">
        <v>1601</v>
      </c>
      <c r="C142" s="157">
        <v>458</v>
      </c>
      <c r="D142" s="216">
        <v>0.28607120549656467</v>
      </c>
      <c r="E142" s="217">
        <v>2.2729861693584366</v>
      </c>
      <c r="F142" s="217">
        <v>4.3275102499999996</v>
      </c>
      <c r="G142" s="157">
        <v>7928</v>
      </c>
      <c r="H142" s="157">
        <v>18020.234350673683</v>
      </c>
      <c r="I142" s="208">
        <v>1.0364496153991926E-2</v>
      </c>
    </row>
    <row r="143" spans="1:9" ht="15" customHeight="1" x14ac:dyDescent="0.25">
      <c r="A143" s="155" t="s">
        <v>254</v>
      </c>
      <c r="B143" s="158">
        <v>1601</v>
      </c>
      <c r="C143" s="158">
        <v>458</v>
      </c>
      <c r="D143" s="218">
        <v>0.28607120549656467</v>
      </c>
      <c r="E143" s="219">
        <v>2.2729861693584366</v>
      </c>
      <c r="F143" s="219">
        <v>4.3275102499999996</v>
      </c>
      <c r="G143" s="158">
        <v>7928</v>
      </c>
      <c r="H143" s="158">
        <v>18020.234350673683</v>
      </c>
      <c r="I143" s="209">
        <v>1.0364496153991926E-2</v>
      </c>
    </row>
    <row r="144" spans="1:9" ht="15" customHeight="1" x14ac:dyDescent="0.25">
      <c r="A144" s="156" t="s">
        <v>71</v>
      </c>
      <c r="B144" s="157">
        <v>3271</v>
      </c>
      <c r="C144" s="157">
        <v>1511</v>
      </c>
      <c r="D144" s="216">
        <v>0.46193824518495874</v>
      </c>
      <c r="E144" s="217">
        <v>1.9142174083941128</v>
      </c>
      <c r="F144" s="217">
        <v>4.2647249999999994</v>
      </c>
      <c r="G144" s="157">
        <v>25776</v>
      </c>
      <c r="H144" s="157">
        <v>49340.867918766649</v>
      </c>
      <c r="I144" s="208">
        <v>2.8378833805763583E-2</v>
      </c>
    </row>
    <row r="145" spans="1:9" ht="15" customHeight="1" x14ac:dyDescent="0.25">
      <c r="A145" s="155" t="s">
        <v>253</v>
      </c>
      <c r="B145" s="158">
        <v>3271</v>
      </c>
      <c r="C145" s="158">
        <v>1511</v>
      </c>
      <c r="D145" s="218">
        <v>0.46193824518495874</v>
      </c>
      <c r="E145" s="219">
        <v>1.9142174083941128</v>
      </c>
      <c r="F145" s="219">
        <v>4.2647249999999994</v>
      </c>
      <c r="G145" s="158">
        <v>25776</v>
      </c>
      <c r="H145" s="158">
        <v>49340.867918766649</v>
      </c>
      <c r="I145" s="209">
        <v>2.8378833805763583E-2</v>
      </c>
    </row>
    <row r="146" spans="1:9" ht="15" customHeight="1" x14ac:dyDescent="0.25">
      <c r="A146" s="156" t="s">
        <v>497</v>
      </c>
      <c r="B146" s="157">
        <v>168</v>
      </c>
      <c r="C146" s="157">
        <v>67</v>
      </c>
      <c r="D146" s="216">
        <v>0.39880952380952384</v>
      </c>
      <c r="E146" s="217">
        <v>2.0430000000000001</v>
      </c>
      <c r="F146" s="217">
        <v>4.3470145000000002</v>
      </c>
      <c r="G146" s="157">
        <v>1165</v>
      </c>
      <c r="H146" s="157">
        <v>2380.0950000000003</v>
      </c>
      <c r="I146" s="208">
        <v>1.3689325562357732E-3</v>
      </c>
    </row>
    <row r="147" spans="1:9" ht="15" customHeight="1" x14ac:dyDescent="0.25">
      <c r="A147" s="155" t="s">
        <v>251</v>
      </c>
      <c r="B147" s="158">
        <v>168</v>
      </c>
      <c r="C147" s="158">
        <v>67</v>
      </c>
      <c r="D147" s="218">
        <v>0.39880952380952384</v>
      </c>
      <c r="E147" s="219">
        <v>2.0430000000000001</v>
      </c>
      <c r="F147" s="219">
        <v>4.3470145000000002</v>
      </c>
      <c r="G147" s="158">
        <v>1165</v>
      </c>
      <c r="H147" s="158">
        <v>2380.0950000000003</v>
      </c>
      <c r="I147" s="209">
        <v>1.3689325562357732E-3</v>
      </c>
    </row>
    <row r="148" spans="1:9" ht="15" customHeight="1" x14ac:dyDescent="0.25">
      <c r="A148" s="156" t="s">
        <v>73</v>
      </c>
      <c r="B148" s="157">
        <v>131</v>
      </c>
      <c r="C148" s="157">
        <v>48</v>
      </c>
      <c r="D148" s="216">
        <v>0.36641221374045801</v>
      </c>
      <c r="E148" s="217">
        <v>2.1090905125408943</v>
      </c>
      <c r="F148" s="217">
        <v>4.4635415000000007</v>
      </c>
      <c r="G148" s="157">
        <v>857</v>
      </c>
      <c r="H148" s="157">
        <v>1807.4905692475463</v>
      </c>
      <c r="I148" s="208">
        <v>1.03959408566973E-3</v>
      </c>
    </row>
    <row r="149" spans="1:9" ht="15" customHeight="1" x14ac:dyDescent="0.25">
      <c r="A149" s="155" t="s">
        <v>247</v>
      </c>
      <c r="B149" s="158">
        <v>131</v>
      </c>
      <c r="C149" s="158">
        <v>48</v>
      </c>
      <c r="D149" s="218">
        <v>0.36641221374045801</v>
      </c>
      <c r="E149" s="219">
        <v>2.1090905125408943</v>
      </c>
      <c r="F149" s="219">
        <v>4.4635415000000007</v>
      </c>
      <c r="G149" s="158">
        <v>857</v>
      </c>
      <c r="H149" s="158">
        <v>1807.4905692475463</v>
      </c>
      <c r="I149" s="209">
        <v>1.03959408566973E-3</v>
      </c>
    </row>
    <row r="150" spans="1:9" ht="15" customHeight="1" x14ac:dyDescent="0.25">
      <c r="A150" s="156" t="s">
        <v>74</v>
      </c>
      <c r="B150" s="157">
        <v>198</v>
      </c>
      <c r="C150" s="157">
        <v>81</v>
      </c>
      <c r="D150" s="216">
        <v>0.40909090909090912</v>
      </c>
      <c r="E150" s="217">
        <v>2.0220259740259743</v>
      </c>
      <c r="F150" s="217">
        <v>4.3580242499999997</v>
      </c>
      <c r="G150" s="157">
        <v>1412</v>
      </c>
      <c r="H150" s="157">
        <v>2855.1006753246756</v>
      </c>
      <c r="I150" s="208">
        <v>1.642136244890515E-3</v>
      </c>
    </row>
    <row r="151" spans="1:9" ht="15" customHeight="1" x14ac:dyDescent="0.25">
      <c r="A151" s="155" t="s">
        <v>249</v>
      </c>
      <c r="B151" s="158">
        <v>198</v>
      </c>
      <c r="C151" s="158">
        <v>81</v>
      </c>
      <c r="D151" s="218">
        <v>0.40909090909090912</v>
      </c>
      <c r="E151" s="219">
        <v>2.0220259740259743</v>
      </c>
      <c r="F151" s="219">
        <v>4.3580242499999997</v>
      </c>
      <c r="G151" s="158">
        <v>1412</v>
      </c>
      <c r="H151" s="158">
        <v>2855.1006753246756</v>
      </c>
      <c r="I151" s="209">
        <v>1.642136244890515E-3</v>
      </c>
    </row>
    <row r="152" spans="1:9" ht="15" customHeight="1" x14ac:dyDescent="0.25">
      <c r="A152" s="156" t="s">
        <v>441</v>
      </c>
      <c r="B152" s="157">
        <v>504</v>
      </c>
      <c r="C152" s="157">
        <v>253</v>
      </c>
      <c r="D152" s="216">
        <v>0.50198412698412698</v>
      </c>
      <c r="E152" s="217">
        <v>1.8325238095238097</v>
      </c>
      <c r="F152" s="217">
        <v>4.3883394999999998</v>
      </c>
      <c r="G152" s="157">
        <v>4441</v>
      </c>
      <c r="H152" s="157">
        <v>8138.2382380952386</v>
      </c>
      <c r="I152" s="208">
        <v>4.6807792439089316E-3</v>
      </c>
    </row>
    <row r="153" spans="1:9" ht="15" customHeight="1" x14ac:dyDescent="0.25">
      <c r="A153" s="155" t="s">
        <v>280</v>
      </c>
      <c r="B153" s="158">
        <v>504</v>
      </c>
      <c r="C153" s="158">
        <v>253</v>
      </c>
      <c r="D153" s="218">
        <v>0.50198412698412698</v>
      </c>
      <c r="E153" s="219">
        <v>1.8325238095238097</v>
      </c>
      <c r="F153" s="219">
        <v>4.3883394999999998</v>
      </c>
      <c r="G153" s="158">
        <v>4441</v>
      </c>
      <c r="H153" s="158">
        <v>8138.2382380952386</v>
      </c>
      <c r="I153" s="209">
        <v>4.6807792439089316E-3</v>
      </c>
    </row>
    <row r="154" spans="1:9" ht="15" customHeight="1" x14ac:dyDescent="0.25">
      <c r="A154" s="156" t="s">
        <v>75</v>
      </c>
      <c r="B154" s="157">
        <v>510</v>
      </c>
      <c r="C154" s="157">
        <v>342</v>
      </c>
      <c r="D154" s="216">
        <v>0.6705882352941176</v>
      </c>
      <c r="E154" s="217">
        <v>1.4885714285714287</v>
      </c>
      <c r="F154" s="217">
        <v>4.0884494999999994</v>
      </c>
      <c r="G154" s="157">
        <v>5593</v>
      </c>
      <c r="H154" s="157">
        <v>8325.58</v>
      </c>
      <c r="I154" s="208">
        <v>4.7885305046838165E-3</v>
      </c>
    </row>
    <row r="155" spans="1:9" ht="15" customHeight="1" x14ac:dyDescent="0.25">
      <c r="A155" s="155" t="s">
        <v>246</v>
      </c>
      <c r="B155" s="158">
        <v>510</v>
      </c>
      <c r="C155" s="158">
        <v>342</v>
      </c>
      <c r="D155" s="218">
        <v>0.6705882352941176</v>
      </c>
      <c r="E155" s="219">
        <v>1.4885714285714287</v>
      </c>
      <c r="F155" s="219">
        <v>4.0884494999999994</v>
      </c>
      <c r="G155" s="158">
        <v>5593</v>
      </c>
      <c r="H155" s="158">
        <v>8325.58</v>
      </c>
      <c r="I155" s="209">
        <v>4.7885305046838165E-3</v>
      </c>
    </row>
    <row r="156" spans="1:9" ht="15" customHeight="1" x14ac:dyDescent="0.25">
      <c r="A156" s="156" t="s">
        <v>76</v>
      </c>
      <c r="B156" s="157">
        <v>15</v>
      </c>
      <c r="C156" s="157">
        <v>9</v>
      </c>
      <c r="D156" s="216">
        <v>0.6</v>
      </c>
      <c r="E156" s="217">
        <v>1.6325714285714286</v>
      </c>
      <c r="F156" s="217">
        <v>4.8055547500000007</v>
      </c>
      <c r="G156" s="157">
        <v>173</v>
      </c>
      <c r="H156" s="157">
        <v>282.43485714285714</v>
      </c>
      <c r="I156" s="208">
        <v>1.6244489020759962E-4</v>
      </c>
    </row>
    <row r="157" spans="1:9" ht="15" customHeight="1" x14ac:dyDescent="0.25">
      <c r="A157" s="155" t="s">
        <v>245</v>
      </c>
      <c r="B157" s="158">
        <v>15</v>
      </c>
      <c r="C157" s="158">
        <v>9</v>
      </c>
      <c r="D157" s="218">
        <v>0.6</v>
      </c>
      <c r="E157" s="219">
        <v>1.6325714285714286</v>
      </c>
      <c r="F157" s="219">
        <v>4.8055547500000007</v>
      </c>
      <c r="G157" s="158">
        <v>173</v>
      </c>
      <c r="H157" s="158">
        <v>282.43485714285714</v>
      </c>
      <c r="I157" s="209">
        <v>1.6244489020759962E-4</v>
      </c>
    </row>
    <row r="158" spans="1:9" ht="15" customHeight="1" x14ac:dyDescent="0.25">
      <c r="A158" s="156" t="s">
        <v>77</v>
      </c>
      <c r="B158" s="157">
        <v>22</v>
      </c>
      <c r="C158" s="157">
        <v>5</v>
      </c>
      <c r="D158" s="216">
        <v>0.22727272727272727</v>
      </c>
      <c r="E158" s="217">
        <v>2.3929350649350649</v>
      </c>
      <c r="F158" s="217">
        <v>4.25</v>
      </c>
      <c r="G158" s="157">
        <v>85</v>
      </c>
      <c r="H158" s="157">
        <v>203.39948051948051</v>
      </c>
      <c r="I158" s="208">
        <v>1.1698699875616762E-4</v>
      </c>
    </row>
    <row r="159" spans="1:9" ht="15" customHeight="1" x14ac:dyDescent="0.25">
      <c r="A159" s="155" t="s">
        <v>241</v>
      </c>
      <c r="B159" s="158">
        <v>22</v>
      </c>
      <c r="C159" s="158">
        <v>5</v>
      </c>
      <c r="D159" s="218">
        <v>0.22727272727272727</v>
      </c>
      <c r="E159" s="219">
        <v>2.3929350649350649</v>
      </c>
      <c r="F159" s="219">
        <v>4.25</v>
      </c>
      <c r="G159" s="158">
        <v>85</v>
      </c>
      <c r="H159" s="158">
        <v>203.39948051948051</v>
      </c>
      <c r="I159" s="209">
        <v>1.1698699875616762E-4</v>
      </c>
    </row>
    <row r="160" spans="1:9" ht="15" customHeight="1" x14ac:dyDescent="0.25">
      <c r="A160" s="156" t="s">
        <v>79</v>
      </c>
      <c r="B160" s="157">
        <v>58</v>
      </c>
      <c r="C160" s="157">
        <v>21</v>
      </c>
      <c r="D160" s="216">
        <v>0.36206896551724138</v>
      </c>
      <c r="E160" s="217">
        <v>2.1179507389162562</v>
      </c>
      <c r="F160" s="217">
        <v>4.1904757500000001</v>
      </c>
      <c r="G160" s="157">
        <v>352</v>
      </c>
      <c r="H160" s="157">
        <v>745.51866009852222</v>
      </c>
      <c r="I160" s="208">
        <v>4.2879160919632976E-4</v>
      </c>
    </row>
    <row r="161" spans="1:9" ht="15" customHeight="1" x14ac:dyDescent="0.25">
      <c r="A161" s="155" t="s">
        <v>239</v>
      </c>
      <c r="B161" s="158">
        <v>58</v>
      </c>
      <c r="C161" s="158">
        <v>21</v>
      </c>
      <c r="D161" s="218">
        <v>0.36206896551724138</v>
      </c>
      <c r="E161" s="219">
        <v>2.1179507389162562</v>
      </c>
      <c r="F161" s="219">
        <v>4.1904757500000001</v>
      </c>
      <c r="G161" s="158">
        <v>352</v>
      </c>
      <c r="H161" s="158">
        <v>745.51866009852222</v>
      </c>
      <c r="I161" s="209">
        <v>4.2879160919632976E-4</v>
      </c>
    </row>
    <row r="162" spans="1:9" ht="15" customHeight="1" x14ac:dyDescent="0.25">
      <c r="A162" s="156" t="s">
        <v>80</v>
      </c>
      <c r="B162" s="157">
        <v>828</v>
      </c>
      <c r="C162" s="157">
        <v>248</v>
      </c>
      <c r="D162" s="216">
        <v>0.29951690821256038</v>
      </c>
      <c r="E162" s="217">
        <v>2.2455569358178056</v>
      </c>
      <c r="F162" s="217">
        <v>4.3800397500000008</v>
      </c>
      <c r="G162" s="157">
        <v>4345</v>
      </c>
      <c r="H162" s="157">
        <v>9756.9448861283654</v>
      </c>
      <c r="I162" s="208">
        <v>5.6117925982027009E-3</v>
      </c>
    </row>
    <row r="163" spans="1:9" ht="15" customHeight="1" x14ac:dyDescent="0.25">
      <c r="A163" s="155" t="s">
        <v>238</v>
      </c>
      <c r="B163" s="158">
        <v>828</v>
      </c>
      <c r="C163" s="158">
        <v>248</v>
      </c>
      <c r="D163" s="218">
        <v>0.29951690821256038</v>
      </c>
      <c r="E163" s="219">
        <v>2.2455569358178056</v>
      </c>
      <c r="F163" s="219">
        <v>4.3800397500000008</v>
      </c>
      <c r="G163" s="158">
        <v>4345</v>
      </c>
      <c r="H163" s="158">
        <v>9756.9448861283654</v>
      </c>
      <c r="I163" s="209">
        <v>5.6117925982027009E-3</v>
      </c>
    </row>
    <row r="164" spans="1:9" ht="15" customHeight="1" x14ac:dyDescent="0.25">
      <c r="A164" s="156" t="s">
        <v>81</v>
      </c>
      <c r="B164" s="157">
        <v>815</v>
      </c>
      <c r="C164" s="157">
        <v>566</v>
      </c>
      <c r="D164" s="216">
        <v>0.69447852760736195</v>
      </c>
      <c r="E164" s="217">
        <v>1.4398352322524102</v>
      </c>
      <c r="F164" s="217">
        <v>4.3255295</v>
      </c>
      <c r="G164" s="157">
        <v>9793</v>
      </c>
      <c r="H164" s="157">
        <v>14100.306429447854</v>
      </c>
      <c r="I164" s="208">
        <v>8.1099151606014701E-3</v>
      </c>
    </row>
    <row r="165" spans="1:9" ht="15" customHeight="1" x14ac:dyDescent="0.25">
      <c r="A165" s="155" t="s">
        <v>237</v>
      </c>
      <c r="B165" s="158">
        <v>815</v>
      </c>
      <c r="C165" s="158">
        <v>566</v>
      </c>
      <c r="D165" s="218">
        <v>0.69447852760736195</v>
      </c>
      <c r="E165" s="219">
        <v>1.4398352322524102</v>
      </c>
      <c r="F165" s="219">
        <v>4.3255295</v>
      </c>
      <c r="G165" s="158">
        <v>9793</v>
      </c>
      <c r="H165" s="158">
        <v>14100.306429447854</v>
      </c>
      <c r="I165" s="209">
        <v>8.1099151606014701E-3</v>
      </c>
    </row>
    <row r="166" spans="1:9" ht="15" customHeight="1" x14ac:dyDescent="0.25">
      <c r="A166" s="156" t="s">
        <v>498</v>
      </c>
      <c r="B166" s="157">
        <v>64</v>
      </c>
      <c r="C166" s="157">
        <v>32</v>
      </c>
      <c r="D166" s="216">
        <v>0.5</v>
      </c>
      <c r="E166" s="217">
        <v>1.8365714285714285</v>
      </c>
      <c r="F166" s="217">
        <v>4.140625</v>
      </c>
      <c r="G166" s="157">
        <v>530</v>
      </c>
      <c r="H166" s="157">
        <v>973.38285714285712</v>
      </c>
      <c r="I166" s="208">
        <v>5.5984970466500361E-4</v>
      </c>
    </row>
    <row r="167" spans="1:9" ht="15" customHeight="1" x14ac:dyDescent="0.25">
      <c r="A167" s="155" t="s">
        <v>236</v>
      </c>
      <c r="B167" s="158">
        <v>64</v>
      </c>
      <c r="C167" s="158">
        <v>32</v>
      </c>
      <c r="D167" s="218">
        <v>0.5</v>
      </c>
      <c r="E167" s="219">
        <v>1.8365714285714285</v>
      </c>
      <c r="F167" s="219">
        <v>4.140625</v>
      </c>
      <c r="G167" s="158">
        <v>530</v>
      </c>
      <c r="H167" s="158">
        <v>973.38285714285712</v>
      </c>
      <c r="I167" s="209">
        <v>5.5984970466500361E-4</v>
      </c>
    </row>
    <row r="168" spans="1:9" ht="15" customHeight="1" x14ac:dyDescent="0.25">
      <c r="A168" s="156" t="s">
        <v>83</v>
      </c>
      <c r="B168" s="157">
        <v>3327</v>
      </c>
      <c r="C168" s="157">
        <v>1494</v>
      </c>
      <c r="D168" s="216">
        <v>0.44905320108205593</v>
      </c>
      <c r="E168" s="217">
        <v>1.9405028983640344</v>
      </c>
      <c r="F168" s="217">
        <v>4.3803542500000008</v>
      </c>
      <c r="G168" s="157">
        <v>26177</v>
      </c>
      <c r="H168" s="157">
        <v>50796.544370475327</v>
      </c>
      <c r="I168" s="208">
        <v>2.9216078909883286E-2</v>
      </c>
    </row>
    <row r="169" spans="1:9" ht="15" customHeight="1" x14ac:dyDescent="0.25">
      <c r="A169" s="155" t="s">
        <v>243</v>
      </c>
      <c r="B169" s="158">
        <v>3327</v>
      </c>
      <c r="C169" s="158">
        <v>1494</v>
      </c>
      <c r="D169" s="218">
        <v>0.44905320108205593</v>
      </c>
      <c r="E169" s="219">
        <v>1.9405028983640344</v>
      </c>
      <c r="F169" s="219">
        <v>4.3803542500000008</v>
      </c>
      <c r="G169" s="158">
        <v>26177</v>
      </c>
      <c r="H169" s="158">
        <v>50796.544370475327</v>
      </c>
      <c r="I169" s="209">
        <v>2.9216078909883286E-2</v>
      </c>
    </row>
    <row r="170" spans="1:9" ht="15" customHeight="1" x14ac:dyDescent="0.25">
      <c r="A170" s="156" t="s">
        <v>492</v>
      </c>
      <c r="B170" s="157">
        <v>103</v>
      </c>
      <c r="C170" s="157">
        <v>43</v>
      </c>
      <c r="D170" s="216">
        <v>0.41747572815533979</v>
      </c>
      <c r="E170" s="217">
        <v>2.0049209431345352</v>
      </c>
      <c r="F170" s="217">
        <v>4.6279064999999999</v>
      </c>
      <c r="G170" s="157">
        <v>796</v>
      </c>
      <c r="H170" s="157">
        <v>1595.91707073509</v>
      </c>
      <c r="I170" s="208">
        <v>9.1790572862919084E-4</v>
      </c>
    </row>
    <row r="171" spans="1:9" ht="15" customHeight="1" x14ac:dyDescent="0.25">
      <c r="A171" s="155" t="s">
        <v>233</v>
      </c>
      <c r="B171" s="158">
        <v>103</v>
      </c>
      <c r="C171" s="158">
        <v>43</v>
      </c>
      <c r="D171" s="218">
        <v>0.41747572815533979</v>
      </c>
      <c r="E171" s="219">
        <v>2.0049209431345352</v>
      </c>
      <c r="F171" s="219">
        <v>4.6279064999999999</v>
      </c>
      <c r="G171" s="158">
        <v>796</v>
      </c>
      <c r="H171" s="158">
        <v>1595.91707073509</v>
      </c>
      <c r="I171" s="209">
        <v>9.1790572862919084E-4</v>
      </c>
    </row>
    <row r="172" spans="1:9" ht="15" customHeight="1" x14ac:dyDescent="0.25">
      <c r="A172" s="156" t="s">
        <v>85</v>
      </c>
      <c r="B172" s="157">
        <v>51</v>
      </c>
      <c r="C172" s="157">
        <v>30</v>
      </c>
      <c r="D172" s="216">
        <v>0.58823529411764708</v>
      </c>
      <c r="E172" s="217">
        <v>1.6565714285714286</v>
      </c>
      <c r="F172" s="217">
        <v>4.5333329999999998</v>
      </c>
      <c r="G172" s="157">
        <v>544</v>
      </c>
      <c r="H172" s="157">
        <v>901.17485714285715</v>
      </c>
      <c r="I172" s="208">
        <v>5.1831863887953178E-4</v>
      </c>
    </row>
    <row r="173" spans="1:9" ht="15" customHeight="1" x14ac:dyDescent="0.25">
      <c r="A173" s="155" t="s">
        <v>232</v>
      </c>
      <c r="B173" s="158">
        <v>51</v>
      </c>
      <c r="C173" s="158">
        <v>30</v>
      </c>
      <c r="D173" s="218">
        <v>0.58823529411764708</v>
      </c>
      <c r="E173" s="219">
        <v>1.6565714285714286</v>
      </c>
      <c r="F173" s="219">
        <v>4.5333329999999998</v>
      </c>
      <c r="G173" s="158">
        <v>544</v>
      </c>
      <c r="H173" s="158">
        <v>901.17485714285715</v>
      </c>
      <c r="I173" s="209">
        <v>5.1831863887953178E-4</v>
      </c>
    </row>
    <row r="174" spans="1:9" ht="15" customHeight="1" x14ac:dyDescent="0.25">
      <c r="A174" s="156" t="s">
        <v>86</v>
      </c>
      <c r="B174" s="157">
        <v>292</v>
      </c>
      <c r="C174" s="157">
        <v>150</v>
      </c>
      <c r="D174" s="216">
        <v>0.51369863013698636</v>
      </c>
      <c r="E174" s="217">
        <v>1.8086262230919765</v>
      </c>
      <c r="F174" s="217">
        <v>4.4799997499999993</v>
      </c>
      <c r="G174" s="157">
        <v>2688</v>
      </c>
      <c r="H174" s="157">
        <v>4861.5872876712328</v>
      </c>
      <c r="I174" s="208">
        <v>2.7961846535853063E-3</v>
      </c>
    </row>
    <row r="175" spans="1:9" ht="15" customHeight="1" x14ac:dyDescent="0.25">
      <c r="A175" s="155" t="s">
        <v>231</v>
      </c>
      <c r="B175" s="158">
        <v>292</v>
      </c>
      <c r="C175" s="158">
        <v>150</v>
      </c>
      <c r="D175" s="218">
        <v>0.51369863013698636</v>
      </c>
      <c r="E175" s="219">
        <v>1.8086262230919765</v>
      </c>
      <c r="F175" s="219">
        <v>4.4799997499999993</v>
      </c>
      <c r="G175" s="158">
        <v>2688</v>
      </c>
      <c r="H175" s="158">
        <v>4861.5872876712328</v>
      </c>
      <c r="I175" s="209">
        <v>2.7961846535853063E-3</v>
      </c>
    </row>
    <row r="176" spans="1:9" ht="15" customHeight="1" x14ac:dyDescent="0.25">
      <c r="A176" s="156" t="s">
        <v>87</v>
      </c>
      <c r="B176" s="157">
        <v>70</v>
      </c>
      <c r="C176" s="157">
        <v>34</v>
      </c>
      <c r="D176" s="216">
        <v>0.48571428571428571</v>
      </c>
      <c r="E176" s="217">
        <v>1.8657142857142857</v>
      </c>
      <c r="F176" s="217">
        <v>4.6470585</v>
      </c>
      <c r="G176" s="157">
        <v>632</v>
      </c>
      <c r="H176" s="157">
        <v>1179.1314285714286</v>
      </c>
      <c r="I176" s="208">
        <v>6.7818780370204753E-4</v>
      </c>
    </row>
    <row r="177" spans="1:9" ht="15" customHeight="1" x14ac:dyDescent="0.25">
      <c r="A177" s="155" t="s">
        <v>235</v>
      </c>
      <c r="B177" s="158">
        <v>70</v>
      </c>
      <c r="C177" s="158">
        <v>34</v>
      </c>
      <c r="D177" s="218">
        <v>0.48571428571428571</v>
      </c>
      <c r="E177" s="219">
        <v>1.8657142857142857</v>
      </c>
      <c r="F177" s="219">
        <v>4.6470585</v>
      </c>
      <c r="G177" s="158">
        <v>632</v>
      </c>
      <c r="H177" s="158">
        <v>1179.1314285714286</v>
      </c>
      <c r="I177" s="209">
        <v>6.7818780370204753E-4</v>
      </c>
    </row>
    <row r="178" spans="1:9" ht="15" customHeight="1" x14ac:dyDescent="0.25">
      <c r="A178" s="156" t="s">
        <v>88</v>
      </c>
      <c r="B178" s="157">
        <v>26</v>
      </c>
      <c r="C178" s="157">
        <v>3</v>
      </c>
      <c r="D178" s="216">
        <v>0.11538461538461539</v>
      </c>
      <c r="E178" s="217">
        <v>2.4485709999999998</v>
      </c>
      <c r="F178" s="217">
        <v>4.3333329999999997</v>
      </c>
      <c r="G178" s="157">
        <v>52</v>
      </c>
      <c r="H178" s="157">
        <v>127.32569199999999</v>
      </c>
      <c r="I178" s="208">
        <v>7.3232490730012337E-5</v>
      </c>
    </row>
    <row r="179" spans="1:9" ht="15" customHeight="1" x14ac:dyDescent="0.25">
      <c r="A179" s="155" t="s">
        <v>234</v>
      </c>
      <c r="B179" s="158">
        <v>26</v>
      </c>
      <c r="C179" s="158">
        <v>3</v>
      </c>
      <c r="D179" s="218">
        <v>0.11538461538461539</v>
      </c>
      <c r="E179" s="219">
        <v>2.4485709999999998</v>
      </c>
      <c r="F179" s="219">
        <v>4.3333329999999997</v>
      </c>
      <c r="G179" s="158">
        <v>52</v>
      </c>
      <c r="H179" s="158">
        <v>127.32569199999999</v>
      </c>
      <c r="I179" s="209">
        <v>7.3232490730012337E-5</v>
      </c>
    </row>
    <row r="180" spans="1:9" ht="15" customHeight="1" x14ac:dyDescent="0.25">
      <c r="A180" s="156" t="s">
        <v>89</v>
      </c>
      <c r="B180" s="157">
        <v>145</v>
      </c>
      <c r="C180" s="157">
        <v>85</v>
      </c>
      <c r="D180" s="216">
        <v>0.58620689655172409</v>
      </c>
      <c r="E180" s="217">
        <v>1.6607093596059113</v>
      </c>
      <c r="F180" s="217">
        <v>4.3264702500000007</v>
      </c>
      <c r="G180" s="157">
        <v>1471</v>
      </c>
      <c r="H180" s="157">
        <v>2442.9034679802953</v>
      </c>
      <c r="I180" s="208">
        <v>1.405057398574217E-3</v>
      </c>
    </row>
    <row r="181" spans="1:9" ht="15" customHeight="1" x14ac:dyDescent="0.25">
      <c r="A181" s="155" t="s">
        <v>229</v>
      </c>
      <c r="B181" s="158">
        <v>145</v>
      </c>
      <c r="C181" s="158">
        <v>85</v>
      </c>
      <c r="D181" s="218">
        <v>0.58620689655172409</v>
      </c>
      <c r="E181" s="219">
        <v>1.6607093596059113</v>
      </c>
      <c r="F181" s="219">
        <v>4.3264702500000007</v>
      </c>
      <c r="G181" s="158">
        <v>1471</v>
      </c>
      <c r="H181" s="158">
        <v>2442.9034679802953</v>
      </c>
      <c r="I181" s="209">
        <v>1.405057398574217E-3</v>
      </c>
    </row>
    <row r="182" spans="1:9" ht="15" customHeight="1" x14ac:dyDescent="0.25">
      <c r="A182" s="156" t="s">
        <v>90</v>
      </c>
      <c r="B182" s="157">
        <v>1387</v>
      </c>
      <c r="C182" s="157">
        <v>776</v>
      </c>
      <c r="D182" s="216">
        <v>0.55948089401586154</v>
      </c>
      <c r="E182" s="217">
        <v>1.715230404779071</v>
      </c>
      <c r="F182" s="217">
        <v>4.40270575</v>
      </c>
      <c r="G182" s="157">
        <v>13666</v>
      </c>
      <c r="H182" s="157">
        <v>23440.338711710785</v>
      </c>
      <c r="I182" s="208">
        <v>1.3481916810738476E-2</v>
      </c>
    </row>
    <row r="183" spans="1:9" ht="15" customHeight="1" x14ac:dyDescent="0.25">
      <c r="A183" s="155" t="s">
        <v>228</v>
      </c>
      <c r="B183" s="158">
        <v>1387</v>
      </c>
      <c r="C183" s="158">
        <v>776</v>
      </c>
      <c r="D183" s="218">
        <v>0.55948089401586154</v>
      </c>
      <c r="E183" s="219">
        <v>1.715230404779071</v>
      </c>
      <c r="F183" s="219">
        <v>4.40270575</v>
      </c>
      <c r="G183" s="158">
        <v>13666</v>
      </c>
      <c r="H183" s="158">
        <v>23440.338711710785</v>
      </c>
      <c r="I183" s="209">
        <v>1.3481916810738476E-2</v>
      </c>
    </row>
    <row r="184" spans="1:9" ht="15" customHeight="1" x14ac:dyDescent="0.25">
      <c r="A184" s="156" t="s">
        <v>91</v>
      </c>
      <c r="B184" s="157">
        <v>42</v>
      </c>
      <c r="C184" s="157">
        <v>39</v>
      </c>
      <c r="D184" s="216">
        <v>0.9285714285714286</v>
      </c>
      <c r="E184" s="217">
        <v>1.0769230769230771</v>
      </c>
      <c r="F184" s="217">
        <v>3.9871789999999998</v>
      </c>
      <c r="G184" s="157">
        <v>622</v>
      </c>
      <c r="H184" s="157">
        <v>669.84615384615392</v>
      </c>
      <c r="I184" s="208">
        <v>3.8526790219269247E-4</v>
      </c>
    </row>
    <row r="185" spans="1:9" ht="15" customHeight="1" x14ac:dyDescent="0.25">
      <c r="A185" s="155" t="s">
        <v>227</v>
      </c>
      <c r="B185" s="158">
        <v>42</v>
      </c>
      <c r="C185" s="158">
        <v>39</v>
      </c>
      <c r="D185" s="218">
        <v>0.9285714285714286</v>
      </c>
      <c r="E185" s="219">
        <v>1.0769230769230771</v>
      </c>
      <c r="F185" s="219">
        <v>3.9871789999999998</v>
      </c>
      <c r="G185" s="158">
        <v>622</v>
      </c>
      <c r="H185" s="158">
        <v>669.84615384615392</v>
      </c>
      <c r="I185" s="209">
        <v>3.8526790219269247E-4</v>
      </c>
    </row>
    <row r="186" spans="1:9" ht="15" customHeight="1" x14ac:dyDescent="0.25">
      <c r="A186" s="156" t="s">
        <v>436</v>
      </c>
      <c r="B186" s="157">
        <v>1610</v>
      </c>
      <c r="C186" s="157">
        <v>672</v>
      </c>
      <c r="D186" s="216">
        <v>0.41739130434782606</v>
      </c>
      <c r="E186" s="217">
        <v>2.0050931677018635</v>
      </c>
      <c r="F186" s="217">
        <v>4.4940472499999995</v>
      </c>
      <c r="G186" s="157">
        <v>12080</v>
      </c>
      <c r="H186" s="157">
        <v>24221.525465838513</v>
      </c>
      <c r="I186" s="208">
        <v>1.3931223237677568E-2</v>
      </c>
    </row>
    <row r="187" spans="1:9" ht="15" customHeight="1" x14ac:dyDescent="0.25">
      <c r="A187" s="155" t="s">
        <v>250</v>
      </c>
      <c r="B187" s="158">
        <v>1610</v>
      </c>
      <c r="C187" s="158">
        <v>672</v>
      </c>
      <c r="D187" s="218">
        <v>0.41739130434782606</v>
      </c>
      <c r="E187" s="219">
        <v>2.0050931677018635</v>
      </c>
      <c r="F187" s="219">
        <v>4.4940472499999995</v>
      </c>
      <c r="G187" s="158">
        <v>12080</v>
      </c>
      <c r="H187" s="158">
        <v>24221.525465838513</v>
      </c>
      <c r="I187" s="209">
        <v>1.3931223237677568E-2</v>
      </c>
    </row>
    <row r="188" spans="1:9" ht="15" customHeight="1" x14ac:dyDescent="0.25">
      <c r="A188" s="156" t="s">
        <v>529</v>
      </c>
      <c r="B188" s="157">
        <v>30</v>
      </c>
      <c r="C188" s="157">
        <v>10</v>
      </c>
      <c r="D188" s="216">
        <v>0.33333333333333331</v>
      </c>
      <c r="E188" s="217">
        <v>2.1765714285714286</v>
      </c>
      <c r="F188" s="217">
        <v>4.05</v>
      </c>
      <c r="G188" s="157">
        <v>162</v>
      </c>
      <c r="H188" s="157">
        <v>352.60457142857143</v>
      </c>
      <c r="I188" s="208">
        <v>2.0280361805143641E-4</v>
      </c>
    </row>
    <row r="189" spans="1:9" ht="15" customHeight="1" x14ac:dyDescent="0.25">
      <c r="A189" s="155" t="s">
        <v>226</v>
      </c>
      <c r="B189" s="158">
        <v>30</v>
      </c>
      <c r="C189" s="158">
        <v>10</v>
      </c>
      <c r="D189" s="218">
        <v>0.33333333333333331</v>
      </c>
      <c r="E189" s="219">
        <v>2.1765714285714286</v>
      </c>
      <c r="F189" s="219">
        <v>4.05</v>
      </c>
      <c r="G189" s="158">
        <v>162</v>
      </c>
      <c r="H189" s="158">
        <v>352.60457142857143</v>
      </c>
      <c r="I189" s="209">
        <v>2.0280361805143641E-4</v>
      </c>
    </row>
    <row r="190" spans="1:9" ht="15" customHeight="1" x14ac:dyDescent="0.25">
      <c r="A190" s="156" t="s">
        <v>93</v>
      </c>
      <c r="B190" s="157">
        <v>29</v>
      </c>
      <c r="C190" s="157">
        <v>13</v>
      </c>
      <c r="D190" s="216">
        <v>0.44827586206896552</v>
      </c>
      <c r="E190" s="217">
        <v>1.9420886699507389</v>
      </c>
      <c r="F190" s="217">
        <v>4.5961532499999995</v>
      </c>
      <c r="G190" s="157">
        <v>239</v>
      </c>
      <c r="H190" s="157">
        <v>464.1591921182266</v>
      </c>
      <c r="I190" s="208">
        <v>2.6696523851641856E-4</v>
      </c>
    </row>
    <row r="191" spans="1:9" ht="15" customHeight="1" x14ac:dyDescent="0.25">
      <c r="A191" s="155" t="s">
        <v>225</v>
      </c>
      <c r="B191" s="158">
        <v>29</v>
      </c>
      <c r="C191" s="158">
        <v>13</v>
      </c>
      <c r="D191" s="218">
        <v>0.44827586206896552</v>
      </c>
      <c r="E191" s="219">
        <v>1.9420886699507389</v>
      </c>
      <c r="F191" s="219">
        <v>4.5961532499999995</v>
      </c>
      <c r="G191" s="158">
        <v>239</v>
      </c>
      <c r="H191" s="158">
        <v>464.1591921182266</v>
      </c>
      <c r="I191" s="209">
        <v>2.6696523851641856E-4</v>
      </c>
    </row>
    <row r="192" spans="1:9" ht="15" customHeight="1" x14ac:dyDescent="0.25">
      <c r="A192" s="156" t="s">
        <v>94</v>
      </c>
      <c r="B192" s="157">
        <v>2262</v>
      </c>
      <c r="C192" s="157">
        <v>1146</v>
      </c>
      <c r="D192" s="216">
        <v>0.50663129973474796</v>
      </c>
      <c r="E192" s="217">
        <v>1.8230435771125426</v>
      </c>
      <c r="F192" s="217">
        <v>4.3346417500000003</v>
      </c>
      <c r="G192" s="157">
        <v>19870</v>
      </c>
      <c r="H192" s="157">
        <v>36223.875877226223</v>
      </c>
      <c r="I192" s="208">
        <v>2.0834480557027617E-2</v>
      </c>
    </row>
    <row r="193" spans="1:9" ht="15" customHeight="1" x14ac:dyDescent="0.25">
      <c r="A193" s="155" t="s">
        <v>224</v>
      </c>
      <c r="B193" s="158">
        <v>2262</v>
      </c>
      <c r="C193" s="158">
        <v>1146</v>
      </c>
      <c r="D193" s="218">
        <v>0.50663129973474796</v>
      </c>
      <c r="E193" s="219">
        <v>1.8230435771125426</v>
      </c>
      <c r="F193" s="219">
        <v>4.3346417500000003</v>
      </c>
      <c r="G193" s="158">
        <v>19870</v>
      </c>
      <c r="H193" s="158">
        <v>36223.875877226223</v>
      </c>
      <c r="I193" s="209">
        <v>2.0834480557027617E-2</v>
      </c>
    </row>
    <row r="194" spans="1:9" ht="15" customHeight="1" x14ac:dyDescent="0.25">
      <c r="A194" s="156" t="s">
        <v>95</v>
      </c>
      <c r="B194" s="157">
        <v>1760</v>
      </c>
      <c r="C194" s="157">
        <v>585</v>
      </c>
      <c r="D194" s="216">
        <v>0.33238636363636365</v>
      </c>
      <c r="E194" s="217">
        <v>2.1785032467532468</v>
      </c>
      <c r="F194" s="217">
        <v>4.47692275</v>
      </c>
      <c r="G194" s="157">
        <v>10476</v>
      </c>
      <c r="H194" s="157">
        <v>22822.000012987013</v>
      </c>
      <c r="I194" s="208">
        <v>1.3126273874022322E-2</v>
      </c>
    </row>
    <row r="195" spans="1:9" ht="15" customHeight="1" x14ac:dyDescent="0.25">
      <c r="A195" s="155" t="s">
        <v>222</v>
      </c>
      <c r="B195" s="158">
        <v>1760</v>
      </c>
      <c r="C195" s="158">
        <v>585</v>
      </c>
      <c r="D195" s="218">
        <v>0.33238636363636365</v>
      </c>
      <c r="E195" s="219">
        <v>2.1785032467532468</v>
      </c>
      <c r="F195" s="219">
        <v>4.47692275</v>
      </c>
      <c r="G195" s="158">
        <v>10476</v>
      </c>
      <c r="H195" s="158">
        <v>22822.000012987013</v>
      </c>
      <c r="I195" s="209">
        <v>1.3126273874022322E-2</v>
      </c>
    </row>
    <row r="196" spans="1:9" ht="15" customHeight="1" x14ac:dyDescent="0.25">
      <c r="A196" s="156" t="s">
        <v>96</v>
      </c>
      <c r="B196" s="157">
        <v>2680</v>
      </c>
      <c r="C196" s="157">
        <v>701</v>
      </c>
      <c r="D196" s="216">
        <v>0.26156716417910447</v>
      </c>
      <c r="E196" s="217">
        <v>2.3229744136460555</v>
      </c>
      <c r="F196" s="217">
        <v>4.4293598750000012</v>
      </c>
      <c r="G196" s="157">
        <v>12309</v>
      </c>
      <c r="H196" s="157">
        <v>28593.492057569296</v>
      </c>
      <c r="I196" s="208">
        <v>1.6445798245059803E-2</v>
      </c>
    </row>
    <row r="197" spans="1:9" ht="15" customHeight="1" x14ac:dyDescent="0.25">
      <c r="A197" s="155" t="s">
        <v>221</v>
      </c>
      <c r="B197" s="158">
        <v>2680</v>
      </c>
      <c r="C197" s="158">
        <v>701</v>
      </c>
      <c r="D197" s="218">
        <v>0.26156716417910447</v>
      </c>
      <c r="E197" s="219">
        <v>2.3229744136460555</v>
      </c>
      <c r="F197" s="219">
        <v>4.4293598750000012</v>
      </c>
      <c r="G197" s="158">
        <v>12309</v>
      </c>
      <c r="H197" s="158">
        <v>28593.492057569296</v>
      </c>
      <c r="I197" s="209">
        <v>1.6445798245059803E-2</v>
      </c>
    </row>
    <row r="198" spans="1:9" ht="15" customHeight="1" x14ac:dyDescent="0.25">
      <c r="A198" s="156" t="s">
        <v>97</v>
      </c>
      <c r="B198" s="157">
        <v>1938</v>
      </c>
      <c r="C198" s="157">
        <v>821</v>
      </c>
      <c r="D198" s="216">
        <v>0.42363261093911248</v>
      </c>
      <c r="E198" s="217">
        <v>1.9923609022556392</v>
      </c>
      <c r="F198" s="217">
        <v>4.3380019999999995</v>
      </c>
      <c r="G198" s="157">
        <v>14246</v>
      </c>
      <c r="H198" s="157">
        <v>28383.173413533837</v>
      </c>
      <c r="I198" s="208">
        <v>1.6324831628599747E-2</v>
      </c>
    </row>
    <row r="199" spans="1:9" ht="15" customHeight="1" x14ac:dyDescent="0.25">
      <c r="A199" s="155" t="s">
        <v>220</v>
      </c>
      <c r="B199" s="158">
        <v>1938</v>
      </c>
      <c r="C199" s="158">
        <v>821</v>
      </c>
      <c r="D199" s="218">
        <v>0.42363261093911248</v>
      </c>
      <c r="E199" s="219">
        <v>1.9923609022556392</v>
      </c>
      <c r="F199" s="219">
        <v>4.3380019999999995</v>
      </c>
      <c r="G199" s="158">
        <v>14246</v>
      </c>
      <c r="H199" s="158">
        <v>28383.173413533837</v>
      </c>
      <c r="I199" s="209">
        <v>1.6324831628599747E-2</v>
      </c>
    </row>
    <row r="200" spans="1:9" ht="15" customHeight="1" x14ac:dyDescent="0.25">
      <c r="A200" s="156" t="s">
        <v>98</v>
      </c>
      <c r="B200" s="157">
        <v>4108</v>
      </c>
      <c r="C200" s="157">
        <v>2152</v>
      </c>
      <c r="D200" s="216">
        <v>0.52385589094449858</v>
      </c>
      <c r="E200" s="217">
        <v>1.7879054110446515</v>
      </c>
      <c r="F200" s="217">
        <v>4.4117095000000006</v>
      </c>
      <c r="G200" s="157">
        <v>37976</v>
      </c>
      <c r="H200" s="157">
        <v>67897.495889831684</v>
      </c>
      <c r="I200" s="208">
        <v>3.9051841464510947E-2</v>
      </c>
    </row>
    <row r="201" spans="1:9" ht="15" customHeight="1" x14ac:dyDescent="0.25">
      <c r="A201" s="155" t="s">
        <v>219</v>
      </c>
      <c r="B201" s="158">
        <v>4108</v>
      </c>
      <c r="C201" s="158">
        <v>2152</v>
      </c>
      <c r="D201" s="218">
        <v>0.52385589094449858</v>
      </c>
      <c r="E201" s="219">
        <v>1.7879054110446515</v>
      </c>
      <c r="F201" s="219">
        <v>4.4117095000000006</v>
      </c>
      <c r="G201" s="158">
        <v>37976</v>
      </c>
      <c r="H201" s="158">
        <v>67897.495889831684</v>
      </c>
      <c r="I201" s="209">
        <v>3.9051841464510947E-2</v>
      </c>
    </row>
    <row r="202" spans="1:9" ht="15" customHeight="1" x14ac:dyDescent="0.25">
      <c r="A202" s="156" t="s">
        <v>99</v>
      </c>
      <c r="B202" s="157">
        <v>3181</v>
      </c>
      <c r="C202" s="157">
        <v>1251</v>
      </c>
      <c r="D202" s="216">
        <v>0.39327255580006287</v>
      </c>
      <c r="E202" s="217">
        <v>2.0542954147393004</v>
      </c>
      <c r="F202" s="217">
        <v>4.3806949999999993</v>
      </c>
      <c r="G202" s="157">
        <v>21921</v>
      </c>
      <c r="H202" s="157">
        <v>45032.209786500207</v>
      </c>
      <c r="I202" s="208">
        <v>2.5900671215215918E-2</v>
      </c>
    </row>
    <row r="203" spans="1:9" ht="15" customHeight="1" x14ac:dyDescent="0.25">
      <c r="A203" s="155" t="s">
        <v>218</v>
      </c>
      <c r="B203" s="158">
        <v>3181</v>
      </c>
      <c r="C203" s="158">
        <v>1251</v>
      </c>
      <c r="D203" s="218">
        <v>0.39327255580006287</v>
      </c>
      <c r="E203" s="219">
        <v>2.0542954147393004</v>
      </c>
      <c r="F203" s="219">
        <v>4.3806949999999993</v>
      </c>
      <c r="G203" s="158">
        <v>21921</v>
      </c>
      <c r="H203" s="158">
        <v>45032.209786500207</v>
      </c>
      <c r="I203" s="209">
        <v>2.5900671215215918E-2</v>
      </c>
    </row>
    <row r="204" spans="1:9" ht="15" customHeight="1" x14ac:dyDescent="0.25">
      <c r="A204" s="156" t="s">
        <v>100</v>
      </c>
      <c r="B204" s="157">
        <v>1699</v>
      </c>
      <c r="C204" s="157">
        <v>633</v>
      </c>
      <c r="D204" s="216">
        <v>0.37257210123602119</v>
      </c>
      <c r="E204" s="217">
        <v>2.0965243420499453</v>
      </c>
      <c r="F204" s="217">
        <v>4.3451809999999993</v>
      </c>
      <c r="G204" s="157">
        <v>11002</v>
      </c>
      <c r="H204" s="157">
        <v>23065.960811233497</v>
      </c>
      <c r="I204" s="208">
        <v>1.3266590071134151E-2</v>
      </c>
    </row>
    <row r="205" spans="1:9" ht="15" customHeight="1" x14ac:dyDescent="0.25">
      <c r="A205" s="155" t="s">
        <v>217</v>
      </c>
      <c r="B205" s="158">
        <v>1699</v>
      </c>
      <c r="C205" s="158">
        <v>633</v>
      </c>
      <c r="D205" s="218">
        <v>0.37257210123602119</v>
      </c>
      <c r="E205" s="219">
        <v>2.0965243420499453</v>
      </c>
      <c r="F205" s="219">
        <v>4.3451809999999993</v>
      </c>
      <c r="G205" s="158">
        <v>11002</v>
      </c>
      <c r="H205" s="158">
        <v>23065.960811233497</v>
      </c>
      <c r="I205" s="209">
        <v>1.3266590071134151E-2</v>
      </c>
    </row>
    <row r="206" spans="1:9" ht="15" customHeight="1" x14ac:dyDescent="0.25">
      <c r="A206" s="156" t="s">
        <v>101</v>
      </c>
      <c r="B206" s="157">
        <v>12</v>
      </c>
      <c r="C206" s="157">
        <v>2</v>
      </c>
      <c r="D206" s="216">
        <v>0.16666666666666666</v>
      </c>
      <c r="E206" s="217">
        <v>2.4485709999999998</v>
      </c>
      <c r="F206" s="217">
        <v>4.75</v>
      </c>
      <c r="G206" s="157">
        <v>38</v>
      </c>
      <c r="H206" s="157">
        <v>93.045697999999987</v>
      </c>
      <c r="I206" s="208">
        <v>5.3516050918085937E-5</v>
      </c>
    </row>
    <row r="207" spans="1:9" ht="15" customHeight="1" x14ac:dyDescent="0.25">
      <c r="A207" s="155" t="s">
        <v>214</v>
      </c>
      <c r="B207" s="158">
        <v>12</v>
      </c>
      <c r="C207" s="158">
        <v>2</v>
      </c>
      <c r="D207" s="218">
        <v>0.16666666666666666</v>
      </c>
      <c r="E207" s="219">
        <v>2.4485709999999998</v>
      </c>
      <c r="F207" s="219">
        <v>4.75</v>
      </c>
      <c r="G207" s="158">
        <v>38</v>
      </c>
      <c r="H207" s="158">
        <v>93.045697999999987</v>
      </c>
      <c r="I207" s="209">
        <v>5.3516050918085937E-5</v>
      </c>
    </row>
    <row r="208" spans="1:9" ht="15" customHeight="1" x14ac:dyDescent="0.25">
      <c r="A208" s="156" t="s">
        <v>130</v>
      </c>
      <c r="B208" s="157">
        <v>36</v>
      </c>
      <c r="C208" s="157">
        <v>30</v>
      </c>
      <c r="D208" s="216">
        <v>0.83333333333333337</v>
      </c>
      <c r="E208" s="217">
        <v>1.2</v>
      </c>
      <c r="F208" s="217">
        <v>4.5166662500000001</v>
      </c>
      <c r="G208" s="157">
        <v>542</v>
      </c>
      <c r="H208" s="157">
        <v>650.4</v>
      </c>
      <c r="I208" s="208">
        <v>3.7408327590946866E-4</v>
      </c>
    </row>
    <row r="209" spans="1:9" ht="15" customHeight="1" x14ac:dyDescent="0.25">
      <c r="A209" s="155" t="s">
        <v>213</v>
      </c>
      <c r="B209" s="158">
        <v>36</v>
      </c>
      <c r="C209" s="158">
        <v>30</v>
      </c>
      <c r="D209" s="218">
        <v>0.83333333333333337</v>
      </c>
      <c r="E209" s="219">
        <v>1.2</v>
      </c>
      <c r="F209" s="219">
        <v>4.5166662500000001</v>
      </c>
      <c r="G209" s="158">
        <v>542</v>
      </c>
      <c r="H209" s="158">
        <v>650.4</v>
      </c>
      <c r="I209" s="209">
        <v>3.7408327590946866E-4</v>
      </c>
    </row>
    <row r="210" spans="1:9" ht="15" customHeight="1" x14ac:dyDescent="0.25">
      <c r="A210" s="156" t="s">
        <v>467</v>
      </c>
      <c r="B210" s="157">
        <v>44</v>
      </c>
      <c r="C210" s="157">
        <v>30</v>
      </c>
      <c r="D210" s="216">
        <v>0.68181818181818177</v>
      </c>
      <c r="E210" s="217">
        <v>1.4656623376623377</v>
      </c>
      <c r="F210" s="217">
        <v>3.9749995</v>
      </c>
      <c r="G210" s="157">
        <v>477</v>
      </c>
      <c r="H210" s="157">
        <v>699.12093506493511</v>
      </c>
      <c r="I210" s="208">
        <v>4.0210554988619597E-4</v>
      </c>
    </row>
    <row r="211" spans="1:9" ht="15" customHeight="1" x14ac:dyDescent="0.25">
      <c r="A211" s="155" t="s">
        <v>212</v>
      </c>
      <c r="B211" s="158">
        <v>44</v>
      </c>
      <c r="C211" s="158">
        <v>30</v>
      </c>
      <c r="D211" s="218">
        <v>0.68181818181818177</v>
      </c>
      <c r="E211" s="219">
        <v>1.4656623376623377</v>
      </c>
      <c r="F211" s="219">
        <v>3.9749995</v>
      </c>
      <c r="G211" s="158">
        <v>477</v>
      </c>
      <c r="H211" s="158">
        <v>699.12093506493511</v>
      </c>
      <c r="I211" s="209">
        <v>4.0210554988619597E-4</v>
      </c>
    </row>
    <row r="212" spans="1:9" ht="15" customHeight="1" x14ac:dyDescent="0.25">
      <c r="A212" s="156" t="s">
        <v>103</v>
      </c>
      <c r="B212" s="157">
        <v>238</v>
      </c>
      <c r="C212" s="157">
        <v>114</v>
      </c>
      <c r="D212" s="216">
        <v>0.47899159663865548</v>
      </c>
      <c r="E212" s="217">
        <v>1.8794285714285714</v>
      </c>
      <c r="F212" s="217">
        <v>4.2478065000000003</v>
      </c>
      <c r="G212" s="157">
        <v>1937</v>
      </c>
      <c r="H212" s="157">
        <v>3640.4531428571431</v>
      </c>
      <c r="I212" s="208">
        <v>2.0938386185038759E-3</v>
      </c>
    </row>
    <row r="213" spans="1:9" ht="15" customHeight="1" x14ac:dyDescent="0.25">
      <c r="A213" s="155" t="s">
        <v>211</v>
      </c>
      <c r="B213" s="158">
        <v>238</v>
      </c>
      <c r="C213" s="158">
        <v>114</v>
      </c>
      <c r="D213" s="218">
        <v>0.47899159663865548</v>
      </c>
      <c r="E213" s="219">
        <v>1.8794285714285714</v>
      </c>
      <c r="F213" s="219">
        <v>4.2478065000000003</v>
      </c>
      <c r="G213" s="158">
        <v>1937</v>
      </c>
      <c r="H213" s="158">
        <v>3640.4531428571431</v>
      </c>
      <c r="I213" s="209">
        <v>2.0938386185038759E-3</v>
      </c>
    </row>
    <row r="214" spans="1:9" ht="15" customHeight="1" x14ac:dyDescent="0.25">
      <c r="A214" s="156" t="s">
        <v>104</v>
      </c>
      <c r="B214" s="157">
        <v>242</v>
      </c>
      <c r="C214" s="157">
        <v>136</v>
      </c>
      <c r="D214" s="216">
        <v>0.56198347107438018</v>
      </c>
      <c r="E214" s="217">
        <v>1.710125147579693</v>
      </c>
      <c r="F214" s="217">
        <v>4.3511027500000008</v>
      </c>
      <c r="G214" s="157">
        <v>2367</v>
      </c>
      <c r="H214" s="157">
        <v>4047.8662243211334</v>
      </c>
      <c r="I214" s="208">
        <v>2.3281658327757408E-3</v>
      </c>
    </row>
    <row r="215" spans="1:9" ht="15" customHeight="1" x14ac:dyDescent="0.25">
      <c r="A215" s="155" t="s">
        <v>210</v>
      </c>
      <c r="B215" s="158">
        <v>242</v>
      </c>
      <c r="C215" s="158">
        <v>136</v>
      </c>
      <c r="D215" s="218">
        <v>0.56198347107438018</v>
      </c>
      <c r="E215" s="219">
        <v>1.710125147579693</v>
      </c>
      <c r="F215" s="219">
        <v>4.3511027500000008</v>
      </c>
      <c r="G215" s="158">
        <v>2367</v>
      </c>
      <c r="H215" s="158">
        <v>4047.8662243211334</v>
      </c>
      <c r="I215" s="209">
        <v>2.3281658327757408E-3</v>
      </c>
    </row>
    <row r="216" spans="1:9" ht="15" customHeight="1" x14ac:dyDescent="0.25">
      <c r="A216" s="156" t="s">
        <v>433</v>
      </c>
      <c r="B216" s="157">
        <v>1496</v>
      </c>
      <c r="C216" s="157">
        <v>646</v>
      </c>
      <c r="D216" s="216">
        <v>0.43181818181818182</v>
      </c>
      <c r="E216" s="217">
        <v>1.9756623376623377</v>
      </c>
      <c r="F216" s="217">
        <v>4.4547210000000002</v>
      </c>
      <c r="G216" s="157">
        <v>11511</v>
      </c>
      <c r="H216" s="157">
        <v>22741.84916883117</v>
      </c>
      <c r="I216" s="208">
        <v>1.3080174411616531E-2</v>
      </c>
    </row>
    <row r="217" spans="1:9" ht="15" customHeight="1" x14ac:dyDescent="0.25">
      <c r="A217" s="155" t="s">
        <v>209</v>
      </c>
      <c r="B217" s="158">
        <v>1496</v>
      </c>
      <c r="C217" s="158">
        <v>646</v>
      </c>
      <c r="D217" s="218">
        <v>0.43181818181818182</v>
      </c>
      <c r="E217" s="219">
        <v>1.9756623376623377</v>
      </c>
      <c r="F217" s="219">
        <v>4.4547210000000002</v>
      </c>
      <c r="G217" s="158">
        <v>11511</v>
      </c>
      <c r="H217" s="158">
        <v>22741.84916883117</v>
      </c>
      <c r="I217" s="209">
        <v>1.3080174411616531E-2</v>
      </c>
    </row>
    <row r="218" spans="1:9" ht="15" customHeight="1" x14ac:dyDescent="0.25">
      <c r="A218" s="156" t="s">
        <v>105</v>
      </c>
      <c r="B218" s="157">
        <v>315</v>
      </c>
      <c r="C218" s="157">
        <v>225</v>
      </c>
      <c r="D218" s="216">
        <v>0.7142857142857143</v>
      </c>
      <c r="E218" s="217">
        <v>1.4000000000000001</v>
      </c>
      <c r="F218" s="217">
        <v>4.2433327500000004</v>
      </c>
      <c r="G218" s="157">
        <v>3819</v>
      </c>
      <c r="H218" s="157">
        <v>5346.6</v>
      </c>
      <c r="I218" s="208">
        <v>3.0751439775177818E-3</v>
      </c>
    </row>
    <row r="219" spans="1:9" ht="15" customHeight="1" x14ac:dyDescent="0.25">
      <c r="A219" s="155" t="s">
        <v>208</v>
      </c>
      <c r="B219" s="158">
        <v>315</v>
      </c>
      <c r="C219" s="158">
        <v>225</v>
      </c>
      <c r="D219" s="218">
        <v>0.7142857142857143</v>
      </c>
      <c r="E219" s="219">
        <v>1.4000000000000001</v>
      </c>
      <c r="F219" s="219">
        <v>4.2433327500000004</v>
      </c>
      <c r="G219" s="158">
        <v>3819</v>
      </c>
      <c r="H219" s="158">
        <v>5346.6</v>
      </c>
      <c r="I219" s="209">
        <v>3.0751439775177818E-3</v>
      </c>
    </row>
    <row r="220" spans="1:9" ht="15" customHeight="1" x14ac:dyDescent="0.25">
      <c r="A220" s="156" t="s">
        <v>106</v>
      </c>
      <c r="B220" s="157">
        <v>581</v>
      </c>
      <c r="C220" s="157">
        <v>409</v>
      </c>
      <c r="D220" s="216">
        <v>0.70395869191049909</v>
      </c>
      <c r="E220" s="217">
        <v>1.4205378973105136</v>
      </c>
      <c r="F220" s="217">
        <v>4.1295839999999995</v>
      </c>
      <c r="G220" s="157">
        <v>6756</v>
      </c>
      <c r="H220" s="157">
        <v>9597.1540342298304</v>
      </c>
      <c r="I220" s="208">
        <v>5.5198874854435242E-3</v>
      </c>
    </row>
    <row r="221" spans="1:9" ht="15" customHeight="1" x14ac:dyDescent="0.25">
      <c r="A221" s="155" t="s">
        <v>207</v>
      </c>
      <c r="B221" s="158">
        <v>581</v>
      </c>
      <c r="C221" s="158">
        <v>409</v>
      </c>
      <c r="D221" s="218">
        <v>0.70395869191049909</v>
      </c>
      <c r="E221" s="219">
        <v>1.4205378973105136</v>
      </c>
      <c r="F221" s="219">
        <v>4.1295839999999995</v>
      </c>
      <c r="G221" s="158">
        <v>6756</v>
      </c>
      <c r="H221" s="158">
        <v>9597.1540342298304</v>
      </c>
      <c r="I221" s="209">
        <v>5.5198874854435242E-3</v>
      </c>
    </row>
    <row r="222" spans="1:9" ht="15" customHeight="1" x14ac:dyDescent="0.25">
      <c r="A222" s="156" t="s">
        <v>107</v>
      </c>
      <c r="B222" s="157">
        <v>977</v>
      </c>
      <c r="C222" s="157">
        <v>502</v>
      </c>
      <c r="D222" s="216">
        <v>0.51381780962128965</v>
      </c>
      <c r="E222" s="217">
        <v>1.8083830969439978</v>
      </c>
      <c r="F222" s="217">
        <v>4.1942224999999995</v>
      </c>
      <c r="G222" s="157">
        <v>8422</v>
      </c>
      <c r="H222" s="157">
        <v>15230.202442462349</v>
      </c>
      <c r="I222" s="208">
        <v>8.7597847823504098E-3</v>
      </c>
    </row>
    <row r="223" spans="1:9" ht="15" customHeight="1" x14ac:dyDescent="0.25">
      <c r="A223" s="155" t="s">
        <v>206</v>
      </c>
      <c r="B223" s="158">
        <v>977</v>
      </c>
      <c r="C223" s="158">
        <v>502</v>
      </c>
      <c r="D223" s="218">
        <v>0.51381780962128965</v>
      </c>
      <c r="E223" s="219">
        <v>1.8083830969439978</v>
      </c>
      <c r="F223" s="219">
        <v>4.1942224999999995</v>
      </c>
      <c r="G223" s="158">
        <v>8422</v>
      </c>
      <c r="H223" s="158">
        <v>15230.202442462349</v>
      </c>
      <c r="I223" s="209">
        <v>8.7597847823504098E-3</v>
      </c>
    </row>
    <row r="224" spans="1:9" ht="15" customHeight="1" x14ac:dyDescent="0.25">
      <c r="A224" s="156" t="s">
        <v>108</v>
      </c>
      <c r="B224" s="157">
        <v>3688</v>
      </c>
      <c r="C224" s="157">
        <v>764</v>
      </c>
      <c r="D224" s="216">
        <v>0.20715835140997832</v>
      </c>
      <c r="E224" s="217">
        <v>2.433968391695073</v>
      </c>
      <c r="F224" s="217">
        <v>4.3844890000000003</v>
      </c>
      <c r="G224" s="157">
        <v>13399</v>
      </c>
      <c r="H224" s="157">
        <v>32612.742480322282</v>
      </c>
      <c r="I224" s="208">
        <v>1.8757505448079411E-2</v>
      </c>
    </row>
    <row r="225" spans="1:9" ht="15" customHeight="1" x14ac:dyDescent="0.25">
      <c r="A225" s="155" t="s">
        <v>205</v>
      </c>
      <c r="B225" s="158">
        <v>3688</v>
      </c>
      <c r="C225" s="158">
        <v>764</v>
      </c>
      <c r="D225" s="218">
        <v>0.20715835140997832</v>
      </c>
      <c r="E225" s="219">
        <v>2.433968391695073</v>
      </c>
      <c r="F225" s="219">
        <v>4.3844890000000003</v>
      </c>
      <c r="G225" s="158">
        <v>13399</v>
      </c>
      <c r="H225" s="158">
        <v>32612.742480322282</v>
      </c>
      <c r="I225" s="209">
        <v>1.8757505448079411E-2</v>
      </c>
    </row>
    <row r="226" spans="1:9" ht="15" customHeight="1" x14ac:dyDescent="0.25">
      <c r="A226" s="156" t="s">
        <v>109</v>
      </c>
      <c r="B226" s="157">
        <v>5060</v>
      </c>
      <c r="C226" s="157">
        <v>1686</v>
      </c>
      <c r="D226" s="216">
        <v>0.333201581027668</v>
      </c>
      <c r="E226" s="217">
        <v>2.1768402032749861</v>
      </c>
      <c r="F226" s="217">
        <v>4.2842522500000007</v>
      </c>
      <c r="G226" s="157">
        <v>28893</v>
      </c>
      <c r="H226" s="157">
        <v>62895.443993224173</v>
      </c>
      <c r="I226" s="208">
        <v>3.6174867356651E-2</v>
      </c>
    </row>
    <row r="227" spans="1:9" ht="15" customHeight="1" x14ac:dyDescent="0.25">
      <c r="A227" s="155" t="s">
        <v>204</v>
      </c>
      <c r="B227" s="158">
        <v>5060</v>
      </c>
      <c r="C227" s="158">
        <v>1686</v>
      </c>
      <c r="D227" s="218">
        <v>0.333201581027668</v>
      </c>
      <c r="E227" s="219">
        <v>2.1768402032749861</v>
      </c>
      <c r="F227" s="219">
        <v>4.2842522500000007</v>
      </c>
      <c r="G227" s="158">
        <v>28893</v>
      </c>
      <c r="H227" s="158">
        <v>62895.443993224173</v>
      </c>
      <c r="I227" s="209">
        <v>3.6174867356651E-2</v>
      </c>
    </row>
    <row r="228" spans="1:9" ht="15" customHeight="1" x14ac:dyDescent="0.25">
      <c r="A228" s="156" t="s">
        <v>110</v>
      </c>
      <c r="B228" s="157">
        <v>29</v>
      </c>
      <c r="C228" s="157">
        <v>4</v>
      </c>
      <c r="D228" s="216">
        <v>0.13793103448275862</v>
      </c>
      <c r="E228" s="217">
        <v>2.4485709999999998</v>
      </c>
      <c r="F228" s="217">
        <v>4.5</v>
      </c>
      <c r="G228" s="157">
        <v>72</v>
      </c>
      <c r="H228" s="157">
        <v>176.297112</v>
      </c>
      <c r="I228" s="208">
        <v>1.0139883331847863E-4</v>
      </c>
    </row>
    <row r="229" spans="1:9" ht="15" customHeight="1" x14ac:dyDescent="0.25">
      <c r="A229" s="155" t="s">
        <v>203</v>
      </c>
      <c r="B229" s="158">
        <v>29</v>
      </c>
      <c r="C229" s="158">
        <v>4</v>
      </c>
      <c r="D229" s="218">
        <v>0.13793103448275862</v>
      </c>
      <c r="E229" s="219">
        <v>2.4485709999999998</v>
      </c>
      <c r="F229" s="219">
        <v>4.5</v>
      </c>
      <c r="G229" s="158">
        <v>72</v>
      </c>
      <c r="H229" s="158">
        <v>176.297112</v>
      </c>
      <c r="I229" s="209">
        <v>1.0139883331847863E-4</v>
      </c>
    </row>
    <row r="230" spans="1:9" ht="15" customHeight="1" x14ac:dyDescent="0.25">
      <c r="A230" s="156" t="s">
        <v>111</v>
      </c>
      <c r="B230" s="157">
        <v>67</v>
      </c>
      <c r="C230" s="157">
        <v>56</v>
      </c>
      <c r="D230" s="216">
        <v>0.83582089552238803</v>
      </c>
      <c r="E230" s="217">
        <v>1.1964285714285716</v>
      </c>
      <c r="F230" s="217">
        <v>4.4910709999999998</v>
      </c>
      <c r="G230" s="157">
        <v>1006</v>
      </c>
      <c r="H230" s="157">
        <v>1203.6071428571431</v>
      </c>
      <c r="I230" s="208">
        <v>6.9226522587336403E-4</v>
      </c>
    </row>
    <row r="231" spans="1:9" ht="15" customHeight="1" x14ac:dyDescent="0.25">
      <c r="A231" s="155" t="s">
        <v>202</v>
      </c>
      <c r="B231" s="158">
        <v>67</v>
      </c>
      <c r="C231" s="158">
        <v>56</v>
      </c>
      <c r="D231" s="218">
        <v>0.83582089552238803</v>
      </c>
      <c r="E231" s="219">
        <v>1.1964285714285716</v>
      </c>
      <c r="F231" s="219">
        <v>4.4910709999999998</v>
      </c>
      <c r="G231" s="158">
        <v>1006</v>
      </c>
      <c r="H231" s="158">
        <v>1203.6071428571431</v>
      </c>
      <c r="I231" s="209">
        <v>6.9226522587336403E-4</v>
      </c>
    </row>
    <row r="232" spans="1:9" ht="15" customHeight="1" x14ac:dyDescent="0.25">
      <c r="A232" s="156" t="s">
        <v>112</v>
      </c>
      <c r="B232" s="157">
        <v>80</v>
      </c>
      <c r="C232" s="157">
        <v>53</v>
      </c>
      <c r="D232" s="216">
        <v>0.66249999999999998</v>
      </c>
      <c r="E232" s="217">
        <v>1.5050714285714284</v>
      </c>
      <c r="F232" s="217">
        <v>4.35849025</v>
      </c>
      <c r="G232" s="157">
        <v>924</v>
      </c>
      <c r="H232" s="157">
        <v>1390.6859999999999</v>
      </c>
      <c r="I232" s="208">
        <v>7.9986527466395345E-4</v>
      </c>
    </row>
    <row r="233" spans="1:9" ht="15" customHeight="1" x14ac:dyDescent="0.25">
      <c r="A233" s="155" t="s">
        <v>198</v>
      </c>
      <c r="B233" s="158">
        <v>80</v>
      </c>
      <c r="C233" s="158">
        <v>53</v>
      </c>
      <c r="D233" s="218">
        <v>0.66249999999999998</v>
      </c>
      <c r="E233" s="219">
        <v>1.5050714285714284</v>
      </c>
      <c r="F233" s="219">
        <v>4.35849025</v>
      </c>
      <c r="G233" s="158">
        <v>924</v>
      </c>
      <c r="H233" s="158">
        <v>1390.6859999999999</v>
      </c>
      <c r="I233" s="209">
        <v>7.9986527466395345E-4</v>
      </c>
    </row>
    <row r="234" spans="1:9" ht="15" customHeight="1" x14ac:dyDescent="0.25">
      <c r="A234" s="156" t="s">
        <v>113</v>
      </c>
      <c r="B234" s="157">
        <v>99</v>
      </c>
      <c r="C234" s="157">
        <v>32</v>
      </c>
      <c r="D234" s="216">
        <v>0.32323232323232326</v>
      </c>
      <c r="E234" s="217">
        <v>2.1971774891774891</v>
      </c>
      <c r="F234" s="217">
        <v>4.3203125</v>
      </c>
      <c r="G234" s="157">
        <v>553</v>
      </c>
      <c r="H234" s="157">
        <v>1215.0391515151514</v>
      </c>
      <c r="I234" s="208">
        <v>6.9884044612092422E-4</v>
      </c>
    </row>
    <row r="235" spans="1:9" ht="15" customHeight="1" x14ac:dyDescent="0.25">
      <c r="A235" s="155" t="s">
        <v>199</v>
      </c>
      <c r="B235" s="158">
        <v>99</v>
      </c>
      <c r="C235" s="158">
        <v>32</v>
      </c>
      <c r="D235" s="218">
        <v>0.32323232323232326</v>
      </c>
      <c r="E235" s="219">
        <v>2.1971774891774891</v>
      </c>
      <c r="F235" s="219">
        <v>4.3203125</v>
      </c>
      <c r="G235" s="158">
        <v>553</v>
      </c>
      <c r="H235" s="158">
        <v>1215.0391515151514</v>
      </c>
      <c r="I235" s="209">
        <v>6.9884044612092422E-4</v>
      </c>
    </row>
    <row r="236" spans="1:9" ht="15" customHeight="1" x14ac:dyDescent="0.25">
      <c r="A236" s="156" t="s">
        <v>114</v>
      </c>
      <c r="B236" s="157">
        <v>1235</v>
      </c>
      <c r="C236" s="157">
        <v>383</v>
      </c>
      <c r="D236" s="216">
        <v>0.31012145748987852</v>
      </c>
      <c r="E236" s="217">
        <v>2.2239236552920763</v>
      </c>
      <c r="F236" s="217">
        <v>4.3120100000000008</v>
      </c>
      <c r="G236" s="157">
        <v>6606</v>
      </c>
      <c r="H236" s="157">
        <v>14691.239666859456</v>
      </c>
      <c r="I236" s="208">
        <v>8.4497956053965501E-3</v>
      </c>
    </row>
    <row r="237" spans="1:9" ht="15" customHeight="1" x14ac:dyDescent="0.25">
      <c r="A237" s="155" t="s">
        <v>196</v>
      </c>
      <c r="B237" s="158">
        <v>1235</v>
      </c>
      <c r="C237" s="158">
        <v>383</v>
      </c>
      <c r="D237" s="218">
        <v>0.31012145748987852</v>
      </c>
      <c r="E237" s="219">
        <v>2.2239236552920763</v>
      </c>
      <c r="F237" s="219">
        <v>4.3120100000000008</v>
      </c>
      <c r="G237" s="158">
        <v>6606</v>
      </c>
      <c r="H237" s="158">
        <v>14691.239666859456</v>
      </c>
      <c r="I237" s="209">
        <v>8.4497956053965501E-3</v>
      </c>
    </row>
    <row r="238" spans="1:9" ht="15" customHeight="1" x14ac:dyDescent="0.25">
      <c r="A238" s="156" t="s">
        <v>115</v>
      </c>
      <c r="B238" s="157">
        <v>194</v>
      </c>
      <c r="C238" s="157">
        <v>100</v>
      </c>
      <c r="D238" s="216">
        <v>0.51546391752577314</v>
      </c>
      <c r="E238" s="217">
        <v>1.8050250368188514</v>
      </c>
      <c r="F238" s="217">
        <v>4.0925000000000002</v>
      </c>
      <c r="G238" s="157">
        <v>1637</v>
      </c>
      <c r="H238" s="157">
        <v>2954.8259852724595</v>
      </c>
      <c r="I238" s="208">
        <v>1.6994941333227937E-3</v>
      </c>
    </row>
    <row r="239" spans="1:9" ht="15" customHeight="1" x14ac:dyDescent="0.25">
      <c r="A239" s="155" t="s">
        <v>195</v>
      </c>
      <c r="B239" s="158">
        <v>194</v>
      </c>
      <c r="C239" s="158">
        <v>100</v>
      </c>
      <c r="D239" s="218">
        <v>0.51546391752577314</v>
      </c>
      <c r="E239" s="219">
        <v>1.8050250368188514</v>
      </c>
      <c r="F239" s="219">
        <v>4.0925000000000002</v>
      </c>
      <c r="G239" s="158">
        <v>1637</v>
      </c>
      <c r="H239" s="158">
        <v>2954.8259852724595</v>
      </c>
      <c r="I239" s="209">
        <v>1.6994941333227937E-3</v>
      </c>
    </row>
    <row r="240" spans="1:9" ht="15" customHeight="1" x14ac:dyDescent="0.25">
      <c r="A240" s="156" t="s">
        <v>116</v>
      </c>
      <c r="B240" s="157">
        <v>2642</v>
      </c>
      <c r="C240" s="157">
        <v>726</v>
      </c>
      <c r="D240" s="216">
        <v>0.27479182437547311</v>
      </c>
      <c r="E240" s="217">
        <v>2.2959961068454633</v>
      </c>
      <c r="F240" s="217">
        <v>4.2382914999999999</v>
      </c>
      <c r="G240" s="157">
        <v>12308</v>
      </c>
      <c r="H240" s="157">
        <v>28259.120083053964</v>
      </c>
      <c r="I240" s="208">
        <v>1.6253481265356525E-2</v>
      </c>
    </row>
    <row r="241" spans="1:9" ht="15" customHeight="1" x14ac:dyDescent="0.25">
      <c r="A241" s="155" t="s">
        <v>194</v>
      </c>
      <c r="B241" s="158">
        <v>2642</v>
      </c>
      <c r="C241" s="158">
        <v>726</v>
      </c>
      <c r="D241" s="218">
        <v>0.27479182437547311</v>
      </c>
      <c r="E241" s="219">
        <v>2.2959961068454633</v>
      </c>
      <c r="F241" s="219">
        <v>4.2382914999999999</v>
      </c>
      <c r="G241" s="158">
        <v>12308</v>
      </c>
      <c r="H241" s="158">
        <v>28259.120083053964</v>
      </c>
      <c r="I241" s="209">
        <v>1.6253481265356525E-2</v>
      </c>
    </row>
    <row r="242" spans="1:9" ht="15" customHeight="1" x14ac:dyDescent="0.25">
      <c r="A242" s="156" t="s">
        <v>538</v>
      </c>
      <c r="B242" s="157">
        <v>77</v>
      </c>
      <c r="C242" s="157">
        <v>32</v>
      </c>
      <c r="D242" s="216">
        <v>0.41558441558441561</v>
      </c>
      <c r="E242" s="217">
        <v>2.0087792207792208</v>
      </c>
      <c r="F242" s="217">
        <v>4.3984375</v>
      </c>
      <c r="G242" s="157">
        <v>563</v>
      </c>
      <c r="H242" s="157">
        <v>1130.9427012987012</v>
      </c>
      <c r="I242" s="208">
        <v>6.5047163371420949E-4</v>
      </c>
    </row>
    <row r="243" spans="1:9" ht="15" customHeight="1" x14ac:dyDescent="0.25">
      <c r="A243" s="155" t="s">
        <v>381</v>
      </c>
      <c r="B243" s="158">
        <v>77</v>
      </c>
      <c r="C243" s="158">
        <v>32</v>
      </c>
      <c r="D243" s="218">
        <v>0.41558441558441561</v>
      </c>
      <c r="E243" s="219">
        <v>2.0087792207792208</v>
      </c>
      <c r="F243" s="219">
        <v>4.3984375</v>
      </c>
      <c r="G243" s="158">
        <v>563</v>
      </c>
      <c r="H243" s="158">
        <v>1130.9427012987012</v>
      </c>
      <c r="I243" s="209">
        <v>6.5047163371420949E-4</v>
      </c>
    </row>
    <row r="244" spans="1:9" ht="15" customHeight="1" x14ac:dyDescent="0.25">
      <c r="A244" s="156" t="s">
        <v>117</v>
      </c>
      <c r="B244" s="157">
        <v>157</v>
      </c>
      <c r="C244" s="157">
        <v>37</v>
      </c>
      <c r="D244" s="216">
        <v>0.2356687898089172</v>
      </c>
      <c r="E244" s="217">
        <v>2.3758070973612377</v>
      </c>
      <c r="F244" s="217">
        <v>4.1283780000000005</v>
      </c>
      <c r="G244" s="157">
        <v>611</v>
      </c>
      <c r="H244" s="157">
        <v>1451.6181364877164</v>
      </c>
      <c r="I244" s="208">
        <v>8.3491092845467893E-4</v>
      </c>
    </row>
    <row r="245" spans="1:9" ht="15" customHeight="1" x14ac:dyDescent="0.25">
      <c r="A245" s="155" t="s">
        <v>193</v>
      </c>
      <c r="B245" s="158">
        <v>157</v>
      </c>
      <c r="C245" s="158">
        <v>37</v>
      </c>
      <c r="D245" s="218">
        <v>0.2356687898089172</v>
      </c>
      <c r="E245" s="219">
        <v>2.3758070973612377</v>
      </c>
      <c r="F245" s="219">
        <v>4.1283780000000005</v>
      </c>
      <c r="G245" s="158">
        <v>611</v>
      </c>
      <c r="H245" s="158">
        <v>1451.6181364877164</v>
      </c>
      <c r="I245" s="209">
        <v>8.3491092845467893E-4</v>
      </c>
    </row>
    <row r="246" spans="1:9" ht="15" customHeight="1" x14ac:dyDescent="0.25">
      <c r="A246" s="156" t="s">
        <v>439</v>
      </c>
      <c r="B246" s="157">
        <v>1380</v>
      </c>
      <c r="C246" s="157">
        <v>503</v>
      </c>
      <c r="D246" s="216">
        <v>0.36449275362318839</v>
      </c>
      <c r="E246" s="217">
        <v>2.113006211180124</v>
      </c>
      <c r="F246" s="217">
        <v>4.2569577500000007</v>
      </c>
      <c r="G246" s="157">
        <v>8565</v>
      </c>
      <c r="H246" s="157">
        <v>18097.898198757761</v>
      </c>
      <c r="I246" s="208">
        <v>1.0409165198750576E-2</v>
      </c>
    </row>
    <row r="247" spans="1:9" ht="15" customHeight="1" x14ac:dyDescent="0.25">
      <c r="A247" s="155" t="s">
        <v>192</v>
      </c>
      <c r="B247" s="158">
        <v>1380</v>
      </c>
      <c r="C247" s="158">
        <v>503</v>
      </c>
      <c r="D247" s="218">
        <v>0.36449275362318839</v>
      </c>
      <c r="E247" s="219">
        <v>2.113006211180124</v>
      </c>
      <c r="F247" s="219">
        <v>4.2569577500000007</v>
      </c>
      <c r="G247" s="158">
        <v>8565</v>
      </c>
      <c r="H247" s="158">
        <v>18097.898198757761</v>
      </c>
      <c r="I247" s="209">
        <v>1.0409165198750576E-2</v>
      </c>
    </row>
    <row r="248" spans="1:9" ht="15" customHeight="1" x14ac:dyDescent="0.25">
      <c r="A248" s="156" t="s">
        <v>119</v>
      </c>
      <c r="B248" s="157">
        <v>1659</v>
      </c>
      <c r="C248" s="157">
        <v>528</v>
      </c>
      <c r="D248" s="216">
        <v>0.31826401446654612</v>
      </c>
      <c r="E248" s="217">
        <v>2.2073128390596746</v>
      </c>
      <c r="F248" s="217">
        <v>4.1467797499999994</v>
      </c>
      <c r="G248" s="157">
        <v>8758</v>
      </c>
      <c r="H248" s="157">
        <v>19331.645844484628</v>
      </c>
      <c r="I248" s="208">
        <v>1.1118765999733205E-2</v>
      </c>
    </row>
    <row r="249" spans="1:9" ht="15" customHeight="1" x14ac:dyDescent="0.25">
      <c r="A249" s="155" t="s">
        <v>191</v>
      </c>
      <c r="B249" s="158">
        <v>1659</v>
      </c>
      <c r="C249" s="158">
        <v>528</v>
      </c>
      <c r="D249" s="218">
        <v>0.31826401446654612</v>
      </c>
      <c r="E249" s="219">
        <v>2.2073128390596746</v>
      </c>
      <c r="F249" s="219">
        <v>4.1467797499999994</v>
      </c>
      <c r="G249" s="158">
        <v>8758</v>
      </c>
      <c r="H249" s="158">
        <v>19331.645844484628</v>
      </c>
      <c r="I249" s="209">
        <v>1.1118765999733205E-2</v>
      </c>
    </row>
    <row r="250" spans="1:9" ht="15" customHeight="1" x14ac:dyDescent="0.25">
      <c r="A250" s="156" t="s">
        <v>120</v>
      </c>
      <c r="B250" s="157">
        <v>716</v>
      </c>
      <c r="C250" s="157">
        <v>433</v>
      </c>
      <c r="D250" s="216">
        <v>0.60474860335195535</v>
      </c>
      <c r="E250" s="217">
        <v>1.6228842777334398</v>
      </c>
      <c r="F250" s="217">
        <v>4.4676670000000005</v>
      </c>
      <c r="G250" s="157">
        <v>7738</v>
      </c>
      <c r="H250" s="157">
        <v>12557.878541101358</v>
      </c>
      <c r="I250" s="208">
        <v>7.2227742053019911E-3</v>
      </c>
    </row>
    <row r="251" spans="1:9" ht="15" customHeight="1" x14ac:dyDescent="0.25">
      <c r="A251" s="155" t="s">
        <v>190</v>
      </c>
      <c r="B251" s="158">
        <v>716</v>
      </c>
      <c r="C251" s="158">
        <v>433</v>
      </c>
      <c r="D251" s="218">
        <v>0.60474860335195535</v>
      </c>
      <c r="E251" s="219">
        <v>1.6228842777334398</v>
      </c>
      <c r="F251" s="219">
        <v>4.4676670000000005</v>
      </c>
      <c r="G251" s="158">
        <v>7738</v>
      </c>
      <c r="H251" s="158">
        <v>12557.878541101358</v>
      </c>
      <c r="I251" s="209">
        <v>7.2227742053019911E-3</v>
      </c>
    </row>
    <row r="252" spans="1:9" ht="15" customHeight="1" x14ac:dyDescent="0.25">
      <c r="A252" s="156" t="s">
        <v>499</v>
      </c>
      <c r="B252" s="157">
        <v>11</v>
      </c>
      <c r="C252" s="157">
        <v>10</v>
      </c>
      <c r="D252" s="216">
        <v>0.90909090909090906</v>
      </c>
      <c r="E252" s="217">
        <v>1.1000000000000001</v>
      </c>
      <c r="F252" s="217">
        <v>4.6500000000000004</v>
      </c>
      <c r="G252" s="157">
        <v>186</v>
      </c>
      <c r="H252" s="157">
        <v>204.60000000000002</v>
      </c>
      <c r="I252" s="208">
        <v>1.176774880859122E-4</v>
      </c>
    </row>
    <row r="253" spans="1:9" ht="15" customHeight="1" x14ac:dyDescent="0.25">
      <c r="A253" s="155" t="s">
        <v>189</v>
      </c>
      <c r="B253" s="158">
        <v>11</v>
      </c>
      <c r="C253" s="158">
        <v>10</v>
      </c>
      <c r="D253" s="218">
        <v>0.90909090909090906</v>
      </c>
      <c r="E253" s="219">
        <v>1.1000000000000001</v>
      </c>
      <c r="F253" s="219">
        <v>4.6500000000000004</v>
      </c>
      <c r="G253" s="158">
        <v>186</v>
      </c>
      <c r="H253" s="158">
        <v>204.60000000000002</v>
      </c>
      <c r="I253" s="209">
        <v>1.176774880859122E-4</v>
      </c>
    </row>
    <row r="254" spans="1:9" ht="15" customHeight="1" x14ac:dyDescent="0.25">
      <c r="A254" s="156" t="s">
        <v>122</v>
      </c>
      <c r="B254" s="157">
        <v>3053</v>
      </c>
      <c r="C254" s="157">
        <v>1183</v>
      </c>
      <c r="D254" s="216">
        <v>0.38748771699967244</v>
      </c>
      <c r="E254" s="217">
        <v>2.0660964858920967</v>
      </c>
      <c r="F254" s="217">
        <v>4.2838117500000008</v>
      </c>
      <c r="G254" s="157">
        <v>20271</v>
      </c>
      <c r="H254" s="157">
        <v>41881.841865518691</v>
      </c>
      <c r="I254" s="208">
        <v>2.4088709419089121E-2</v>
      </c>
    </row>
    <row r="255" spans="1:9" ht="15" customHeight="1" x14ac:dyDescent="0.25">
      <c r="A255" s="155" t="s">
        <v>185</v>
      </c>
      <c r="B255" s="158">
        <v>3053</v>
      </c>
      <c r="C255" s="158">
        <v>1183</v>
      </c>
      <c r="D255" s="218">
        <v>0.38748771699967244</v>
      </c>
      <c r="E255" s="219">
        <v>2.0660964858920967</v>
      </c>
      <c r="F255" s="219">
        <v>4.2838117500000008</v>
      </c>
      <c r="G255" s="158">
        <v>20271</v>
      </c>
      <c r="H255" s="158">
        <v>41881.841865518691</v>
      </c>
      <c r="I255" s="209">
        <v>2.4088709419089121E-2</v>
      </c>
    </row>
    <row r="256" spans="1:9" ht="15" customHeight="1" x14ac:dyDescent="0.25">
      <c r="A256" s="156" t="s">
        <v>123</v>
      </c>
      <c r="B256" s="157">
        <v>81</v>
      </c>
      <c r="C256" s="157">
        <v>61</v>
      </c>
      <c r="D256" s="216">
        <v>0.75308641975308643</v>
      </c>
      <c r="E256" s="217">
        <v>1.3278688524590165</v>
      </c>
      <c r="F256" s="217">
        <v>4.53278625</v>
      </c>
      <c r="G256" s="157">
        <v>1106</v>
      </c>
      <c r="H256" s="157">
        <v>1468.6229508196723</v>
      </c>
      <c r="I256" s="208">
        <v>8.4469139686109082E-4</v>
      </c>
    </row>
    <row r="257" spans="1:9" ht="15" customHeight="1" x14ac:dyDescent="0.25">
      <c r="A257" s="155" t="s">
        <v>184</v>
      </c>
      <c r="B257" s="158">
        <v>81</v>
      </c>
      <c r="C257" s="158">
        <v>61</v>
      </c>
      <c r="D257" s="218">
        <v>0.75308641975308643</v>
      </c>
      <c r="E257" s="219">
        <v>1.3278688524590165</v>
      </c>
      <c r="F257" s="219">
        <v>4.53278625</v>
      </c>
      <c r="G257" s="158">
        <v>1106</v>
      </c>
      <c r="H257" s="158">
        <v>1468.6229508196723</v>
      </c>
      <c r="I257" s="209">
        <v>8.4469139686109082E-4</v>
      </c>
    </row>
    <row r="258" spans="1:9" ht="15" customHeight="1" x14ac:dyDescent="0.25">
      <c r="A258" s="156" t="s">
        <v>124</v>
      </c>
      <c r="B258" s="157">
        <v>1127</v>
      </c>
      <c r="C258" s="157">
        <v>688</v>
      </c>
      <c r="D258" s="216">
        <v>0.61047027506654838</v>
      </c>
      <c r="E258" s="217">
        <v>1.61121206743567</v>
      </c>
      <c r="F258" s="217">
        <v>4.5265255</v>
      </c>
      <c r="G258" s="157">
        <v>12457</v>
      </c>
      <c r="H258" s="157">
        <v>20070.86872404614</v>
      </c>
      <c r="I258" s="208">
        <v>1.1543936535424473E-2</v>
      </c>
    </row>
    <row r="259" spans="1:9" ht="15" customHeight="1" x14ac:dyDescent="0.25">
      <c r="A259" s="155" t="s">
        <v>179</v>
      </c>
      <c r="B259" s="158">
        <v>1127</v>
      </c>
      <c r="C259" s="158">
        <v>688</v>
      </c>
      <c r="D259" s="218">
        <v>0.61047027506654838</v>
      </c>
      <c r="E259" s="219">
        <v>1.61121206743567</v>
      </c>
      <c r="F259" s="219">
        <v>4.5265255</v>
      </c>
      <c r="G259" s="158">
        <v>12457</v>
      </c>
      <c r="H259" s="158">
        <v>20070.86872404614</v>
      </c>
      <c r="I259" s="209">
        <v>1.1543936535424473E-2</v>
      </c>
    </row>
    <row r="260" spans="1:9" ht="15" customHeight="1" x14ac:dyDescent="0.25">
      <c r="A260" s="156" t="s">
        <v>125</v>
      </c>
      <c r="B260" s="157">
        <v>1155</v>
      </c>
      <c r="C260" s="157">
        <v>694</v>
      </c>
      <c r="D260" s="216">
        <v>0.60086580086580088</v>
      </c>
      <c r="E260" s="217">
        <v>1.6308051948051949</v>
      </c>
      <c r="F260" s="217">
        <v>4.3007920000000004</v>
      </c>
      <c r="G260" s="157">
        <v>11939</v>
      </c>
      <c r="H260" s="157">
        <v>19470.183220779221</v>
      </c>
      <c r="I260" s="208">
        <v>1.1198446989216883E-2</v>
      </c>
    </row>
    <row r="261" spans="1:9" ht="15" customHeight="1" x14ac:dyDescent="0.25">
      <c r="A261" s="155" t="s">
        <v>177</v>
      </c>
      <c r="B261" s="158">
        <v>1155</v>
      </c>
      <c r="C261" s="158">
        <v>694</v>
      </c>
      <c r="D261" s="218">
        <v>0.60086580086580088</v>
      </c>
      <c r="E261" s="219">
        <v>1.6308051948051949</v>
      </c>
      <c r="F261" s="219">
        <v>4.3007920000000004</v>
      </c>
      <c r="G261" s="158">
        <v>11939</v>
      </c>
      <c r="H261" s="158">
        <v>19470.183220779221</v>
      </c>
      <c r="I261" s="209">
        <v>1.1198446989216883E-2</v>
      </c>
    </row>
    <row r="262" spans="1:9" x14ac:dyDescent="0.25">
      <c r="A262" s="37" t="s">
        <v>13</v>
      </c>
      <c r="B262" s="159">
        <v>125000</v>
      </c>
      <c r="C262" s="159">
        <v>51560</v>
      </c>
      <c r="D262" s="220">
        <v>0.41248000000000001</v>
      </c>
      <c r="E262" s="221">
        <v>1.8351115836759107</v>
      </c>
      <c r="F262" s="221">
        <v>4.3339285322802867</v>
      </c>
      <c r="G262" s="159">
        <v>893451</v>
      </c>
      <c r="H262" s="159">
        <v>1738650.3003074704</v>
      </c>
      <c r="I262" s="210">
        <v>1</v>
      </c>
    </row>
    <row r="263" spans="1:9" s="144" customFormat="1" x14ac:dyDescent="0.25"/>
    <row r="264" spans="1:9" x14ac:dyDescent="0.25">
      <c r="A264" s="6"/>
    </row>
    <row r="265" spans="1:9" x14ac:dyDescent="0.25">
      <c r="A265" s="144" t="s">
        <v>530</v>
      </c>
    </row>
  </sheetData>
  <mergeCells count="1"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OHJEET</vt:lpstr>
      <vt:lpstr>1.1 Jakotaulu</vt:lpstr>
      <vt:lpstr>1.2 Ohjaus-laskentataulu</vt:lpstr>
      <vt:lpstr>1.3 Vertailulukuja</vt:lpstr>
      <vt:lpstr>1.4 Maakuntalukuja</vt:lpstr>
      <vt:lpstr>2.1 Toteut. op.vuodet</vt:lpstr>
      <vt:lpstr>2.2 Tutk. ja osien pain. pist.</vt:lpstr>
      <vt:lpstr>2.3 Työll. ja jatko-opisk.</vt:lpstr>
      <vt:lpstr>2.4 Aloittaneet palaute</vt:lpstr>
      <vt:lpstr>2.5 Päättäneet palaute</vt:lpstr>
      <vt:lpstr>2.6 Työpaikkaohjaajakysely</vt:lpstr>
      <vt:lpstr>2.7 Työpaikkakysely</vt:lpstr>
      <vt:lpstr>Suoritepäät. 2024 oikaistu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2024-12-18T15:14:40Z</dcterms:created>
  <dcterms:modified xsi:type="dcterms:W3CDTF">2024-12-18T15:14:52Z</dcterms:modified>
</cp:coreProperties>
</file>